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18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shares'!$A$1:$FA$216</definedName>
    <definedName name="Expry_Roll___20" localSheetId="17">'NIFTY GRP'!$A$1:$EY$51</definedName>
    <definedName name="fii" localSheetId="18">FII!$A$1:$N$16</definedName>
    <definedName name="_xlnm.Print_Area" localSheetId="14">Disclaimar!$A$1:$A$24</definedName>
    <definedName name="stats__2" localSheetId="15">'Data Vlaue (Cr)'!$A$1:$FB$216</definedName>
  </definedNames>
  <calcPr calcId="144525" calcMode="manual"/>
</workbook>
</file>

<file path=xl/calcChain.xml><?xml version="1.0" encoding="utf-8"?>
<calcChain xmlns="http://schemas.openxmlformats.org/spreadsheetml/2006/main">
  <c r="L3" i="21" l="1"/>
  <c r="F72" i="18" l="1"/>
  <c r="F45" i="18"/>
  <c r="F102" i="18"/>
  <c r="F205" i="18"/>
  <c r="F32" i="18"/>
  <c r="F86" i="18"/>
  <c r="F55" i="18"/>
  <c r="F208" i="18"/>
  <c r="F158" i="18"/>
  <c r="F206" i="18"/>
  <c r="F67" i="18"/>
  <c r="F30" i="18"/>
  <c r="F38" i="18"/>
  <c r="F131" i="18"/>
  <c r="F199" i="18"/>
  <c r="F82" i="18"/>
  <c r="F101" i="18"/>
  <c r="F109" i="18"/>
  <c r="F42" i="18"/>
  <c r="F39" i="18"/>
  <c r="F17" i="18"/>
  <c r="F212" i="18"/>
  <c r="F167" i="18"/>
  <c r="F56" i="18"/>
  <c r="F174" i="18"/>
  <c r="F44" i="18"/>
  <c r="F145" i="18"/>
  <c r="F61" i="18"/>
  <c r="F37" i="18"/>
  <c r="F51" i="18"/>
  <c r="F18" i="18"/>
  <c r="F157" i="18"/>
  <c r="F138" i="18"/>
  <c r="F137" i="18"/>
  <c r="F27" i="18"/>
  <c r="F36" i="18"/>
  <c r="F12" i="18"/>
  <c r="F6" i="18"/>
  <c r="F93" i="18"/>
  <c r="F14" i="18"/>
  <c r="F161" i="18"/>
  <c r="F140" i="18"/>
  <c r="F85" i="18"/>
  <c r="F156" i="18"/>
  <c r="F175" i="18"/>
  <c r="F47" i="18"/>
  <c r="F60" i="18"/>
  <c r="F210" i="18"/>
  <c r="F202" i="18"/>
  <c r="F184" i="18"/>
  <c r="F90" i="18"/>
  <c r="F52" i="18"/>
  <c r="F11" i="18"/>
  <c r="F166" i="18"/>
  <c r="F59" i="18"/>
  <c r="F92" i="18"/>
  <c r="F74" i="18"/>
  <c r="F106" i="18"/>
  <c r="F196" i="18"/>
  <c r="F185" i="18"/>
  <c r="F116" i="18"/>
  <c r="F207" i="18"/>
  <c r="F171" i="18"/>
  <c r="F57" i="18"/>
  <c r="F53" i="18"/>
  <c r="F124" i="18"/>
  <c r="F63" i="18"/>
  <c r="F173" i="18"/>
  <c r="F95" i="18"/>
  <c r="F142" i="18"/>
  <c r="F183" i="18"/>
  <c r="F153" i="18"/>
  <c r="F58" i="18"/>
  <c r="F154" i="18"/>
  <c r="F96" i="18"/>
  <c r="F87" i="18"/>
  <c r="F112" i="18"/>
  <c r="F121" i="18"/>
  <c r="F182" i="18"/>
  <c r="F71" i="18"/>
  <c r="F73" i="18"/>
  <c r="F46" i="18"/>
  <c r="F197" i="18"/>
  <c r="F163" i="18"/>
  <c r="F126" i="18"/>
  <c r="F148" i="18"/>
  <c r="F125" i="18"/>
  <c r="F147" i="18"/>
  <c r="F178" i="18"/>
  <c r="F110" i="18"/>
  <c r="F43" i="18"/>
  <c r="F16" i="18"/>
  <c r="F49" i="18"/>
  <c r="F8" i="18"/>
  <c r="F89" i="18"/>
  <c r="F150" i="18"/>
  <c r="F97" i="18"/>
  <c r="F15" i="18"/>
  <c r="F133" i="18"/>
  <c r="F31" i="18"/>
  <c r="F13" i="18"/>
  <c r="F144" i="18"/>
  <c r="F23" i="18"/>
  <c r="F200" i="18"/>
  <c r="F191" i="18"/>
  <c r="F162" i="18"/>
  <c r="F94" i="18"/>
  <c r="F132" i="18"/>
  <c r="F104" i="18"/>
  <c r="F26" i="18"/>
  <c r="F188" i="18"/>
  <c r="F65" i="18"/>
  <c r="F24" i="18"/>
  <c r="F75" i="18"/>
  <c r="F123" i="18"/>
  <c r="F64" i="18"/>
  <c r="F172" i="18"/>
  <c r="F70" i="18"/>
  <c r="F28" i="18"/>
  <c r="F66" i="18"/>
  <c r="F77" i="18"/>
  <c r="F179" i="18"/>
  <c r="F80" i="18"/>
  <c r="F180" i="18"/>
  <c r="F159" i="18"/>
  <c r="F99" i="18"/>
  <c r="F189" i="18"/>
  <c r="F146" i="18"/>
  <c r="F192" i="18"/>
  <c r="F211" i="18"/>
  <c r="F187" i="18"/>
  <c r="F204" i="18"/>
  <c r="F84" i="18"/>
  <c r="F22" i="18"/>
  <c r="F120" i="18"/>
  <c r="F201" i="18"/>
  <c r="F117" i="18"/>
  <c r="F143" i="18"/>
  <c r="F113" i="18"/>
  <c r="F19" i="18"/>
  <c r="F141" i="18"/>
  <c r="F149" i="18"/>
  <c r="F195" i="18"/>
  <c r="F129" i="18"/>
  <c r="F115" i="18"/>
  <c r="F105" i="18"/>
  <c r="F213" i="18"/>
  <c r="F108" i="18"/>
  <c r="F122" i="18"/>
  <c r="F203" i="18"/>
  <c r="F151" i="18"/>
  <c r="F91" i="18"/>
  <c r="F152" i="18"/>
  <c r="F5" i="18"/>
  <c r="F98" i="18"/>
  <c r="F177" i="18"/>
  <c r="F9" i="18"/>
  <c r="F170" i="18"/>
  <c r="F135" i="18"/>
  <c r="F7" i="18"/>
  <c r="F127" i="18"/>
  <c r="F209" i="18"/>
  <c r="F40" i="18"/>
  <c r="F83" i="18"/>
  <c r="F198" i="18"/>
  <c r="F76" i="18"/>
  <c r="F111" i="18"/>
  <c r="F20" i="18"/>
  <c r="F103" i="18"/>
  <c r="F10" i="18"/>
  <c r="F134" i="18"/>
  <c r="F25" i="18"/>
  <c r="F69" i="18"/>
  <c r="F88" i="18"/>
  <c r="F160" i="18"/>
  <c r="F78" i="18"/>
  <c r="F21" i="18"/>
  <c r="F119" i="18"/>
  <c r="F193" i="18"/>
  <c r="F118" i="18"/>
  <c r="F164" i="18"/>
  <c r="F186" i="18"/>
  <c r="F50" i="18"/>
  <c r="F130" i="18"/>
  <c r="F54" i="18"/>
  <c r="F128" i="18"/>
  <c r="F165" i="18"/>
  <c r="F41" i="18"/>
  <c r="F107" i="18"/>
  <c r="F181" i="18"/>
  <c r="F169" i="18"/>
  <c r="F68" i="18"/>
  <c r="F136" i="18"/>
  <c r="F35" i="18"/>
  <c r="F79" i="18"/>
  <c r="F48" i="18"/>
  <c r="F100" i="18"/>
  <c r="F194" i="18"/>
  <c r="F190" i="18"/>
  <c r="F34" i="18"/>
  <c r="F114" i="18"/>
  <c r="F29" i="18"/>
  <c r="F155" i="18"/>
  <c r="F62" i="18"/>
  <c r="F33" i="18"/>
  <c r="F139" i="18"/>
  <c r="F168" i="18"/>
  <c r="F176" i="18"/>
  <c r="L4" i="21" l="1"/>
  <c r="E107"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212" i="18"/>
  <c r="E112" i="18"/>
  <c r="E175" i="18"/>
  <c r="E131" i="18"/>
  <c r="E46" i="18"/>
  <c r="E100" i="18"/>
  <c r="E53" i="18"/>
  <c r="E130" i="18"/>
  <c r="E59" i="18"/>
  <c r="E163" i="18"/>
  <c r="E16" i="18"/>
  <c r="E185" i="18"/>
  <c r="E192" i="18"/>
  <c r="E58" i="18"/>
  <c r="E35" i="18"/>
  <c r="E153" i="18"/>
  <c r="E103" i="18"/>
  <c r="E31" i="18"/>
  <c r="E42" i="18"/>
  <c r="E168" i="18"/>
  <c r="E159" i="18"/>
  <c r="E165" i="18"/>
  <c r="E161" i="18"/>
  <c r="E72" i="18"/>
  <c r="E54" i="18"/>
  <c r="E10" i="18"/>
  <c r="E105" i="18"/>
  <c r="E170" i="18"/>
  <c r="E123" i="18"/>
  <c r="E21" i="18"/>
  <c r="E132" i="18"/>
  <c r="E171" i="18"/>
  <c r="E15" i="18"/>
  <c r="E189" i="18"/>
  <c r="E32" i="18"/>
  <c r="E8" i="18"/>
  <c r="E120" i="18"/>
  <c r="E74" i="18"/>
  <c r="E133" i="18"/>
  <c r="E176" i="18"/>
  <c r="E94" i="18"/>
  <c r="E80" i="18"/>
  <c r="E106" i="18"/>
  <c r="E24" i="18"/>
  <c r="E12" i="18"/>
  <c r="E50" i="18"/>
  <c r="E140" i="18"/>
  <c r="E174" i="18"/>
  <c r="E85" i="18"/>
  <c r="E156" i="18"/>
  <c r="E63" i="18"/>
  <c r="E47" i="18"/>
  <c r="E181" i="18"/>
  <c r="E184" i="18"/>
  <c r="E28" i="18"/>
  <c r="E118" i="18"/>
  <c r="E104" i="18"/>
  <c r="E65" i="18"/>
  <c r="E126" i="18"/>
  <c r="E70" i="18"/>
  <c r="E172" i="18"/>
  <c r="E160" i="18"/>
  <c r="E37" i="18"/>
  <c r="E141" i="18"/>
  <c r="E148" i="18"/>
  <c r="E128" i="18"/>
  <c r="E178" i="18"/>
  <c r="E197" i="18"/>
  <c r="E114" i="18"/>
  <c r="E203" i="18"/>
  <c r="E52" i="18"/>
  <c r="E166" i="18"/>
  <c r="E115" i="18"/>
  <c r="E145" i="18"/>
  <c r="E7" i="18"/>
  <c r="E164" i="18"/>
  <c r="E86" i="18"/>
  <c r="E68" i="18"/>
  <c r="E169" i="18"/>
  <c r="E39" i="18"/>
  <c r="E75" i="18"/>
  <c r="E213" i="18"/>
  <c r="E121" i="18"/>
  <c r="E57" i="18"/>
  <c r="E138" i="18"/>
  <c r="E155" i="18"/>
  <c r="E92" i="18"/>
  <c r="E144" i="18"/>
  <c r="E206" i="18"/>
  <c r="E44" i="18"/>
  <c r="E180" i="18"/>
  <c r="E157" i="18"/>
  <c r="E36" i="18"/>
  <c r="E209" i="18"/>
  <c r="E191" i="18"/>
  <c r="E124" i="18"/>
  <c r="E110" i="18"/>
  <c r="E139" i="18"/>
  <c r="E142" i="18"/>
  <c r="E196" i="18"/>
  <c r="E113" i="18"/>
  <c r="E23" i="18"/>
  <c r="E19" i="18"/>
  <c r="E48" i="18"/>
  <c r="E18" i="18"/>
  <c r="E27" i="18"/>
  <c r="E49" i="18"/>
  <c r="E102" i="18"/>
  <c r="E198" i="18"/>
  <c r="E22" i="18"/>
  <c r="E173" i="18"/>
  <c r="E88" i="18"/>
  <c r="E137" i="18"/>
  <c r="E134" i="18"/>
  <c r="E101" i="18"/>
  <c r="E60" i="18"/>
  <c r="E77" i="18"/>
  <c r="E95" i="18"/>
  <c r="E43" i="18"/>
  <c r="E111" i="18"/>
  <c r="E162" i="18"/>
  <c r="E179" i="18"/>
  <c r="E205" i="18"/>
  <c r="E41" i="18"/>
  <c r="E183" i="18"/>
  <c r="E56" i="18"/>
  <c r="E190" i="18"/>
  <c r="E150" i="18"/>
  <c r="E204" i="18"/>
  <c r="E30" i="18"/>
  <c r="E127" i="18"/>
  <c r="E64" i="18"/>
  <c r="E29" i="18"/>
  <c r="E26" i="18"/>
  <c r="E20" i="18"/>
  <c r="E71" i="18"/>
  <c r="E146" i="18"/>
  <c r="E147" i="18"/>
  <c r="E97" i="18"/>
  <c r="E81" i="18"/>
  <c r="F81" i="18"/>
  <c r="E89" i="18"/>
  <c r="E45" i="18"/>
  <c r="E99" i="18"/>
  <c r="E96" i="18"/>
  <c r="E62" i="18"/>
  <c r="E67" i="18"/>
  <c r="E154" i="18"/>
  <c r="E143" i="18"/>
  <c r="E108" i="18"/>
  <c r="E98" i="18"/>
  <c r="E84" i="18"/>
  <c r="E201" i="18"/>
  <c r="E152" i="18"/>
  <c r="E207" i="18"/>
  <c r="E116" i="18"/>
  <c r="E117" i="18"/>
  <c r="E9" i="18"/>
  <c r="E13" i="18"/>
  <c r="E73" i="18"/>
  <c r="E129" i="18"/>
  <c r="E149" i="18"/>
  <c r="E195" i="18"/>
  <c r="E87" i="18"/>
  <c r="E188" i="18"/>
  <c r="E61" i="18"/>
  <c r="E40" i="18"/>
  <c r="E109" i="18"/>
  <c r="E34" i="18"/>
  <c r="E78" i="18"/>
  <c r="E177" i="18"/>
  <c r="E202" i="18"/>
  <c r="E33" i="18"/>
  <c r="E14" i="18"/>
  <c r="E76" i="18"/>
  <c r="E122" i="18"/>
  <c r="E82" i="18"/>
  <c r="E200" i="18"/>
  <c r="E93" i="18"/>
  <c r="E91" i="18"/>
  <c r="E158" i="18"/>
  <c r="E55" i="18"/>
  <c r="E17" i="18"/>
  <c r="E151" i="18"/>
  <c r="E51" i="18"/>
  <c r="E38" i="18"/>
  <c r="E5" i="18"/>
  <c r="E182" i="18"/>
  <c r="E6" i="18"/>
  <c r="E208" i="18"/>
  <c r="E69" i="18"/>
  <c r="E11" i="18"/>
  <c r="E25" i="18"/>
  <c r="E211" i="18"/>
  <c r="E125" i="18"/>
  <c r="E186" i="18"/>
  <c r="E79" i="18"/>
  <c r="E83" i="18"/>
  <c r="E210" i="18"/>
  <c r="E136"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C3" i="21"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I94" i="6"/>
  <c r="N77" i="6"/>
  <c r="I25" i="6"/>
  <c r="G16" i="6"/>
  <c r="E171" i="10"/>
  <c r="N164" i="10"/>
  <c r="J157" i="10"/>
  <c r="I156" i="10"/>
  <c r="I141" i="10"/>
  <c r="C141" i="10"/>
  <c r="I121" i="10"/>
  <c r="F120" i="10"/>
  <c r="I110" i="10"/>
  <c r="K96" i="10"/>
  <c r="L94" i="10"/>
  <c r="I86" i="10"/>
  <c r="K56" i="10"/>
  <c r="O112" i="7"/>
  <c r="H181" i="6"/>
  <c r="G122" i="6"/>
  <c r="O114" i="6"/>
  <c r="L69" i="6"/>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B90"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P47" i="3"/>
  <c r="J28" i="3"/>
  <c r="H189" i="7"/>
  <c r="E171" i="7"/>
  <c r="E113" i="7"/>
  <c r="S75" i="2"/>
  <c r="I100" i="7"/>
  <c r="I96"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I108" i="6"/>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P65" i="5" s="1"/>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F3" i="21" s="1"/>
  <c r="B137" i="14"/>
  <c r="C129" i="14"/>
  <c r="E126" i="14"/>
  <c r="E123" i="14"/>
  <c r="B95" i="14"/>
  <c r="E93" i="14"/>
  <c r="E17" i="14"/>
  <c r="E15" i="14"/>
  <c r="E14" i="14"/>
  <c r="E12" i="14"/>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I91" i="7"/>
  <c r="O61" i="7"/>
  <c r="L165" i="6"/>
  <c r="F165" i="6"/>
  <c r="C161" i="6"/>
  <c r="I161" i="6"/>
  <c r="F161" i="6"/>
  <c r="E112" i="6"/>
  <c r="L112" i="6"/>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83" i="7"/>
  <c r="H113" i="7"/>
  <c r="J94" i="7"/>
  <c r="D93" i="7"/>
  <c r="K91"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N69" i="6"/>
  <c r="E69" i="6"/>
  <c r="J69" i="6"/>
  <c r="B69" i="6"/>
  <c r="H69" i="6"/>
  <c r="M69" i="6"/>
  <c r="B41" i="6"/>
  <c r="I41" i="6"/>
  <c r="Q41" i="12" s="1"/>
  <c r="N41" i="6"/>
  <c r="H41" i="6"/>
  <c r="E27" i="6"/>
  <c r="I27" i="6"/>
  <c r="K27" i="6"/>
  <c r="N27" i="12" s="1"/>
  <c r="G27" i="6"/>
  <c r="C166" i="10"/>
  <c r="G166" i="10"/>
  <c r="K166" i="10"/>
  <c r="E166" i="10"/>
  <c r="B148" i="10"/>
  <c r="G148" i="10"/>
  <c r="N148" i="10"/>
  <c r="C148" i="10"/>
  <c r="I122" i="6"/>
  <c r="I111" i="6"/>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G3" i="21" s="1"/>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3" i="21" s="1"/>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I13" i="7"/>
  <c r="B187" i="6"/>
  <c r="M187" i="6"/>
  <c r="F187" i="6"/>
  <c r="H187" i="6"/>
  <c r="M172" i="6"/>
  <c r="A172" i="7"/>
  <c r="I172" i="7" s="1"/>
  <c r="I164" i="6"/>
  <c r="Q164" i="12" s="1"/>
  <c r="K164" i="6"/>
  <c r="A164" i="7"/>
  <c r="E164" i="7" s="1"/>
  <c r="B147" i="6"/>
  <c r="F147" i="6"/>
  <c r="I147" i="6"/>
  <c r="M147" i="12" s="1"/>
  <c r="L147" i="6"/>
  <c r="B135" i="6"/>
  <c r="F135" i="6"/>
  <c r="J135" i="6"/>
  <c r="N135" i="6"/>
  <c r="C135" i="6"/>
  <c r="G135" i="6"/>
  <c r="K135" i="6"/>
  <c r="O135" i="6"/>
  <c r="D135" i="6"/>
  <c r="H135" i="6"/>
  <c r="L135" i="6"/>
  <c r="B125" i="6"/>
  <c r="E125" i="6"/>
  <c r="H125" i="6"/>
  <c r="J125" i="6"/>
  <c r="A125" i="7"/>
  <c r="E54" i="6"/>
  <c r="J54" i="6"/>
  <c r="A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N104" i="2" s="1"/>
  <c r="O104" i="2" s="1"/>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B158" i="7"/>
  <c r="K152" i="7"/>
  <c r="C152" i="7"/>
  <c r="B151" i="7"/>
  <c r="K151" i="7"/>
  <c r="A147" i="7"/>
  <c r="L147" i="7" s="1"/>
  <c r="E136" i="7"/>
  <c r="C119" i="7"/>
  <c r="F119" i="7"/>
  <c r="C77" i="7"/>
  <c r="D77" i="7"/>
  <c r="O77" i="7"/>
  <c r="G77" i="7"/>
  <c r="I77" i="7"/>
  <c r="E185" i="6"/>
  <c r="I185" i="6"/>
  <c r="M185" i="6"/>
  <c r="B141" i="6"/>
  <c r="L141" i="6"/>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L13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O83" i="6"/>
  <c r="B51" i="6"/>
  <c r="G51" i="6"/>
  <c r="M51" i="6"/>
  <c r="C51" i="6"/>
  <c r="I51" i="6"/>
  <c r="M51" i="12" s="1"/>
  <c r="N51" i="6"/>
  <c r="E51" i="6"/>
  <c r="O51" i="6"/>
  <c r="F51" i="6"/>
  <c r="J51" i="6"/>
  <c r="E28" i="6"/>
  <c r="A28" i="7"/>
  <c r="K173" i="10"/>
  <c r="E94" i="7"/>
  <c r="C73" i="7"/>
  <c r="D61" i="7"/>
  <c r="F42" i="7"/>
  <c r="O33" i="7"/>
  <c r="D33" i="7"/>
  <c r="K31" i="7"/>
  <c r="M27" i="7"/>
  <c r="G27" i="7"/>
  <c r="O21" i="7"/>
  <c r="C21" i="7"/>
  <c r="M12" i="7"/>
  <c r="N10" i="7"/>
  <c r="K7" i="7"/>
  <c r="G180" i="6"/>
  <c r="M177" i="6"/>
  <c r="E177" i="6"/>
  <c r="I176" i="6"/>
  <c r="M176" i="12" s="1"/>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B52" i="7"/>
  <c r="L49" i="7"/>
  <c r="I31" i="7"/>
  <c r="I12" i="7"/>
  <c r="N183" i="6"/>
  <c r="F183" i="6"/>
  <c r="K181" i="6"/>
  <c r="E181" i="6"/>
  <c r="O180" i="6"/>
  <c r="E180" i="6"/>
  <c r="J177" i="6"/>
  <c r="F175" i="6"/>
  <c r="J161" i="6"/>
  <c r="D161" i="6"/>
  <c r="M155" i="6"/>
  <c r="H155" i="6"/>
  <c r="I139" i="6"/>
  <c r="F138" i="6"/>
  <c r="L133" i="6"/>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P34" i="5" s="1"/>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P22" i="5" s="1"/>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K187" i="3" s="1"/>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B183" i="7"/>
  <c r="D183" i="7"/>
  <c r="L183" i="7"/>
  <c r="E183" i="7"/>
  <c r="M183" i="7"/>
  <c r="I162" i="7"/>
  <c r="M162" i="7"/>
  <c r="J158" i="7"/>
  <c r="K155" i="7"/>
  <c r="N148" i="7"/>
  <c r="F148" i="7"/>
  <c r="O47" i="3"/>
  <c r="G47" i="3"/>
  <c r="J45" i="3"/>
  <c r="P44" i="3"/>
  <c r="M42" i="3"/>
  <c r="F42" i="3"/>
  <c r="Q37" i="3"/>
  <c r="G37" i="3"/>
  <c r="F34" i="3"/>
  <c r="M34" i="3"/>
  <c r="G31" i="3"/>
  <c r="E31" i="5" s="1"/>
  <c r="F31" i="5" s="1"/>
  <c r="G31" i="5" s="1"/>
  <c r="L31" i="3"/>
  <c r="C28" i="3"/>
  <c r="E28" i="3" s="1"/>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M47" i="3"/>
  <c r="F45" i="3"/>
  <c r="H45" i="3" s="1"/>
  <c r="L44" i="3"/>
  <c r="Q42" i="3"/>
  <c r="L42" i="3"/>
  <c r="L39" i="3"/>
  <c r="G39" i="3"/>
  <c r="O37" i="3"/>
  <c r="I35" i="3"/>
  <c r="G35" i="3"/>
  <c r="E35" i="5" s="1"/>
  <c r="F35" i="5" s="1"/>
  <c r="G35" i="5" s="1"/>
  <c r="C32" i="3"/>
  <c r="I32" i="3"/>
  <c r="N32" i="3"/>
  <c r="Q30" i="3"/>
  <c r="M28" i="3"/>
  <c r="F28" i="3"/>
  <c r="Q27" i="3"/>
  <c r="N26" i="3"/>
  <c r="L23" i="3"/>
  <c r="C21" i="3"/>
  <c r="M18" i="3"/>
  <c r="C16" i="3"/>
  <c r="G16" i="3"/>
  <c r="F13" i="3"/>
  <c r="G11" i="3"/>
  <c r="F10" i="3"/>
  <c r="L10" i="3"/>
  <c r="D167" i="7"/>
  <c r="C163" i="7"/>
  <c r="H163" i="7"/>
  <c r="B155" i="7"/>
  <c r="E155" i="7"/>
  <c r="O155" i="7"/>
  <c r="F155" i="7"/>
  <c r="F37" i="3"/>
  <c r="N37" i="3"/>
  <c r="I26" i="3"/>
  <c r="P26" i="3"/>
  <c r="C8" i="3"/>
  <c r="I8" i="3"/>
  <c r="N163" i="7"/>
  <c r="E158" i="7"/>
  <c r="L158" i="7"/>
  <c r="F158" i="7"/>
  <c r="M158" i="7"/>
  <c r="C148" i="7"/>
  <c r="G148" i="7"/>
  <c r="K148" i="7"/>
  <c r="O148" i="7"/>
  <c r="D148" i="7"/>
  <c r="H148" i="7"/>
  <c r="L148" i="7"/>
  <c r="H144" i="7"/>
  <c r="J134" i="7"/>
  <c r="N132" i="7"/>
  <c r="I132" i="7"/>
  <c r="C132" i="7"/>
  <c r="N114" i="7"/>
  <c r="I107" i="7"/>
  <c r="O68" i="7"/>
  <c r="G67" i="7"/>
  <c r="E67" i="7"/>
  <c r="J54" i="7"/>
  <c r="L45" i="7"/>
  <c r="E35" i="7"/>
  <c r="F35" i="7"/>
  <c r="O35" i="7"/>
  <c r="G35" i="7"/>
  <c r="E30" i="7"/>
  <c r="F30" i="7"/>
  <c r="H30" i="7"/>
  <c r="E25" i="7"/>
  <c r="G25" i="7"/>
  <c r="H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G144" i="6"/>
  <c r="M144" i="6"/>
  <c r="I180" i="7"/>
  <c r="M144" i="7"/>
  <c r="E144" i="7"/>
  <c r="L136" i="7"/>
  <c r="H136" i="7"/>
  <c r="K135" i="7"/>
  <c r="F134" i="7"/>
  <c r="M132" i="7"/>
  <c r="G132" i="7"/>
  <c r="B132" i="7"/>
  <c r="L114" i="7"/>
  <c r="K112" i="7"/>
  <c r="K111" i="7"/>
  <c r="G107" i="7"/>
  <c r="M105" i="7"/>
  <c r="M97" i="7"/>
  <c r="M94" i="7"/>
  <c r="L92" i="7"/>
  <c r="K88" i="7"/>
  <c r="M72" i="7"/>
  <c r="N68" i="7"/>
  <c r="F68" i="7"/>
  <c r="K41" i="7"/>
  <c r="M35" i="7"/>
  <c r="M30" i="7"/>
  <c r="M25"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O149" i="6"/>
  <c r="D149" i="6"/>
  <c r="H149" i="6"/>
  <c r="L149" i="6"/>
  <c r="B58" i="7"/>
  <c r="F58" i="7"/>
  <c r="L58" i="7"/>
  <c r="C57" i="7"/>
  <c r="B54" i="7"/>
  <c r="H54" i="7"/>
  <c r="M54" i="7"/>
  <c r="D54" i="7"/>
  <c r="I54" i="7"/>
  <c r="N54" i="7"/>
  <c r="N52" i="7"/>
  <c r="J52" i="7"/>
  <c r="E41" i="7"/>
  <c r="C41" i="7"/>
  <c r="M41" i="7"/>
  <c r="G41" i="7"/>
  <c r="M22" i="7"/>
  <c r="C31" i="7"/>
  <c r="O13"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O99" i="6"/>
  <c r="I99" i="6"/>
  <c r="D99" i="6"/>
  <c r="F97" i="6"/>
  <c r="G95" i="6"/>
  <c r="J93" i="6"/>
  <c r="E93" i="6"/>
  <c r="O92" i="6"/>
  <c r="L91" i="6"/>
  <c r="L89" i="6"/>
  <c r="K88" i="6"/>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M85" i="6"/>
  <c r="G84" i="6"/>
  <c r="I84" i="6"/>
  <c r="Q84" i="12" s="1"/>
  <c r="M81" i="6"/>
  <c r="B77" i="6"/>
  <c r="H77" i="6"/>
  <c r="M77" i="6"/>
  <c r="G76" i="6"/>
  <c r="I76" i="6"/>
  <c r="O67" i="6"/>
  <c r="D64" i="6"/>
  <c r="G64" i="6"/>
  <c r="K62" i="6"/>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P119" i="5" s="1"/>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P159" i="5" s="1"/>
  <c r="N155" i="5"/>
  <c r="I150" i="5"/>
  <c r="N143" i="5"/>
  <c r="O137" i="5"/>
  <c r="P137" i="5" s="1"/>
  <c r="C135" i="5"/>
  <c r="I134" i="5"/>
  <c r="N127" i="5"/>
  <c r="O121" i="5"/>
  <c r="C119" i="5"/>
  <c r="I118" i="5"/>
  <c r="N111" i="5"/>
  <c r="P111" i="5" s="1"/>
  <c r="N108" i="5"/>
  <c r="N107" i="5"/>
  <c r="N104" i="5"/>
  <c r="N103" i="5"/>
  <c r="N100" i="5"/>
  <c r="N99" i="5"/>
  <c r="N96" i="5"/>
  <c r="N95" i="5"/>
  <c r="N92" i="5"/>
  <c r="N91" i="5"/>
  <c r="N88" i="5"/>
  <c r="N87" i="5"/>
  <c r="P87" i="5" s="1"/>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J60" i="2" s="1"/>
  <c r="K60" i="2" s="1"/>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F52" i="2" s="1"/>
  <c r="C51" i="2"/>
  <c r="I51" i="2"/>
  <c r="D44" i="2"/>
  <c r="F44" i="2" s="1"/>
  <c r="P44" i="2"/>
  <c r="I42" i="2"/>
  <c r="P40" i="2"/>
  <c r="E40" i="2"/>
  <c r="C32" i="2"/>
  <c r="H32" i="2"/>
  <c r="J32" i="2" s="1"/>
  <c r="K32" i="2" s="1"/>
  <c r="P32" i="2"/>
  <c r="S24" i="2"/>
  <c r="L24" i="2"/>
  <c r="C24" i="2"/>
  <c r="Q13" i="2"/>
  <c r="S12" i="2"/>
  <c r="L12" i="2"/>
  <c r="E12" i="2"/>
  <c r="G12" i="2" s="1"/>
  <c r="Q186" i="3"/>
  <c r="I186" i="3"/>
  <c r="Q185" i="3"/>
  <c r="J184" i="3"/>
  <c r="L181" i="3"/>
  <c r="C179" i="3"/>
  <c r="I179" i="3"/>
  <c r="N179" i="3"/>
  <c r="J176" i="3"/>
  <c r="L173" i="3"/>
  <c r="Q170" i="3"/>
  <c r="I170" i="3"/>
  <c r="Q169" i="3"/>
  <c r="J168" i="3"/>
  <c r="K168" i="3" s="1"/>
  <c r="Q167" i="3"/>
  <c r="L167" i="3"/>
  <c r="C167" i="3"/>
  <c r="M160" i="3"/>
  <c r="B160" i="3"/>
  <c r="N160" i="3"/>
  <c r="M159" i="3"/>
  <c r="F159" i="3"/>
  <c r="H159" i="3" s="1"/>
  <c r="P158" i="3"/>
  <c r="G158" i="3"/>
  <c r="C155" i="3"/>
  <c r="E155" i="3" s="1"/>
  <c r="I155" i="3"/>
  <c r="K155" i="3" s="1"/>
  <c r="N155" i="3"/>
  <c r="L151" i="3"/>
  <c r="D151" i="3"/>
  <c r="P150" i="3"/>
  <c r="D150" i="3"/>
  <c r="M149" i="3"/>
  <c r="D147" i="3"/>
  <c r="E147" i="3" s="1"/>
  <c r="J147" i="3"/>
  <c r="K147" i="3" s="1"/>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D24" i="3"/>
  <c r="J24" i="3"/>
  <c r="O24" i="3"/>
  <c r="B22" i="3"/>
  <c r="L22" i="3"/>
  <c r="B21" i="3"/>
  <c r="I21" i="3"/>
  <c r="K21" i="3" s="1"/>
  <c r="O21" i="3"/>
  <c r="M20" i="3"/>
  <c r="F20" i="3"/>
  <c r="H20" i="3" s="1"/>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K64" i="3" s="1"/>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H24" i="3" s="1"/>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K20" i="3" s="1"/>
  <c r="O20" i="3"/>
  <c r="L18" i="3"/>
  <c r="D16" i="3"/>
  <c r="J16" i="3"/>
  <c r="O16" i="3"/>
  <c r="I15" i="3"/>
  <c r="C11" i="3"/>
  <c r="L11" i="3"/>
  <c r="B10" i="3"/>
  <c r="J10" i="3"/>
  <c r="P10" i="3"/>
  <c r="N8" i="3"/>
  <c r="F8" i="3"/>
  <c r="I184" i="7"/>
  <c r="I179" i="7"/>
  <c r="F173" i="7"/>
  <c r="O183" i="7"/>
  <c r="K183" i="7"/>
  <c r="G183" i="7"/>
  <c r="C183" i="7"/>
  <c r="I177" i="7"/>
  <c r="O171" i="7"/>
  <c r="K171" i="7"/>
  <c r="G171" i="7"/>
  <c r="C171" i="7"/>
  <c r="M164" i="7"/>
  <c r="I157" i="7"/>
  <c r="N155" i="7"/>
  <c r="I155" i="7"/>
  <c r="C155" i="7"/>
  <c r="F151" i="7"/>
  <c r="K145" i="7"/>
  <c r="E145" i="7"/>
  <c r="O144" i="7"/>
  <c r="K144" i="7"/>
  <c r="G144" i="7"/>
  <c r="C144" i="7"/>
  <c r="I135" i="7"/>
  <c r="N134" i="7"/>
  <c r="I134" i="7"/>
  <c r="D134" i="7"/>
  <c r="B119" i="7"/>
  <c r="I119" i="7"/>
  <c r="D118" i="7"/>
  <c r="N118" i="7"/>
  <c r="K113" i="7"/>
  <c r="B112" i="7"/>
  <c r="F112" i="7"/>
  <c r="J112" i="7"/>
  <c r="N112" i="7"/>
  <c r="K107" i="7"/>
  <c r="K105" i="7"/>
  <c r="N103" i="7"/>
  <c r="G92" i="7"/>
  <c r="F88" i="7"/>
  <c r="K83" i="7"/>
  <c r="N183" i="7"/>
  <c r="J183" i="7"/>
  <c r="F183" i="7"/>
  <c r="O180" i="7"/>
  <c r="G180" i="7"/>
  <c r="N171" i="7"/>
  <c r="J171" i="7"/>
  <c r="F171" i="7"/>
  <c r="H167" i="7"/>
  <c r="M166" i="7"/>
  <c r="K164" i="7"/>
  <c r="G157" i="7"/>
  <c r="M155" i="7"/>
  <c r="G155" i="7"/>
  <c r="L152" i="7"/>
  <c r="H152" i="7"/>
  <c r="N151" i="7"/>
  <c r="C151" i="7"/>
  <c r="O145" i="7"/>
  <c r="I145" i="7"/>
  <c r="D145" i="7"/>
  <c r="N144" i="7"/>
  <c r="J144" i="7"/>
  <c r="F144" i="7"/>
  <c r="F135" i="7"/>
  <c r="M134" i="7"/>
  <c r="H134" i="7"/>
  <c r="L132" i="7"/>
  <c r="H132" i="7"/>
  <c r="K119" i="7"/>
  <c r="B114" i="7"/>
  <c r="I114" i="7"/>
  <c r="D113" i="7"/>
  <c r="I113" i="7"/>
  <c r="O113" i="7"/>
  <c r="E107" i="7"/>
  <c r="J107" i="7"/>
  <c r="O107" i="7"/>
  <c r="F107" i="7"/>
  <c r="M107" i="7"/>
  <c r="G105" i="7"/>
  <c r="F103" i="7"/>
  <c r="M92" i="7"/>
  <c r="M88" i="7"/>
  <c r="D82" i="7"/>
  <c r="E166" i="7"/>
  <c r="O157" i="7"/>
  <c r="D157" i="7"/>
  <c r="M145" i="7"/>
  <c r="H145" i="7"/>
  <c r="N135" i="7"/>
  <c r="C135" i="7"/>
  <c r="N130" i="7"/>
  <c r="G117" i="7"/>
  <c r="C101" i="7"/>
  <c r="G101" i="7"/>
  <c r="L101" i="7"/>
  <c r="B92" i="7"/>
  <c r="F92" i="7"/>
  <c r="J92" i="7"/>
  <c r="N92" i="7"/>
  <c r="D92" i="7"/>
  <c r="I92" i="7"/>
  <c r="O92" i="7"/>
  <c r="E92" i="7"/>
  <c r="K92" i="7"/>
  <c r="D88" i="7"/>
  <c r="H88" i="7"/>
  <c r="L88" i="7"/>
  <c r="C88" i="7"/>
  <c r="I88" i="7"/>
  <c r="N88" i="7"/>
  <c r="E88" i="7"/>
  <c r="J88" i="7"/>
  <c r="O88" i="7"/>
  <c r="E105" i="7"/>
  <c r="L105" i="7"/>
  <c r="H105" i="7"/>
  <c r="B103" i="7"/>
  <c r="I103" i="7"/>
  <c r="K103" i="7"/>
  <c r="H92" i="7"/>
  <c r="G88" i="7"/>
  <c r="F83" i="7"/>
  <c r="M83" i="7"/>
  <c r="E83" i="7"/>
  <c r="O83" i="7"/>
  <c r="G83" i="7"/>
  <c r="L80" i="7"/>
  <c r="E80" i="7"/>
  <c r="O80" i="7"/>
  <c r="B96" i="7"/>
  <c r="F96" i="7"/>
  <c r="J96" i="7"/>
  <c r="N96" i="7"/>
  <c r="C93" i="7"/>
  <c r="G93" i="7"/>
  <c r="M91"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I98" i="7"/>
  <c r="D97" i="7"/>
  <c r="K96" i="7"/>
  <c r="E96" i="7"/>
  <c r="L93" i="7"/>
  <c r="F91" i="7"/>
  <c r="E7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89" i="6"/>
  <c r="O190" i="12" s="1"/>
  <c r="B189" i="6"/>
  <c r="F189" i="6"/>
  <c r="J189" i="6"/>
  <c r="N189" i="6"/>
  <c r="D64" i="7"/>
  <c r="H64" i="7"/>
  <c r="L64" i="7"/>
  <c r="B64" i="7"/>
  <c r="F64" i="7"/>
  <c r="J64" i="7"/>
  <c r="N64" i="7"/>
  <c r="B60" i="7"/>
  <c r="K24" i="7"/>
  <c r="D24" i="7"/>
  <c r="C19" i="7"/>
  <c r="I19" i="7"/>
  <c r="M19" i="7"/>
  <c r="E19" i="7"/>
  <c r="D184" i="6"/>
  <c r="E184" i="6"/>
  <c r="M184" i="6"/>
  <c r="G184" i="6"/>
  <c r="O184" i="6"/>
  <c r="C184" i="6"/>
  <c r="K184" i="6"/>
  <c r="B74" i="7"/>
  <c r="L74" i="7"/>
  <c r="G69" i="7"/>
  <c r="F67" i="7"/>
  <c r="M67" i="7"/>
  <c r="B67" i="7"/>
  <c r="J67" i="7"/>
  <c r="O64" i="7"/>
  <c r="G64" i="7"/>
  <c r="C53" i="7"/>
  <c r="G53" i="7"/>
  <c r="J51" i="7"/>
  <c r="M51" i="7"/>
  <c r="G11" i="7"/>
  <c r="D188" i="6"/>
  <c r="E188" i="6"/>
  <c r="M188" i="6"/>
  <c r="G188" i="6"/>
  <c r="O188" i="6"/>
  <c r="C188" i="6"/>
  <c r="K188" i="6"/>
  <c r="I65" i="7"/>
  <c r="L46" i="7"/>
  <c r="L42" i="7"/>
  <c r="L41" i="7"/>
  <c r="K35" i="7"/>
  <c r="F31" i="7"/>
  <c r="L30" i="7"/>
  <c r="L25" i="7"/>
  <c r="N22" i="7"/>
  <c r="I22" i="7"/>
  <c r="D22" i="7"/>
  <c r="M21" i="7"/>
  <c r="N14" i="7"/>
  <c r="I14" i="7"/>
  <c r="D14" i="7"/>
  <c r="M13" i="7"/>
  <c r="K8" i="7"/>
  <c r="M7" i="7"/>
  <c r="E7" i="7"/>
  <c r="J179" i="6"/>
  <c r="E179" i="6"/>
  <c r="I178" i="6"/>
  <c r="M178" i="12" s="1"/>
  <c r="J175" i="6"/>
  <c r="E175" i="6"/>
  <c r="L173" i="6"/>
  <c r="H173" i="6"/>
  <c r="D173" i="6"/>
  <c r="O172" i="6"/>
  <c r="G172" i="6"/>
  <c r="N171" i="6"/>
  <c r="I171" i="6"/>
  <c r="Q171" i="12" s="1"/>
  <c r="L169" i="6"/>
  <c r="H169" i="6"/>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C156" i="6"/>
  <c r="L156" i="5" s="1"/>
  <c r="N153" i="6"/>
  <c r="J153" i="6"/>
  <c r="F153" i="6"/>
  <c r="B153" i="6"/>
  <c r="K152" i="6"/>
  <c r="C152" i="6"/>
  <c r="L152" i="5" s="1"/>
  <c r="J147" i="6"/>
  <c r="E147" i="6"/>
  <c r="I146" i="6"/>
  <c r="O144" i="6"/>
  <c r="I144" i="6"/>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L67" i="6"/>
  <c r="O67" i="12" s="1"/>
  <c r="B67" i="6"/>
  <c r="F67" i="6"/>
  <c r="J67" i="6"/>
  <c r="N67" i="6"/>
  <c r="O63" i="6"/>
  <c r="G63" i="6"/>
  <c r="N62" i="6"/>
  <c r="D61" i="6"/>
  <c r="N61" i="6"/>
  <c r="I61" i="6"/>
  <c r="Q61" i="12" s="1"/>
  <c r="C60" i="6"/>
  <c r="K60" i="6"/>
  <c r="S60" i="12" s="1"/>
  <c r="G60" i="6"/>
  <c r="M60" i="6"/>
  <c r="I57" i="6"/>
  <c r="M57" i="12" s="1"/>
  <c r="O54" i="6"/>
  <c r="B127" i="6"/>
  <c r="F127" i="6"/>
  <c r="J127" i="6"/>
  <c r="N127" i="6"/>
  <c r="D123" i="6"/>
  <c r="H123" i="6"/>
  <c r="L123" i="6"/>
  <c r="B117" i="6"/>
  <c r="H117" i="6"/>
  <c r="M117" i="6"/>
  <c r="C115" i="6"/>
  <c r="G115" i="6"/>
  <c r="K115" i="6"/>
  <c r="O115" i="6"/>
  <c r="D105" i="6"/>
  <c r="I105" i="6"/>
  <c r="M105" i="12" s="1"/>
  <c r="N105" i="6"/>
  <c r="C102" i="6"/>
  <c r="L102" i="5" s="1"/>
  <c r="E102" i="6"/>
  <c r="B91" i="6"/>
  <c r="F91" i="6"/>
  <c r="J91" i="6"/>
  <c r="N91" i="6"/>
  <c r="E88" i="6"/>
  <c r="M88" i="6"/>
  <c r="D79" i="6"/>
  <c r="H79" i="6"/>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H92" i="3"/>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P163"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H36" i="3"/>
  <c r="P149" i="5"/>
  <c r="O146" i="5"/>
  <c r="O142" i="5"/>
  <c r="O138" i="5"/>
  <c r="O134" i="5"/>
  <c r="P134" i="5" s="1"/>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12"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N50" i="2" s="1"/>
  <c r="O50" i="2" s="1"/>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J180" i="2" s="1"/>
  <c r="K180" i="2" s="1"/>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H3" i="21" s="1"/>
  <c r="S153" i="2"/>
  <c r="B153" i="2"/>
  <c r="H153" i="2"/>
  <c r="B3" i="21" s="1"/>
  <c r="M153" i="2"/>
  <c r="R153" i="2"/>
  <c r="E153" i="2"/>
  <c r="J3" i="21" s="1"/>
  <c r="P153" i="2"/>
  <c r="C145" i="2"/>
  <c r="F145" i="2" s="1"/>
  <c r="S145" i="2"/>
  <c r="B145" i="2"/>
  <c r="H145" i="2"/>
  <c r="M145" i="2"/>
  <c r="N145" i="2" s="1"/>
  <c r="O145" i="2" s="1"/>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J67" i="2" s="1"/>
  <c r="K67" i="2" s="1"/>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N134" i="2" s="1"/>
  <c r="O134" i="2" s="1"/>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N94" i="2" s="1"/>
  <c r="O94" i="2" s="1"/>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F46" i="2" s="1"/>
  <c r="S46" i="2"/>
  <c r="E46" i="2"/>
  <c r="G46" i="2" s="1"/>
  <c r="P46" i="2"/>
  <c r="B46" i="2"/>
  <c r="H46" i="2"/>
  <c r="M46" i="2"/>
  <c r="N46" i="2" s="1"/>
  <c r="O46" i="2" s="1"/>
  <c r="R46" i="2"/>
  <c r="C38" i="2"/>
  <c r="S38" i="2"/>
  <c r="E38" i="2"/>
  <c r="P38" i="2"/>
  <c r="B38" i="2"/>
  <c r="H38" i="2"/>
  <c r="M38" i="2"/>
  <c r="R38" i="2"/>
  <c r="C30" i="2"/>
  <c r="S30" i="2"/>
  <c r="E30" i="2"/>
  <c r="P30" i="2"/>
  <c r="B30" i="2"/>
  <c r="H30" i="2"/>
  <c r="M30" i="2"/>
  <c r="N30" i="2" s="1"/>
  <c r="O30" i="2" s="1"/>
  <c r="R30" i="2"/>
  <c r="C14" i="2"/>
  <c r="S14" i="2"/>
  <c r="D14" i="2"/>
  <c r="I14" i="2"/>
  <c r="E14" i="2"/>
  <c r="P14" i="2"/>
  <c r="B14" i="2"/>
  <c r="H14" i="2"/>
  <c r="M14" i="2"/>
  <c r="N14" i="2" s="1"/>
  <c r="O14" i="2" s="1"/>
  <c r="R14" i="2"/>
  <c r="I170" i="2"/>
  <c r="Q192" i="2"/>
  <c r="I192" i="2"/>
  <c r="D190" i="2"/>
  <c r="H190" i="2"/>
  <c r="J190" i="2" s="1"/>
  <c r="K190" i="2" s="1"/>
  <c r="L190" i="2"/>
  <c r="N190" i="2" s="1"/>
  <c r="O190" i="2" s="1"/>
  <c r="P190" i="2"/>
  <c r="B190" i="2"/>
  <c r="R190" i="2"/>
  <c r="M188" i="2"/>
  <c r="E188" i="2"/>
  <c r="M186" i="2"/>
  <c r="E186" i="2"/>
  <c r="B184" i="2"/>
  <c r="R184" i="2"/>
  <c r="D184" i="2"/>
  <c r="H184" i="2"/>
  <c r="L184" i="2"/>
  <c r="N184" i="2" s="1"/>
  <c r="O184" i="2" s="1"/>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D3" i="21" s="1"/>
  <c r="B149" i="2"/>
  <c r="H149" i="2"/>
  <c r="J149" i="2" s="1"/>
  <c r="K149" i="2" s="1"/>
  <c r="M149" i="2"/>
  <c r="R149" i="2"/>
  <c r="E3" i="21" s="1"/>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N113" i="2" s="1"/>
  <c r="O113" i="2" s="1"/>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J55" i="2" s="1"/>
  <c r="K55" i="2" s="1"/>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N33" i="2" s="1"/>
  <c r="O33" i="2" s="1"/>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K184"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K145" i="3" s="1"/>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I6" i="3"/>
  <c r="L6" i="3"/>
  <c r="F6" i="3"/>
  <c r="D188" i="3"/>
  <c r="L188" i="3"/>
  <c r="P188" i="3"/>
  <c r="L185" i="3"/>
  <c r="M184" i="3"/>
  <c r="N180" i="3"/>
  <c r="F180" i="3"/>
  <c r="P177" i="3"/>
  <c r="D176" i="3"/>
  <c r="L176" i="3"/>
  <c r="P176" i="3"/>
  <c r="C176" i="3"/>
  <c r="G176" i="3"/>
  <c r="O176" i="3"/>
  <c r="C173" i="3"/>
  <c r="G173" i="3"/>
  <c r="O173" i="3"/>
  <c r="B173" i="3"/>
  <c r="F173" i="3"/>
  <c r="J173" i="3"/>
  <c r="N173" i="3"/>
  <c r="J172" i="3"/>
  <c r="H171" i="3"/>
  <c r="L169" i="3"/>
  <c r="M168" i="3"/>
  <c r="N164" i="3"/>
  <c r="F164" i="3"/>
  <c r="P161" i="3"/>
  <c r="D160" i="3"/>
  <c r="L160" i="3"/>
  <c r="P160" i="3"/>
  <c r="C160" i="3"/>
  <c r="G160" i="3"/>
  <c r="O160" i="3"/>
  <c r="C157" i="3"/>
  <c r="E157" i="3" s="1"/>
  <c r="G157" i="3"/>
  <c r="E157" i="5" s="1"/>
  <c r="O157" i="3"/>
  <c r="B157" i="3"/>
  <c r="F157" i="3"/>
  <c r="J157" i="3"/>
  <c r="K157" i="3" s="1"/>
  <c r="N157" i="3"/>
  <c r="J156" i="3"/>
  <c r="K156" i="3" s="1"/>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H110" i="3" s="1"/>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E73" i="3" s="1"/>
  <c r="L73" i="3"/>
  <c r="P73" i="3"/>
  <c r="N70" i="3"/>
  <c r="I70" i="3"/>
  <c r="D70" i="3"/>
  <c r="B67" i="3"/>
  <c r="F67" i="3"/>
  <c r="H67" i="3" s="1"/>
  <c r="J67" i="3"/>
  <c r="N67" i="3"/>
  <c r="N65" i="3"/>
  <c r="I65" i="3"/>
  <c r="C65" i="3"/>
  <c r="C62" i="3"/>
  <c r="G62" i="3"/>
  <c r="O62" i="3"/>
  <c r="O59" i="3"/>
  <c r="I59" i="3"/>
  <c r="D59" i="3"/>
  <c r="E59" i="3" s="1"/>
  <c r="D57" i="3"/>
  <c r="E57" i="3" s="1"/>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L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K78" i="3" s="1"/>
  <c r="H77"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H39" i="3" s="1"/>
  <c r="J39" i="3"/>
  <c r="N39" i="3"/>
  <c r="M38" i="3"/>
  <c r="P35" i="3"/>
  <c r="C34" i="3"/>
  <c r="G34" i="3"/>
  <c r="O34" i="3"/>
  <c r="M33" i="3"/>
  <c r="G33" i="3"/>
  <c r="E33" i="5" s="1"/>
  <c r="F33" i="5" s="1"/>
  <c r="G33" i="5" s="1"/>
  <c r="P30" i="3"/>
  <c r="J30" i="3"/>
  <c r="K30" i="3" s="1"/>
  <c r="H29" i="3"/>
  <c r="D29" i="3"/>
  <c r="L29" i="3"/>
  <c r="P29" i="3"/>
  <c r="M27" i="3"/>
  <c r="O25" i="3"/>
  <c r="J25" i="3"/>
  <c r="K25" i="3" s="1"/>
  <c r="B23" i="3"/>
  <c r="F23" i="3"/>
  <c r="H23" i="3" s="1"/>
  <c r="J23" i="3"/>
  <c r="N23" i="3"/>
  <c r="M22" i="3"/>
  <c r="P19" i="3"/>
  <c r="C18" i="3"/>
  <c r="G18" i="3"/>
  <c r="O18" i="3"/>
  <c r="M17" i="3"/>
  <c r="G17" i="3"/>
  <c r="E17" i="5" s="1"/>
  <c r="F17" i="5" s="1"/>
  <c r="G17" i="5" s="1"/>
  <c r="P14" i="3"/>
  <c r="J14" i="3"/>
  <c r="K14" i="3" s="1"/>
  <c r="H13" i="3"/>
  <c r="D13" i="3"/>
  <c r="L13" i="3"/>
  <c r="P13" i="3"/>
  <c r="M11" i="3"/>
  <c r="O9" i="3"/>
  <c r="J9" i="3"/>
  <c r="B7" i="3"/>
  <c r="F7" i="3"/>
  <c r="J7" i="3"/>
  <c r="N7" i="3"/>
  <c r="E166" i="5"/>
  <c r="E162" i="5"/>
  <c r="E159" i="5"/>
  <c r="E158" i="5"/>
  <c r="E151" i="5"/>
  <c r="E147" i="5"/>
  <c r="E123" i="5"/>
  <c r="E116" i="5"/>
  <c r="E109" i="5"/>
  <c r="E103" i="5"/>
  <c r="E101" i="5"/>
  <c r="E93" i="5"/>
  <c r="E92" i="5"/>
  <c r="E84" i="5"/>
  <c r="E71" i="5"/>
  <c r="E68" i="5"/>
  <c r="E67" i="5"/>
  <c r="E64" i="5"/>
  <c r="N62" i="5"/>
  <c r="K61" i="5"/>
  <c r="K60" i="5"/>
  <c r="K59" i="5"/>
  <c r="K58" i="5"/>
  <c r="K57" i="5"/>
  <c r="K56" i="5"/>
  <c r="K55" i="5"/>
  <c r="K54" i="5"/>
  <c r="K53" i="5"/>
  <c r="K52" i="5"/>
  <c r="K51" i="5"/>
  <c r="K50" i="5"/>
  <c r="D170" i="7"/>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H59" i="3" s="1"/>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59" i="5"/>
  <c r="E56" i="5"/>
  <c r="E47" i="5"/>
  <c r="F47" i="5" s="1"/>
  <c r="G47" i="5" s="1"/>
  <c r="E43" i="5"/>
  <c r="F43" i="5" s="1"/>
  <c r="G43" i="5" s="1"/>
  <c r="E39" i="5"/>
  <c r="F39" i="5" s="1"/>
  <c r="G39" i="5" s="1"/>
  <c r="E29" i="5"/>
  <c r="F29" i="5" s="1"/>
  <c r="G29"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K158" i="3" s="1"/>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K122" i="3" s="1"/>
  <c r="F122" i="3"/>
  <c r="O121" i="3"/>
  <c r="G121" i="3"/>
  <c r="D117" i="3"/>
  <c r="E117" i="3" s="1"/>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K95" i="3" s="1"/>
  <c r="N95" i="3"/>
  <c r="M94" i="3"/>
  <c r="B94" i="3"/>
  <c r="N93" i="3"/>
  <c r="I93" i="3"/>
  <c r="K93" i="3" s="1"/>
  <c r="C93" i="3"/>
  <c r="P91" i="3"/>
  <c r="C90" i="3"/>
  <c r="E90" i="3" s="1"/>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H57" i="3" s="1"/>
  <c r="B57" i="3"/>
  <c r="O55" i="3"/>
  <c r="I55" i="3"/>
  <c r="D55" i="3"/>
  <c r="P54" i="3"/>
  <c r="J54" i="3"/>
  <c r="D53" i="3"/>
  <c r="L53" i="3"/>
  <c r="P53" i="3"/>
  <c r="M51" i="3"/>
  <c r="C51" i="3"/>
  <c r="N50" i="3"/>
  <c r="I50" i="3"/>
  <c r="K50" i="3" s="1"/>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J157" i="5" s="1"/>
  <c r="D156" i="5"/>
  <c r="H156" i="5"/>
  <c r="D155" i="5"/>
  <c r="H155" i="5"/>
  <c r="J155" i="5" s="1"/>
  <c r="D154" i="5"/>
  <c r="H154" i="5"/>
  <c r="J154" i="5" s="1"/>
  <c r="D153" i="5"/>
  <c r="H153" i="5"/>
  <c r="J153" i="5" s="1"/>
  <c r="D152" i="5"/>
  <c r="H152" i="5"/>
  <c r="D151" i="5"/>
  <c r="H151" i="5"/>
  <c r="J151" i="5" s="1"/>
  <c r="D150" i="5"/>
  <c r="H150" i="5"/>
  <c r="J150" i="5" s="1"/>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L126" i="5"/>
  <c r="M126" i="5" s="1"/>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M88" i="5" s="1"/>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P32" i="5"/>
  <c r="P20" i="5"/>
  <c r="P8" i="5"/>
  <c r="C182" i="7"/>
  <c r="G182" i="7"/>
  <c r="K182" i="7"/>
  <c r="O182" i="7"/>
  <c r="D182" i="7"/>
  <c r="H182" i="7"/>
  <c r="H182" i="12" s="1"/>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H180" i="12" s="1"/>
  <c r="D180" i="7"/>
  <c r="H176" i="7"/>
  <c r="L172" i="7"/>
  <c r="H172" i="7"/>
  <c r="D172" i="7"/>
  <c r="L164" i="7"/>
  <c r="H164" i="7"/>
  <c r="D164" i="7"/>
  <c r="L160" i="7"/>
  <c r="H160" i="7"/>
  <c r="D160" i="7"/>
  <c r="C158" i="7"/>
  <c r="G158" i="7"/>
  <c r="K158" i="7"/>
  <c r="O158" i="7"/>
  <c r="K157" i="7"/>
  <c r="E157" i="7"/>
  <c r="O151" i="7"/>
  <c r="J151" i="7"/>
  <c r="E151" i="7"/>
  <c r="E146" i="7"/>
  <c r="O135" i="7"/>
  <c r="J135" i="7"/>
  <c r="E135" i="7"/>
  <c r="L131" i="7"/>
  <c r="M127" i="7"/>
  <c r="O119" i="7"/>
  <c r="J119" i="7"/>
  <c r="E119" i="7"/>
  <c r="J114" i="7"/>
  <c r="E114" i="7"/>
  <c r="M111" i="7"/>
  <c r="G111" i="7"/>
  <c r="K109" i="7"/>
  <c r="E109" i="7"/>
  <c r="M106" i="7"/>
  <c r="B105" i="7"/>
  <c r="F105" i="7"/>
  <c r="J105" i="7"/>
  <c r="N105" i="7"/>
  <c r="O103" i="7"/>
  <c r="J103" i="7"/>
  <c r="E103" i="7"/>
  <c r="M101" i="7"/>
  <c r="H101" i="7"/>
  <c r="D99" i="7"/>
  <c r="H99" i="7"/>
  <c r="J98" i="7"/>
  <c r="E98" i="7"/>
  <c r="M95" i="7"/>
  <c r="G95" i="7"/>
  <c r="C94" i="7"/>
  <c r="G94" i="7"/>
  <c r="K94" i="7"/>
  <c r="O94" i="7"/>
  <c r="K93" i="7"/>
  <c r="E93" i="7"/>
  <c r="M90" i="7"/>
  <c r="H90" i="7"/>
  <c r="D83" i="7"/>
  <c r="H83" i="7"/>
  <c r="L83" i="7"/>
  <c r="M79" i="7"/>
  <c r="G79" i="7"/>
  <c r="K77" i="7"/>
  <c r="E77" i="7"/>
  <c r="M74" i="7"/>
  <c r="H74" i="7"/>
  <c r="F73" i="7"/>
  <c r="O71" i="7"/>
  <c r="J71" i="7"/>
  <c r="E71" i="7"/>
  <c r="D67" i="7"/>
  <c r="H67" i="7"/>
  <c r="L67" i="7"/>
  <c r="M63" i="7"/>
  <c r="G63" i="7"/>
  <c r="G62" i="7"/>
  <c r="M58" i="7"/>
  <c r="H58" i="7"/>
  <c r="B57" i="7"/>
  <c r="F57" i="7"/>
  <c r="J57" i="7"/>
  <c r="N57" i="7"/>
  <c r="M53" i="7"/>
  <c r="H53" i="7"/>
  <c r="H51" i="7"/>
  <c r="J50" i="7"/>
  <c r="E50" i="7"/>
  <c r="C46" i="7"/>
  <c r="G46" i="7"/>
  <c r="K46" i="7"/>
  <c r="O46" i="7"/>
  <c r="K45" i="7"/>
  <c r="E45" i="7"/>
  <c r="M42" i="7"/>
  <c r="H42" i="7"/>
  <c r="B41" i="7"/>
  <c r="F41" i="7"/>
  <c r="J41" i="7"/>
  <c r="N41" i="7"/>
  <c r="M37" i="7"/>
  <c r="H37" i="7"/>
  <c r="D35" i="7"/>
  <c r="H35" i="7"/>
  <c r="L35" i="7"/>
  <c r="M31" i="7"/>
  <c r="G31" i="7"/>
  <c r="C30" i="7"/>
  <c r="G30" i="7"/>
  <c r="K30" i="7"/>
  <c r="O30" i="7"/>
  <c r="K29" i="7"/>
  <c r="E29" i="7"/>
  <c r="M26" i="7"/>
  <c r="H26" i="7"/>
  <c r="B25" i="7"/>
  <c r="F25" i="7"/>
  <c r="J25" i="7"/>
  <c r="N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J80" i="12"/>
  <c r="I183" i="12"/>
  <c r="D111" i="7"/>
  <c r="H111" i="7"/>
  <c r="L111" i="7"/>
  <c r="B101" i="7"/>
  <c r="F101" i="7"/>
  <c r="J101" i="7"/>
  <c r="N101" i="7"/>
  <c r="D95" i="7"/>
  <c r="H95" i="7"/>
  <c r="L95" i="7"/>
  <c r="K95" i="12" s="1"/>
  <c r="C90" i="7"/>
  <c r="G90" i="7"/>
  <c r="K90" i="7"/>
  <c r="O90" i="7"/>
  <c r="D79" i="7"/>
  <c r="H79" i="7"/>
  <c r="L79" i="7"/>
  <c r="C74" i="7"/>
  <c r="G74" i="7"/>
  <c r="K74" i="7"/>
  <c r="O74" i="7"/>
  <c r="N69" i="7"/>
  <c r="D63" i="7"/>
  <c r="H63" i="7"/>
  <c r="L63" i="7"/>
  <c r="C58" i="7"/>
  <c r="G58" i="7"/>
  <c r="K58" i="7"/>
  <c r="O58" i="7"/>
  <c r="B53" i="7"/>
  <c r="F53" i="7"/>
  <c r="J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O162" i="6"/>
  <c r="D162" i="6"/>
  <c r="H162" i="6"/>
  <c r="P162" i="12" s="1"/>
  <c r="L162" i="6"/>
  <c r="O162" i="12" s="1"/>
  <c r="I158" i="6"/>
  <c r="Q158" i="12" s="1"/>
  <c r="B154" i="6"/>
  <c r="F154" i="6"/>
  <c r="J154" i="6"/>
  <c r="N154" i="6"/>
  <c r="C154" i="6"/>
  <c r="G154" i="6"/>
  <c r="K154" i="6"/>
  <c r="O154" i="6"/>
  <c r="D154" i="6"/>
  <c r="H154" i="6"/>
  <c r="L154" i="12" s="1"/>
  <c r="L154" i="6"/>
  <c r="O154" i="12" s="1"/>
  <c r="I150" i="6"/>
  <c r="Q150" i="12" s="1"/>
  <c r="Q146" i="12"/>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J47" i="5" s="1"/>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N160" i="7"/>
  <c r="J160" i="7"/>
  <c r="F160" i="7"/>
  <c r="N158" i="7"/>
  <c r="I158" i="7"/>
  <c r="D158" i="7"/>
  <c r="M157" i="7"/>
  <c r="H157" i="7"/>
  <c r="D155" i="7"/>
  <c r="H155" i="7"/>
  <c r="L155" i="7"/>
  <c r="M151" i="7"/>
  <c r="G151" i="7"/>
  <c r="B145" i="7"/>
  <c r="F145" i="7"/>
  <c r="J145" i="7"/>
  <c r="N145" i="7"/>
  <c r="H141" i="7"/>
  <c r="M135" i="7"/>
  <c r="G135" i="7"/>
  <c r="C134" i="7"/>
  <c r="G134" i="7"/>
  <c r="K134" i="7"/>
  <c r="O134" i="7"/>
  <c r="N131" i="7"/>
  <c r="O127"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H98" i="7"/>
  <c r="B97" i="7"/>
  <c r="F97" i="7"/>
  <c r="J97" i="7"/>
  <c r="N97" i="7"/>
  <c r="O95" i="7"/>
  <c r="J95" i="7"/>
  <c r="E95" i="7"/>
  <c r="N94" i="7"/>
  <c r="I94" i="7"/>
  <c r="D94" i="7"/>
  <c r="M93" i="7"/>
  <c r="H93" i="7"/>
  <c r="H91" i="7"/>
  <c r="J90" i="7"/>
  <c r="E90"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C54" i="7"/>
  <c r="G54" i="7"/>
  <c r="K54" i="7"/>
  <c r="O54" i="7"/>
  <c r="K53" i="7"/>
  <c r="E53" i="7"/>
  <c r="I51" i="7"/>
  <c r="M50" i="7"/>
  <c r="B49" i="7"/>
  <c r="F49" i="7"/>
  <c r="J49" i="7"/>
  <c r="N49" i="7"/>
  <c r="N46" i="7"/>
  <c r="I46" i="7"/>
  <c r="D46" i="7"/>
  <c r="M45" i="7"/>
  <c r="H45" i="7"/>
  <c r="J42" i="7"/>
  <c r="E42" i="7"/>
  <c r="O41" i="7"/>
  <c r="I41" i="7"/>
  <c r="D41" i="7"/>
  <c r="K37" i="7"/>
  <c r="E37" i="7"/>
  <c r="N35" i="7"/>
  <c r="I35" i="7"/>
  <c r="C35" i="7"/>
  <c r="B33" i="7"/>
  <c r="O31" i="7"/>
  <c r="J31" i="7"/>
  <c r="E31" i="7"/>
  <c r="N30" i="7"/>
  <c r="I30" i="7"/>
  <c r="D30" i="7"/>
  <c r="M29" i="7"/>
  <c r="H29" i="7"/>
  <c r="D27" i="7"/>
  <c r="H27" i="7"/>
  <c r="L27" i="7"/>
  <c r="J26" i="7"/>
  <c r="E26" i="7"/>
  <c r="O25" i="7"/>
  <c r="I25" i="7"/>
  <c r="D25" i="7"/>
  <c r="K23" i="7"/>
  <c r="B21" i="7"/>
  <c r="F21" i="7"/>
  <c r="J21" i="7"/>
  <c r="N21" i="7"/>
  <c r="D21" i="7"/>
  <c r="H21" i="7"/>
  <c r="L21" i="7"/>
  <c r="O19" i="7"/>
  <c r="G19" i="7"/>
  <c r="B13" i="7"/>
  <c r="F13" i="7"/>
  <c r="J13" i="7"/>
  <c r="N13" i="7"/>
  <c r="D13" i="7"/>
  <c r="H13" i="7"/>
  <c r="L13" i="7"/>
  <c r="M186" i="6"/>
  <c r="M178" i="6"/>
  <c r="M170" i="6"/>
  <c r="M162" i="6"/>
  <c r="M154" i="6"/>
  <c r="M146" i="6"/>
  <c r="L145" i="6"/>
  <c r="S134" i="12"/>
  <c r="D134" i="6"/>
  <c r="H134" i="6"/>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Q106" i="12"/>
  <c r="D106" i="6"/>
  <c r="H106" i="6"/>
  <c r="L106" i="12" s="1"/>
  <c r="L106" i="6"/>
  <c r="B106" i="6"/>
  <c r="F106" i="6"/>
  <c r="J106" i="6"/>
  <c r="N106" i="6"/>
  <c r="C106" i="6"/>
  <c r="L106" i="5" s="1"/>
  <c r="M106" i="5" s="1"/>
  <c r="K106" i="6"/>
  <c r="S106" i="12" s="1"/>
  <c r="E106" i="6"/>
  <c r="M106" i="6"/>
  <c r="G106" i="6"/>
  <c r="O106" i="6"/>
  <c r="B157" i="7"/>
  <c r="F157" i="7"/>
  <c r="J157" i="7"/>
  <c r="N157" i="7"/>
  <c r="D151" i="7"/>
  <c r="H151" i="7"/>
  <c r="L151" i="7"/>
  <c r="O146" i="7"/>
  <c r="B141" i="7"/>
  <c r="J141" i="7"/>
  <c r="D135" i="7"/>
  <c r="H135" i="7"/>
  <c r="L135" i="7"/>
  <c r="D119" i="7"/>
  <c r="H119" i="7"/>
  <c r="L119" i="7"/>
  <c r="I117" i="7"/>
  <c r="C114" i="7"/>
  <c r="G114" i="7"/>
  <c r="K114" i="7"/>
  <c r="O114" i="7"/>
  <c r="N111" i="7"/>
  <c r="I111" i="7"/>
  <c r="I111" i="12" s="1"/>
  <c r="C111" i="7"/>
  <c r="B109" i="7"/>
  <c r="F109" i="7"/>
  <c r="J109" i="7"/>
  <c r="N109" i="7"/>
  <c r="D103" i="7"/>
  <c r="H103" i="7"/>
  <c r="L103" i="7"/>
  <c r="O101" i="7"/>
  <c r="I101" i="7"/>
  <c r="D101" i="7"/>
  <c r="C98" i="7"/>
  <c r="G98" i="7"/>
  <c r="K98" i="7"/>
  <c r="O98" i="7"/>
  <c r="N95" i="7"/>
  <c r="I95" i="7"/>
  <c r="C95" i="7"/>
  <c r="B93" i="7"/>
  <c r="F93" i="7"/>
  <c r="J93" i="7"/>
  <c r="N93" i="7"/>
  <c r="N90" i="7"/>
  <c r="I90" i="7"/>
  <c r="D90" i="7"/>
  <c r="D87" i="7"/>
  <c r="C82" i="7"/>
  <c r="G82" i="7"/>
  <c r="K82" i="7"/>
  <c r="O82" i="7"/>
  <c r="N79" i="7"/>
  <c r="I79" i="7"/>
  <c r="C79" i="7"/>
  <c r="B77" i="7"/>
  <c r="F77" i="7"/>
  <c r="J77" i="7"/>
  <c r="N77" i="7"/>
  <c r="N74" i="7"/>
  <c r="I74" i="7"/>
  <c r="D74" i="7"/>
  <c r="D71" i="7"/>
  <c r="H71" i="7"/>
  <c r="L71" i="7"/>
  <c r="O66" i="7"/>
  <c r="N63" i="7"/>
  <c r="I63" i="7"/>
  <c r="C63" i="7"/>
  <c r="N58" i="7"/>
  <c r="I58" i="7"/>
  <c r="D58" i="7"/>
  <c r="O53" i="7"/>
  <c r="I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M40" i="6"/>
  <c r="B32" i="6"/>
  <c r="F32" i="6"/>
  <c r="J32" i="6"/>
  <c r="N32" i="6"/>
  <c r="C32" i="6"/>
  <c r="L32" i="5" s="1"/>
  <c r="H32" i="6"/>
  <c r="P32" i="12" s="1"/>
  <c r="M32" i="6"/>
  <c r="E32" i="6"/>
  <c r="K32" i="6"/>
  <c r="O13" i="12"/>
  <c r="M23" i="12"/>
  <c r="O25" i="12"/>
  <c r="M27" i="12"/>
  <c r="M13" i="12"/>
  <c r="M25" i="12"/>
  <c r="M61" i="12"/>
  <c r="L19" i="12"/>
  <c r="L31" i="12"/>
  <c r="O40" i="12"/>
  <c r="M46" i="12"/>
  <c r="L47" i="12"/>
  <c r="M74" i="12"/>
  <c r="M78" i="12"/>
  <c r="M12" i="12"/>
  <c r="L13" i="12"/>
  <c r="O61" i="12"/>
  <c r="O48" i="12"/>
  <c r="O65" i="12"/>
  <c r="M82" i="12"/>
  <c r="M86" i="12"/>
  <c r="M90" i="12"/>
  <c r="M94" i="12"/>
  <c r="M98" i="12"/>
  <c r="O49" i="12"/>
  <c r="M55" i="12"/>
  <c r="O64" i="12"/>
  <c r="L79" i="12"/>
  <c r="M85" i="12"/>
  <c r="O87" i="12"/>
  <c r="O115" i="12"/>
  <c r="M121" i="12"/>
  <c r="M88" i="12"/>
  <c r="M111" i="12"/>
  <c r="M115" i="12"/>
  <c r="O131" i="12"/>
  <c r="M138" i="12"/>
  <c r="M144" i="12"/>
  <c r="N149" i="12"/>
  <c r="M156" i="12"/>
  <c r="M160" i="12"/>
  <c r="O127" i="12"/>
  <c r="L135" i="12"/>
  <c r="O173" i="12"/>
  <c r="M175" i="12"/>
  <c r="M179" i="12"/>
  <c r="O123" i="12"/>
  <c r="N134" i="12"/>
  <c r="N135" i="12"/>
  <c r="O144" i="12"/>
  <c r="M146" i="12"/>
  <c r="L105" i="12"/>
  <c r="L117" i="12"/>
  <c r="M161" i="12"/>
  <c r="M169" i="12"/>
  <c r="M185" i="12"/>
  <c r="L153" i="12"/>
  <c r="M184" i="12"/>
  <c r="M188" i="12"/>
  <c r="L165" i="12"/>
  <c r="L169"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Q108" i="12"/>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9" i="12" s="1"/>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S156" i="12"/>
  <c r="Q148" i="12"/>
  <c r="D142" i="6"/>
  <c r="H142" i="6"/>
  <c r="L142" i="6"/>
  <c r="C137" i="6"/>
  <c r="G137" i="6"/>
  <c r="K137" i="6"/>
  <c r="R137" i="12" s="1"/>
  <c r="O137" i="6"/>
  <c r="Q132" i="12"/>
  <c r="B132" i="6"/>
  <c r="F132" i="6"/>
  <c r="J132" i="6"/>
  <c r="N132" i="6"/>
  <c r="D126" i="6"/>
  <c r="H126" i="6"/>
  <c r="P126" i="12" s="1"/>
  <c r="L126" i="6"/>
  <c r="Q121" i="12"/>
  <c r="C121" i="6"/>
  <c r="G121" i="6"/>
  <c r="K121" i="6"/>
  <c r="O121" i="6"/>
  <c r="B116" i="6"/>
  <c r="F116" i="6"/>
  <c r="J116" i="6"/>
  <c r="N116" i="6"/>
  <c r="D110" i="6"/>
  <c r="H110" i="6"/>
  <c r="P110" i="12" s="1"/>
  <c r="L110" i="6"/>
  <c r="Q102" i="12"/>
  <c r="D102" i="6"/>
  <c r="H102" i="6"/>
  <c r="L101" i="12" s="1"/>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D172" i="6"/>
  <c r="O171" i="6"/>
  <c r="K171" i="6"/>
  <c r="G171" i="6"/>
  <c r="C171" i="6"/>
  <c r="S169" i="12"/>
  <c r="Q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Q138" i="12"/>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3" i="12" s="1"/>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105" i="12"/>
  <c r="P101" i="12"/>
  <c r="P97" i="12"/>
  <c r="P89" i="12"/>
  <c r="P85" i="12"/>
  <c r="Q85" i="12"/>
  <c r="Q77" i="12"/>
  <c r="Q73" i="12"/>
  <c r="Q69" i="12"/>
  <c r="C65" i="6"/>
  <c r="G65" i="6"/>
  <c r="K65" i="6"/>
  <c r="N65" i="12" s="1"/>
  <c r="O65" i="6"/>
  <c r="B60" i="6"/>
  <c r="F60" i="6"/>
  <c r="J60" i="6"/>
  <c r="N60" i="6"/>
  <c r="D54" i="6"/>
  <c r="H54" i="6"/>
  <c r="L54" i="12" s="1"/>
  <c r="L54" i="6"/>
  <c r="O54" i="12" s="1"/>
  <c r="C49" i="6"/>
  <c r="L49" i="5" s="1"/>
  <c r="M49" i="5" s="1"/>
  <c r="G49" i="6"/>
  <c r="K49" i="6"/>
  <c r="N49" i="12" s="1"/>
  <c r="O49" i="6"/>
  <c r="S44" i="12"/>
  <c r="B44" i="6"/>
  <c r="F44" i="6"/>
  <c r="J44" i="6"/>
  <c r="N44" i="6"/>
  <c r="D38" i="6"/>
  <c r="H38" i="6"/>
  <c r="P38" i="12" s="1"/>
  <c r="L38" i="6"/>
  <c r="C33" i="6"/>
  <c r="L33" i="5" s="1"/>
  <c r="M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P135" i="12"/>
  <c r="R135" i="12"/>
  <c r="S135" i="12"/>
  <c r="S127" i="12"/>
  <c r="R127" i="12"/>
  <c r="P119" i="12"/>
  <c r="Q115" i="12"/>
  <c r="S111" i="12"/>
  <c r="Q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R83" i="12"/>
  <c r="S83" i="12"/>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S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Q47" i="12"/>
  <c r="R47" i="12"/>
  <c r="P31" i="12"/>
  <c r="O29" i="6"/>
  <c r="K29" i="6"/>
  <c r="G29" i="6"/>
  <c r="Q27" i="12"/>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P19" i="12"/>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L190" i="12"/>
  <c r="B190" i="12"/>
  <c r="F190" i="12"/>
  <c r="J190" i="12"/>
  <c r="O172"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N188" i="12"/>
  <c r="D188" i="12"/>
  <c r="B184" i="12"/>
  <c r="F184" i="12"/>
  <c r="N184" i="12"/>
  <c r="D184" i="12"/>
  <c r="B180" i="12"/>
  <c r="F180" i="12"/>
  <c r="D180" i="12"/>
  <c r="B176" i="12"/>
  <c r="F176" i="12"/>
  <c r="N176" i="12"/>
  <c r="D176" i="12"/>
  <c r="M172" i="12"/>
  <c r="E172" i="12"/>
  <c r="M168" i="12"/>
  <c r="E168" i="12"/>
  <c r="E164" i="12"/>
  <c r="C162" i="12"/>
  <c r="G162" i="12"/>
  <c r="D162" i="12"/>
  <c r="L162" i="12"/>
  <c r="B162" i="12"/>
  <c r="F162" i="12"/>
  <c r="R162" i="12"/>
  <c r="C154" i="12"/>
  <c r="G154" i="12"/>
  <c r="S154" i="12"/>
  <c r="D154" i="12"/>
  <c r="B154" i="12"/>
  <c r="F154" i="12"/>
  <c r="N154" i="12"/>
  <c r="R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L172" i="12"/>
  <c r="P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P160" i="12"/>
  <c r="L160" i="12"/>
  <c r="D160" i="12"/>
  <c r="G159" i="12"/>
  <c r="D156" i="12"/>
  <c r="O155" i="12"/>
  <c r="G155" i="12"/>
  <c r="D152" i="12"/>
  <c r="G151" i="12"/>
  <c r="F150" i="12"/>
  <c r="B150" i="12"/>
  <c r="H148" i="12"/>
  <c r="D148" i="12"/>
  <c r="O147"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O133" i="12"/>
  <c r="D126" i="12"/>
  <c r="B124" i="12"/>
  <c r="F124" i="12"/>
  <c r="D120" i="12"/>
  <c r="P120" i="12"/>
  <c r="B120" i="12"/>
  <c r="F120" i="12"/>
  <c r="D116" i="12"/>
  <c r="B116" i="12"/>
  <c r="F116" i="12"/>
  <c r="D112" i="12"/>
  <c r="P112" i="12"/>
  <c r="B112" i="12"/>
  <c r="F112" i="12"/>
  <c r="N112" i="12"/>
  <c r="R112" i="12"/>
  <c r="D108" i="12"/>
  <c r="B108" i="12"/>
  <c r="F108" i="12"/>
  <c r="D104" i="12"/>
  <c r="L104" i="12"/>
  <c r="B104" i="12"/>
  <c r="F104" i="12"/>
  <c r="R104" i="12"/>
  <c r="D100" i="12"/>
  <c r="B100" i="12"/>
  <c r="F100" i="12"/>
  <c r="F160" i="12"/>
  <c r="R156" i="12"/>
  <c r="N156" i="12"/>
  <c r="F156" i="12"/>
  <c r="F152" i="12"/>
  <c r="D150" i="12"/>
  <c r="J148" i="12"/>
  <c r="F148" i="12"/>
  <c r="P146" i="12"/>
  <c r="D146" i="12"/>
  <c r="F144" i="12"/>
  <c r="O142" i="12"/>
  <c r="E142" i="12"/>
  <c r="E140" i="12"/>
  <c r="C137" i="12"/>
  <c r="G137" i="12"/>
  <c r="R134" i="12"/>
  <c r="G134" i="12"/>
  <c r="E133" i="12"/>
  <c r="D130" i="12"/>
  <c r="B128" i="12"/>
  <c r="F128" i="12"/>
  <c r="O126" i="12"/>
  <c r="E126" i="12"/>
  <c r="P124" i="12"/>
  <c r="E124" i="12"/>
  <c r="G120" i="12"/>
  <c r="G116" i="12"/>
  <c r="O112" i="12"/>
  <c r="G112" i="12"/>
  <c r="G108" i="12"/>
  <c r="M106" i="12"/>
  <c r="E106" i="12"/>
  <c r="G104" i="12"/>
  <c r="M102" i="12"/>
  <c r="E102" i="12"/>
  <c r="G100" i="12"/>
  <c r="C96" i="12"/>
  <c r="G96" i="12"/>
  <c r="S96" i="12"/>
  <c r="D96" i="12"/>
  <c r="L96" i="12"/>
  <c r="B96" i="12"/>
  <c r="F96" i="12"/>
  <c r="J96" i="12"/>
  <c r="N96" i="12"/>
  <c r="R96" i="12"/>
  <c r="G150" i="12"/>
  <c r="G146" i="12"/>
  <c r="S142" i="12"/>
  <c r="N142" i="12"/>
  <c r="C142" i="12"/>
  <c r="C141" i="12"/>
  <c r="G141" i="12"/>
  <c r="O141" i="12"/>
  <c r="D140" i="12"/>
  <c r="D134" i="12"/>
  <c r="L134" i="12"/>
  <c r="P134" i="12"/>
  <c r="D133" i="12"/>
  <c r="B132" i="12"/>
  <c r="F132" i="12"/>
  <c r="S126" i="12"/>
  <c r="C126" i="12"/>
  <c r="C125" i="12"/>
  <c r="G125" i="12"/>
  <c r="D124" i="12"/>
  <c r="E120" i="12"/>
  <c r="E116" i="12"/>
  <c r="M112" i="12"/>
  <c r="E112" i="12"/>
  <c r="M108" i="12"/>
  <c r="E108" i="12"/>
  <c r="E104" i="12"/>
  <c r="E100" i="12"/>
  <c r="G121" i="12"/>
  <c r="G117" i="12"/>
  <c r="O113" i="12"/>
  <c r="G113" i="12"/>
  <c r="G109" i="12"/>
  <c r="G105" i="12"/>
  <c r="O101" i="12"/>
  <c r="G101" i="12"/>
  <c r="D98" i="12"/>
  <c r="O97" i="12"/>
  <c r="G97" i="12"/>
  <c r="D94" i="12"/>
  <c r="G93" i="12"/>
  <c r="R92" i="12"/>
  <c r="N92" i="12"/>
  <c r="F92" i="12"/>
  <c r="B92" i="12"/>
  <c r="D90" i="12"/>
  <c r="G89" i="12"/>
  <c r="R88" i="12"/>
  <c r="N88" i="12"/>
  <c r="F88" i="12"/>
  <c r="B88" i="12"/>
  <c r="D86" i="12"/>
  <c r="O85" i="12"/>
  <c r="G85" i="12"/>
  <c r="F84" i="12"/>
  <c r="B84" i="12"/>
  <c r="C80" i="12"/>
  <c r="G80" i="12"/>
  <c r="S80" i="12"/>
  <c r="M77" i="12"/>
  <c r="G77" i="12"/>
  <c r="P76" i="12"/>
  <c r="E76" i="12"/>
  <c r="D73" i="12"/>
  <c r="B71" i="12"/>
  <c r="F71" i="12"/>
  <c r="D71" i="12"/>
  <c r="O69" i="12"/>
  <c r="G69" i="12"/>
  <c r="R68" i="12"/>
  <c r="D60" i="12"/>
  <c r="L60" i="12"/>
  <c r="P60" i="12"/>
  <c r="B60" i="12"/>
  <c r="G60" i="12"/>
  <c r="E60" i="12"/>
  <c r="O60" i="12"/>
  <c r="Q52" i="12"/>
  <c r="N51" i="12"/>
  <c r="D77" i="12"/>
  <c r="L77" i="12"/>
  <c r="P77" i="12"/>
  <c r="B75" i="12"/>
  <c r="F75" i="12"/>
  <c r="B66" i="12"/>
  <c r="F66" i="12"/>
  <c r="E66" i="12"/>
  <c r="C66" i="12"/>
  <c r="M66" i="12"/>
  <c r="C51" i="12"/>
  <c r="G51" i="12"/>
  <c r="S51" i="12"/>
  <c r="B51" i="12"/>
  <c r="R51" i="12"/>
  <c r="E51" i="12"/>
  <c r="B50" i="12"/>
  <c r="F50" i="12"/>
  <c r="N50" i="12"/>
  <c r="R50" i="12"/>
  <c r="D50" i="12"/>
  <c r="O50" i="12"/>
  <c r="E50" i="12"/>
  <c r="C50" i="12"/>
  <c r="S50" i="12"/>
  <c r="F98" i="12"/>
  <c r="F94" i="12"/>
  <c r="D92" i="12"/>
  <c r="R90" i="12"/>
  <c r="F90" i="12"/>
  <c r="D88" i="12"/>
  <c r="R86" i="12"/>
  <c r="N86" i="12"/>
  <c r="F86" i="12"/>
  <c r="D84" i="12"/>
  <c r="D81" i="12"/>
  <c r="B79" i="12"/>
  <c r="F79" i="12"/>
  <c r="E77" i="12"/>
  <c r="P75" i="12"/>
  <c r="E75" i="12"/>
  <c r="S69" i="12"/>
  <c r="N68" i="12"/>
  <c r="C67" i="12"/>
  <c r="G67" i="12"/>
  <c r="S67" i="12"/>
  <c r="B67" i="12"/>
  <c r="E67" i="12"/>
  <c r="P67" i="12"/>
  <c r="N59" i="12"/>
  <c r="B58" i="12"/>
  <c r="F58" i="12"/>
  <c r="N58" i="12"/>
  <c r="R58" i="12"/>
  <c r="C58" i="12"/>
  <c r="H58" i="12"/>
  <c r="S58" i="12"/>
  <c r="E58" i="12"/>
  <c r="K58" i="12"/>
  <c r="D52" i="12"/>
  <c r="L52" i="12"/>
  <c r="P52" i="12"/>
  <c r="E52" i="12"/>
  <c r="B52" i="12"/>
  <c r="G52" i="12"/>
  <c r="M52" i="12"/>
  <c r="S92" i="12"/>
  <c r="G92" i="12"/>
  <c r="S88" i="12"/>
  <c r="G88" i="12"/>
  <c r="G84" i="12"/>
  <c r="C77" i="12"/>
  <c r="C76" i="12"/>
  <c r="G76" i="12"/>
  <c r="D75" i="12"/>
  <c r="D69" i="12"/>
  <c r="L69" i="12"/>
  <c r="P69" i="12"/>
  <c r="B69" i="12"/>
  <c r="F69" i="12"/>
  <c r="D68" i="12"/>
  <c r="E68" i="12"/>
  <c r="S68" i="12"/>
  <c r="B68" i="12"/>
  <c r="G68" i="12"/>
  <c r="M68" i="12"/>
  <c r="Q68" i="12"/>
  <c r="Q66" i="12"/>
  <c r="G66" i="12"/>
  <c r="C59" i="12"/>
  <c r="G59" i="12"/>
  <c r="O59" i="12"/>
  <c r="S59" i="12"/>
  <c r="E59" i="12"/>
  <c r="B59" i="12"/>
  <c r="R59" i="12"/>
  <c r="Q51" i="12"/>
  <c r="F51" i="12"/>
  <c r="D64" i="12"/>
  <c r="B62" i="12"/>
  <c r="F62" i="12"/>
  <c r="N62" i="12"/>
  <c r="R62" i="12"/>
  <c r="C55" i="12"/>
  <c r="G55" i="12"/>
  <c r="O55" i="12"/>
  <c r="S55" i="12"/>
  <c r="D48" i="12"/>
  <c r="B46" i="12"/>
  <c r="F46" i="12"/>
  <c r="R46" i="12"/>
  <c r="O44" i="12"/>
  <c r="E44" i="12"/>
  <c r="R43" i="12"/>
  <c r="E42" i="12"/>
  <c r="C39" i="12"/>
  <c r="G39" i="12"/>
  <c r="O39" i="12"/>
  <c r="R36" i="12"/>
  <c r="G36" i="12"/>
  <c r="D34" i="12"/>
  <c r="B34" i="12"/>
  <c r="F34" i="12"/>
  <c r="O32" i="12"/>
  <c r="G32" i="12"/>
  <c r="D30" i="12"/>
  <c r="P30" i="12"/>
  <c r="B30" i="12"/>
  <c r="F30" i="12"/>
  <c r="G28" i="12"/>
  <c r="D26" i="12"/>
  <c r="B26" i="12"/>
  <c r="F26" i="12"/>
  <c r="R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K72" i="12"/>
  <c r="G72" i="12"/>
  <c r="I64" i="12"/>
  <c r="C64" i="12"/>
  <c r="C63" i="12"/>
  <c r="G63" i="12"/>
  <c r="O63" i="12"/>
  <c r="D62" i="12"/>
  <c r="D56" i="12"/>
  <c r="N55" i="12"/>
  <c r="D55" i="12"/>
  <c r="B54" i="12"/>
  <c r="F54" i="12"/>
  <c r="N54" i="12"/>
  <c r="R54" i="12"/>
  <c r="C48" i="12"/>
  <c r="C47" i="12"/>
  <c r="G47" i="12"/>
  <c r="O47" i="12"/>
  <c r="D46" i="12"/>
  <c r="R44" i="12"/>
  <c r="G44" i="12"/>
  <c r="E43" i="12"/>
  <c r="D40" i="12"/>
  <c r="L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R24" i="12"/>
  <c r="D24" i="12"/>
  <c r="B20" i="12"/>
  <c r="F20" i="12"/>
  <c r="D20" i="12"/>
  <c r="B16" i="12"/>
  <c r="F16" i="12"/>
  <c r="R16" i="12"/>
  <c r="D16" i="12"/>
  <c r="B12" i="12"/>
  <c r="F12" i="12"/>
  <c r="N12" i="12"/>
  <c r="R12" i="12"/>
  <c r="D12" i="12"/>
  <c r="B8" i="12"/>
  <c r="F8" i="12"/>
  <c r="D8" i="12"/>
  <c r="S35"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G162" i="14" s="1"/>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G96" i="14" s="1"/>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G26" i="14" s="1"/>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B233" i="2" l="1"/>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L146" i="5"/>
  <c r="R170" i="12"/>
  <c r="H111" i="12"/>
  <c r="E128" i="5"/>
  <c r="O117" i="12"/>
  <c r="L116" i="5"/>
  <c r="Q128" i="12"/>
  <c r="O157" i="12"/>
  <c r="R115" i="12"/>
  <c r="N152" i="12"/>
  <c r="E139" i="5"/>
  <c r="E115" i="5"/>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H170" i="12"/>
  <c r="S34" i="12"/>
  <c r="S152" i="12"/>
  <c r="O118" i="7"/>
  <c r="B69" i="7"/>
  <c r="H181" i="12"/>
  <c r="K78" i="7"/>
  <c r="H31" i="3"/>
  <c r="E74" i="3"/>
  <c r="G170" i="7"/>
  <c r="E25" i="3"/>
  <c r="F121" i="2"/>
  <c r="G167" i="14"/>
  <c r="P66" i="5"/>
  <c r="G52" i="7"/>
  <c r="K11" i="7"/>
  <c r="N60" i="7"/>
  <c r="K60" i="7"/>
  <c r="J60" i="12" s="1"/>
  <c r="N123" i="7"/>
  <c r="K129" i="3"/>
  <c r="N38" i="7"/>
  <c r="C52" i="7"/>
  <c r="C60" i="7"/>
  <c r="E62" i="7"/>
  <c r="E86" i="7"/>
  <c r="F167" i="7"/>
  <c r="I188" i="7"/>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C11" i="7"/>
  <c r="G60" i="7"/>
  <c r="N24" i="7"/>
  <c r="J60" i="7"/>
  <c r="D129" i="7"/>
  <c r="K56" i="3"/>
  <c r="E170" i="3"/>
  <c r="M67" i="5"/>
  <c r="I38" i="7"/>
  <c r="L65" i="7"/>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E51" i="7"/>
  <c r="H64" i="3"/>
  <c r="K28" i="3"/>
  <c r="I181" i="7"/>
  <c r="I180" i="12" s="1"/>
  <c r="M33" i="7"/>
  <c r="K129" i="7"/>
  <c r="E91" i="7"/>
  <c r="K33" i="7"/>
  <c r="J33" i="12" s="1"/>
  <c r="J91" i="7"/>
  <c r="P152" i="12"/>
  <c r="N51" i="7"/>
  <c r="Q103" i="12"/>
  <c r="J15" i="7"/>
  <c r="I69" i="7"/>
  <c r="J33" i="7"/>
  <c r="M55" i="7"/>
  <c r="K181" i="7"/>
  <c r="J181" i="12" s="1"/>
  <c r="F117" i="7"/>
  <c r="O15" i="7"/>
  <c r="O62" i="7"/>
  <c r="H172" i="12"/>
  <c r="J152" i="5"/>
  <c r="K162" i="3"/>
  <c r="N188" i="7"/>
  <c r="F170" i="7"/>
  <c r="H30" i="3"/>
  <c r="N45" i="2"/>
  <c r="O45" i="2" s="1"/>
  <c r="N117" i="2"/>
  <c r="O117" i="2" s="1"/>
  <c r="E11" i="7"/>
  <c r="L24" i="7"/>
  <c r="H60" i="7"/>
  <c r="K51" i="7"/>
  <c r="J51" i="12" s="1"/>
  <c r="B99" i="7"/>
  <c r="M143" i="5"/>
  <c r="N86" i="7"/>
  <c r="G51" i="7"/>
  <c r="B181" i="7"/>
  <c r="L38" i="7"/>
  <c r="G31" i="14"/>
  <c r="O91" i="7"/>
  <c r="M75" i="5"/>
  <c r="K69" i="12"/>
  <c r="M56" i="12"/>
  <c r="L55" i="12"/>
  <c r="F15" i="7"/>
  <c r="O69" i="7"/>
  <c r="F33" i="7"/>
  <c r="L91" i="7"/>
  <c r="L123" i="7"/>
  <c r="O181" i="7"/>
  <c r="B117" i="7"/>
  <c r="J89" i="7"/>
  <c r="G127" i="7"/>
  <c r="K172" i="12"/>
  <c r="K182" i="12"/>
  <c r="M84" i="5"/>
  <c r="E53" i="3"/>
  <c r="J188" i="7"/>
  <c r="N161" i="2"/>
  <c r="O161" i="2" s="1"/>
  <c r="D11" i="7"/>
  <c r="H24" i="7"/>
  <c r="C164" i="7"/>
  <c r="M24" i="7"/>
  <c r="H52" i="7"/>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D100" i="7"/>
  <c r="K171" i="3"/>
  <c r="L90" i="7"/>
  <c r="K90" i="12" s="1"/>
  <c r="G100" i="7"/>
  <c r="M100" i="7"/>
  <c r="P131" i="5"/>
  <c r="L100" i="7"/>
  <c r="J35" i="7"/>
  <c r="C107" i="7"/>
  <c r="D132" i="7"/>
  <c r="J136" i="7"/>
  <c r="L121" i="7"/>
  <c r="I136" i="7"/>
  <c r="P42" i="5"/>
  <c r="O100" i="7"/>
  <c r="D96" i="7"/>
  <c r="C100" i="7"/>
  <c r="L113" i="7"/>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D89" i="7"/>
  <c r="J133" i="7"/>
  <c r="F121" i="7"/>
  <c r="K178" i="7"/>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L55" i="7"/>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I55" i="7"/>
  <c r="C123" i="7"/>
  <c r="L133" i="7"/>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I181" i="12"/>
  <c r="E182" i="7"/>
  <c r="L109" i="7"/>
  <c r="J175" i="7"/>
  <c r="F111" i="7"/>
  <c r="P80" i="5"/>
  <c r="G37" i="7"/>
  <c r="I97" i="7"/>
  <c r="D177" i="7"/>
  <c r="G163" i="7"/>
  <c r="I182" i="7"/>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E161" i="7"/>
  <c r="J179" i="7"/>
  <c r="H44" i="3"/>
  <c r="K131" i="7"/>
  <c r="M161" i="7"/>
  <c r="M131" i="7"/>
  <c r="M10" i="7"/>
  <c r="C161" i="7"/>
  <c r="O131" i="7"/>
  <c r="K116" i="7"/>
  <c r="C26" i="7"/>
  <c r="G18" i="2"/>
  <c r="J83" i="2"/>
  <c r="K83" i="2" s="1"/>
  <c r="D70" i="7"/>
  <c r="J161" i="7"/>
  <c r="F179" i="7"/>
  <c r="I26" i="7"/>
  <c r="J70" i="7"/>
  <c r="E165" i="7"/>
  <c r="L26" i="7"/>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M124" i="5"/>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K113" i="12"/>
  <c r="E137" i="7"/>
  <c r="I157" i="12"/>
  <c r="I137" i="7"/>
  <c r="I137" i="12" s="1"/>
  <c r="K154" i="12"/>
  <c r="K163" i="12"/>
  <c r="D137" i="7"/>
  <c r="H162" i="12"/>
  <c r="M137" i="7"/>
  <c r="K112" i="12"/>
  <c r="H154" i="12"/>
  <c r="C137" i="7"/>
  <c r="H112" i="12"/>
  <c r="H132" i="12"/>
  <c r="H137" i="7"/>
  <c r="H137" i="12" s="1"/>
  <c r="J162" i="12"/>
  <c r="H144" i="12"/>
  <c r="K162" i="12"/>
  <c r="I158" i="12"/>
  <c r="K133"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H56" i="7"/>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I69" i="12"/>
  <c r="H50" i="7"/>
  <c r="I62" i="12"/>
  <c r="N99" i="7"/>
  <c r="E106" i="7"/>
  <c r="J45" i="5"/>
  <c r="H95" i="12"/>
  <c r="J89" i="12"/>
  <c r="H89" i="12"/>
  <c r="B73" i="7"/>
  <c r="L99" i="7"/>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K70" i="12"/>
  <c r="H69" i="12"/>
  <c r="J77" i="12"/>
  <c r="M76" i="5"/>
  <c r="J118" i="5"/>
  <c r="K45" i="3"/>
  <c r="H138" i="3"/>
  <c r="H154" i="3"/>
  <c r="G93" i="2"/>
  <c r="J84" i="7"/>
  <c r="D80" i="7"/>
  <c r="O99" i="7"/>
  <c r="N132" i="2"/>
  <c r="O132" i="2" s="1"/>
  <c r="E32" i="3"/>
  <c r="H169" i="7"/>
  <c r="H169" i="12" s="1"/>
  <c r="B84" i="7"/>
  <c r="M99" i="7"/>
  <c r="I61" i="7"/>
  <c r="I61" i="12" s="1"/>
  <c r="L61" i="7"/>
  <c r="K61" i="12" s="1"/>
  <c r="L169" i="7"/>
  <c r="M73" i="7"/>
  <c r="P94" i="5"/>
  <c r="K88" i="12"/>
  <c r="N8" i="12"/>
  <c r="R14" i="12"/>
  <c r="M59" i="12"/>
  <c r="H96" i="12"/>
  <c r="C50" i="7"/>
  <c r="F61" i="7"/>
  <c r="C146" i="7"/>
  <c r="K91" i="12"/>
  <c r="F129" i="7"/>
  <c r="H146" i="7"/>
  <c r="J176" i="7"/>
  <c r="J30" i="5"/>
  <c r="H79" i="12"/>
  <c r="H72" i="12"/>
  <c r="I70"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78" i="12"/>
  <c r="J102" i="5"/>
  <c r="F25" i="2"/>
  <c r="F105" i="2"/>
  <c r="J138" i="2"/>
  <c r="K138" i="2" s="1"/>
  <c r="D50" i="7"/>
  <c r="I80" i="7"/>
  <c r="I80" i="12" s="1"/>
  <c r="H129" i="7"/>
  <c r="H129" i="12" s="1"/>
  <c r="K99" i="7"/>
  <c r="G44" i="2"/>
  <c r="H68" i="7"/>
  <c r="I167" i="7"/>
  <c r="I166" i="12" s="1"/>
  <c r="C169" i="7"/>
  <c r="N108" i="2"/>
  <c r="O108" i="2" s="1"/>
  <c r="F8" i="7"/>
  <c r="B146" i="7"/>
  <c r="I176" i="7"/>
  <c r="I175" i="12" s="1"/>
  <c r="N84" i="7"/>
  <c r="K173" i="3"/>
  <c r="G100" i="14"/>
  <c r="G132" i="14"/>
  <c r="K63" i="12"/>
  <c r="J62" i="12"/>
  <c r="J67" i="12"/>
  <c r="J94" i="12"/>
  <c r="H77" i="12"/>
  <c r="H60" i="12"/>
  <c r="K175" i="12"/>
  <c r="M89" i="5"/>
  <c r="L181" i="12"/>
  <c r="K87" i="12"/>
  <c r="I106" i="7"/>
  <c r="H151" i="12"/>
  <c r="H59" i="12"/>
  <c r="J91"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H165" i="12"/>
  <c r="K92" i="12"/>
  <c r="J88"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K68" i="7"/>
  <c r="J68" i="12" s="1"/>
  <c r="B167" i="7"/>
  <c r="D8" i="7"/>
  <c r="K167" i="7"/>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K55" i="12"/>
  <c r="G15" i="14"/>
  <c r="J35" i="5"/>
  <c r="K179" i="3"/>
  <c r="G90" i="14"/>
  <c r="P27" i="5"/>
  <c r="K131" i="3"/>
  <c r="E119" i="3"/>
  <c r="J90" i="5"/>
  <c r="H111" i="3"/>
  <c r="K37" i="3"/>
  <c r="E70" i="3"/>
  <c r="H93" i="3"/>
  <c r="E88" i="3"/>
  <c r="E98" i="5"/>
  <c r="F98" i="5" s="1"/>
  <c r="G98" i="5" s="1"/>
  <c r="M12" i="5"/>
  <c r="K16" i="3"/>
  <c r="H139" i="3"/>
  <c r="F71" i="5"/>
  <c r="G71" i="5" s="1"/>
  <c r="K52" i="3"/>
  <c r="K159" i="3"/>
  <c r="H20" i="12"/>
  <c r="I55" i="12"/>
  <c r="H18" i="12"/>
  <c r="N46" i="12"/>
  <c r="I51"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50" i="12"/>
  <c r="H16" i="12"/>
  <c r="J8" i="12"/>
  <c r="J52" i="12"/>
  <c r="J86" i="12"/>
  <c r="H51" i="12"/>
  <c r="P140" i="12"/>
  <c r="M85" i="5"/>
  <c r="R107" i="12"/>
  <c r="S161" i="12"/>
  <c r="N63" i="12"/>
  <c r="O85" i="7"/>
  <c r="K86" i="12"/>
  <c r="H85" i="3"/>
  <c r="H70" i="3"/>
  <c r="N53" i="2"/>
  <c r="O53" i="2" s="1"/>
  <c r="P82" i="5"/>
  <c r="I108" i="7"/>
  <c r="O120" i="7"/>
  <c r="E179" i="3"/>
  <c r="I156" i="7"/>
  <c r="I156" i="12" s="1"/>
  <c r="L120" i="7"/>
  <c r="K120" i="12" s="1"/>
  <c r="K31" i="12"/>
  <c r="K24" i="12"/>
  <c r="H14" i="12"/>
  <c r="J22" i="12"/>
  <c r="H86" i="12"/>
  <c r="R120" i="12"/>
  <c r="H118" i="12"/>
  <c r="R31" i="12"/>
  <c r="R63" i="12"/>
  <c r="Q72" i="12"/>
  <c r="R161" i="12"/>
  <c r="J136" i="5"/>
  <c r="H62" i="3"/>
  <c r="J53" i="2"/>
  <c r="K53" i="2" s="1"/>
  <c r="C108" i="7"/>
  <c r="B156" i="7"/>
  <c r="G120" i="7"/>
  <c r="K19" i="12"/>
  <c r="H24" i="12"/>
  <c r="H26" i="12"/>
  <c r="N129" i="12"/>
  <c r="I86" i="12"/>
  <c r="E26" i="3"/>
  <c r="N22" i="2"/>
  <c r="O22" i="2" s="1"/>
  <c r="G37" i="2"/>
  <c r="L76" i="7"/>
  <c r="K76" i="12" s="1"/>
  <c r="L108" i="7"/>
  <c r="K108" i="12" s="1"/>
  <c r="J108" i="7"/>
  <c r="E108" i="7"/>
  <c r="E120" i="7"/>
  <c r="G71" i="14"/>
  <c r="K75" i="7"/>
  <c r="J75" i="12" s="1"/>
  <c r="I75" i="7"/>
  <c r="I75" i="12" s="1"/>
  <c r="C120" i="7"/>
  <c r="K7" i="12"/>
  <c r="J16" i="12"/>
  <c r="K12" i="12"/>
  <c r="J54" i="12"/>
  <c r="O76" i="12"/>
  <c r="J120" i="12"/>
  <c r="J118" i="12"/>
  <c r="M43" i="5"/>
  <c r="E85" i="7"/>
  <c r="F142" i="2"/>
  <c r="O75" i="7"/>
  <c r="H76" i="7"/>
  <c r="H76" i="12" s="1"/>
  <c r="H108" i="7"/>
  <c r="F156" i="7"/>
  <c r="K108" i="7"/>
  <c r="C156" i="7"/>
  <c r="B76" i="7"/>
  <c r="G108" i="7"/>
  <c r="G75" i="7"/>
  <c r="O108" i="7"/>
  <c r="H52" i="12"/>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L70" i="5"/>
  <c r="M70" i="5" s="1"/>
  <c r="N15" i="12"/>
  <c r="N17" i="12"/>
  <c r="O42" i="12"/>
  <c r="O45" i="12"/>
  <c r="Q45" i="12"/>
  <c r="M48" i="12"/>
  <c r="L82" i="5"/>
  <c r="L87" i="5"/>
  <c r="M87" i="5" s="1"/>
  <c r="L98" i="5"/>
  <c r="M98" i="5" s="1"/>
  <c r="L104" i="5"/>
  <c r="M104" i="5" s="1"/>
  <c r="N117" i="12"/>
  <c r="N123" i="12"/>
  <c r="L156" i="12"/>
  <c r="L159" i="5"/>
  <c r="M159" i="5" s="1"/>
  <c r="D233" i="2"/>
  <c r="O164" i="12"/>
  <c r="N171" i="12"/>
  <c r="L176" i="12"/>
  <c r="L185" i="12"/>
  <c r="B231" i="2"/>
  <c r="P142" i="12"/>
  <c r="L149" i="12"/>
  <c r="O24" i="12"/>
  <c r="O26" i="12"/>
  <c r="L11" i="5"/>
  <c r="L13" i="5"/>
  <c r="M13" i="5" s="1"/>
  <c r="L18" i="5"/>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L93" i="5"/>
  <c r="M93" i="5" s="1"/>
  <c r="L99" i="5"/>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J183" i="12"/>
  <c r="M28" i="12"/>
  <c r="O21" i="12"/>
  <c r="L59" i="5"/>
  <c r="L79" i="5"/>
  <c r="M79" i="5" s="1"/>
  <c r="O89" i="12"/>
  <c r="L103" i="5"/>
  <c r="M103" i="5" s="1"/>
  <c r="L161" i="12"/>
  <c r="O149" i="12"/>
  <c r="L177" i="12"/>
  <c r="H65" i="12"/>
  <c r="E16" i="5"/>
  <c r="F16" i="5" s="1"/>
  <c r="G16" i="5" s="1"/>
  <c r="E75" i="5"/>
  <c r="F75" i="5" s="1"/>
  <c r="G75" i="5" s="1"/>
  <c r="E122" i="5"/>
  <c r="F122" i="5" s="1"/>
  <c r="G122" i="5" s="1"/>
  <c r="E112" i="5"/>
  <c r="F112" i="5" s="1"/>
  <c r="G112" i="5" s="1"/>
  <c r="L36" i="5"/>
  <c r="M36" i="5" s="1"/>
  <c r="O119" i="12"/>
  <c r="O93" i="12"/>
  <c r="O18" i="12"/>
  <c r="O56" i="12"/>
  <c r="M119" i="12"/>
  <c r="I176"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J59" i="12"/>
  <c r="K8" i="3"/>
  <c r="B7" i="28"/>
  <c r="E146" i="5"/>
  <c r="F146" i="5" s="1"/>
  <c r="G146" i="5" s="1"/>
  <c r="P121" i="5"/>
  <c r="P40" i="5"/>
  <c r="L27" i="5"/>
  <c r="M27" i="5" s="1"/>
  <c r="O29" i="12"/>
  <c r="N181" i="12"/>
  <c r="L120" i="12"/>
  <c r="L51" i="5"/>
  <c r="I182" i="12"/>
  <c r="O99" i="12"/>
  <c r="M183" i="12"/>
  <c r="I169" i="12"/>
  <c r="O100" i="12"/>
  <c r="L132" i="12"/>
  <c r="M63" i="12"/>
  <c r="O73" i="12"/>
  <c r="L40" i="5"/>
  <c r="M40" i="5" s="1"/>
  <c r="H61" i="12"/>
  <c r="J178" i="12"/>
  <c r="E94" i="5"/>
  <c r="F94" i="5" s="1"/>
  <c r="G94" i="5" s="1"/>
  <c r="E20" i="5"/>
  <c r="F20" i="5" s="1"/>
  <c r="G20" i="5" s="1"/>
  <c r="E36" i="5"/>
  <c r="F36" i="5" s="1"/>
  <c r="G36" i="5" s="1"/>
  <c r="E120" i="5"/>
  <c r="F120" i="5" s="1"/>
  <c r="G120" i="5" s="1"/>
  <c r="E161" i="5"/>
  <c r="F161" i="5" s="1"/>
  <c r="G161" i="5" s="1"/>
  <c r="M16" i="12"/>
  <c r="L14" i="5"/>
  <c r="M14" i="5" s="1"/>
  <c r="L75" i="12"/>
  <c r="H56" i="12"/>
  <c r="J72" i="12"/>
  <c r="J179" i="12"/>
  <c r="E130" i="5"/>
  <c r="F130" i="5" s="1"/>
  <c r="G130" i="5" s="1"/>
  <c r="E100" i="3"/>
  <c r="K84" i="3"/>
  <c r="F159" i="2"/>
  <c r="P17" i="5"/>
  <c r="P29" i="5"/>
  <c r="P41" i="5"/>
  <c r="M46" i="5"/>
  <c r="O14" i="12"/>
  <c r="M131" i="12"/>
  <c r="M67" i="12"/>
  <c r="L81" i="12"/>
  <c r="L112" i="12"/>
  <c r="L183" i="12"/>
  <c r="H68"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J38" i="12"/>
  <c r="N81" i="12"/>
  <c r="K105" i="12"/>
  <c r="M65" i="5"/>
  <c r="N39" i="7"/>
  <c r="J142" i="5"/>
  <c r="H44" i="7"/>
  <c r="H44" i="12" s="1"/>
  <c r="P29" i="12"/>
  <c r="L29" i="12"/>
  <c r="M155" i="12"/>
  <c r="Q155" i="12"/>
  <c r="M110" i="12"/>
  <c r="Q110" i="12"/>
  <c r="H104" i="7"/>
  <c r="H104" i="12" s="1"/>
  <c r="R139" i="12"/>
  <c r="S139" i="12"/>
  <c r="Q99" i="12"/>
  <c r="M99" i="12"/>
  <c r="M43" i="12"/>
  <c r="S81" i="12"/>
  <c r="J102" i="12"/>
  <c r="I106"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K169" i="12"/>
  <c r="F168" i="7"/>
  <c r="O168" i="7"/>
  <c r="E168" i="7"/>
  <c r="J167" i="12"/>
  <c r="M168" i="7"/>
  <c r="H167" i="12"/>
  <c r="L168" i="7"/>
  <c r="K167" i="12" s="1"/>
  <c r="H168" i="7"/>
  <c r="D168" i="7"/>
  <c r="J128" i="12"/>
  <c r="P161" i="12"/>
  <c r="I108"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J100" i="12"/>
  <c r="Q131" i="12"/>
  <c r="H141" i="12"/>
  <c r="J105" i="12"/>
  <c r="H105" i="12"/>
  <c r="P114" i="5"/>
  <c r="B104" i="7"/>
  <c r="B168" i="7"/>
  <c r="G82" i="2"/>
  <c r="H179" i="3"/>
  <c r="E134" i="3"/>
  <c r="H128" i="7"/>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K121" i="12" s="1"/>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M18" i="5"/>
  <c r="R99" i="12"/>
  <c r="M61" i="5"/>
  <c r="M140" i="5"/>
  <c r="H107" i="12"/>
  <c r="N126" i="7"/>
  <c r="J20" i="5"/>
  <c r="I145" i="12"/>
  <c r="I159" i="12"/>
  <c r="H163" i="12"/>
  <c r="K99"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K152" i="12"/>
  <c r="H159" i="12"/>
  <c r="G126" i="7"/>
  <c r="M78" i="5"/>
  <c r="K98" i="3"/>
  <c r="H49" i="3"/>
  <c r="K9" i="3"/>
  <c r="E14" i="3"/>
  <c r="K35" i="3"/>
  <c r="H115" i="3"/>
  <c r="K137" i="3"/>
  <c r="G21" i="2"/>
  <c r="F129" i="2"/>
  <c r="F149" i="2"/>
  <c r="N29" i="2"/>
  <c r="O29" i="2" s="1"/>
  <c r="N77" i="2"/>
  <c r="O77" i="2" s="1"/>
  <c r="N101" i="2"/>
  <c r="O101" i="2" s="1"/>
  <c r="J56" i="7"/>
  <c r="G63" i="14"/>
  <c r="J16" i="2"/>
  <c r="K16" i="2" s="1"/>
  <c r="K153" i="7"/>
  <c r="J161" i="12" s="1"/>
  <c r="M11" i="5"/>
  <c r="S99" i="12"/>
  <c r="M31" i="12"/>
  <c r="I101" i="12"/>
  <c r="K150" i="7"/>
  <c r="J163" i="12"/>
  <c r="J151" i="12"/>
  <c r="C126" i="7"/>
  <c r="N174" i="7"/>
  <c r="M92" i="5"/>
  <c r="F101" i="5"/>
  <c r="G101" i="5" s="1"/>
  <c r="F115" i="5"/>
  <c r="G115"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K151" i="12"/>
  <c r="I99" i="12"/>
  <c r="D153" i="7"/>
  <c r="J17" i="5"/>
  <c r="J48" i="5"/>
  <c r="I173" i="12"/>
  <c r="H143" i="12"/>
  <c r="N153" i="7"/>
  <c r="K160" i="12"/>
  <c r="H174" i="7"/>
  <c r="H173" i="12" s="1"/>
  <c r="J94" i="5"/>
  <c r="M99"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K16"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K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189" i="12"/>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88" i="12"/>
  <c r="I109" i="12"/>
  <c r="O9" i="7"/>
  <c r="K178" i="3"/>
  <c r="L186" i="7"/>
  <c r="K186" i="12" s="1"/>
  <c r="G26" i="2"/>
  <c r="P110" i="5"/>
  <c r="H16" i="3"/>
  <c r="I65" i="12"/>
  <c r="N66" i="7"/>
  <c r="H187" i="12"/>
  <c r="G119" i="14"/>
  <c r="P24" i="12"/>
  <c r="Q50" i="12"/>
  <c r="R66" i="12"/>
  <c r="N150" i="12"/>
  <c r="J188" i="12"/>
  <c r="S87" i="12"/>
  <c r="M82" i="5"/>
  <c r="L95" i="12"/>
  <c r="I184" i="12"/>
  <c r="K9" i="7"/>
  <c r="J10" i="12" s="1"/>
  <c r="H186" i="7"/>
  <c r="H186" i="12" s="1"/>
  <c r="E62" i="3"/>
  <c r="G13" i="2"/>
  <c r="D66" i="7"/>
  <c r="M9" i="7"/>
  <c r="H10" i="12"/>
  <c r="I7" i="12"/>
  <c r="M165" i="12"/>
  <c r="I189"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K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24" i="5"/>
  <c r="G124" i="5" s="1"/>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139" i="5"/>
  <c r="G139"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D15" i="28"/>
  <c r="D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I136" i="12"/>
  <c r="J127" i="12"/>
  <c r="J119" i="12"/>
  <c r="H136" i="12"/>
  <c r="H119" i="12"/>
  <c r="H55" i="12"/>
  <c r="K53" i="12"/>
  <c r="H53" i="12"/>
  <c r="K49" i="12"/>
  <c r="H41" i="12"/>
  <c r="I26" i="12"/>
  <c r="I18" i="12"/>
  <c r="I10" i="12"/>
  <c r="H27" i="12"/>
  <c r="H19" i="12"/>
  <c r="H11" i="12"/>
  <c r="K56" i="12"/>
  <c r="H25" i="12"/>
  <c r="K38" i="12"/>
  <c r="K30" i="12"/>
  <c r="K22" i="12"/>
  <c r="K14" i="12"/>
  <c r="I49" i="12"/>
  <c r="I33" i="12"/>
  <c r="I17" i="12"/>
  <c r="K33" i="12"/>
  <c r="K25"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I141" i="12"/>
  <c r="K136" i="12"/>
  <c r="J129" i="12"/>
  <c r="I120" i="12"/>
  <c r="I112" i="12"/>
  <c r="K131" i="12"/>
  <c r="H123" i="12"/>
  <c r="H117" i="12"/>
  <c r="K135" i="12"/>
  <c r="I135" i="12"/>
  <c r="I119" i="12"/>
  <c r="J56" i="12"/>
  <c r="I117" i="12"/>
  <c r="K52" i="12"/>
  <c r="H57" i="12"/>
  <c r="K48" i="12"/>
  <c r="J31" i="12"/>
  <c r="J23" i="12"/>
  <c r="J15" i="12"/>
  <c r="J7" i="12"/>
  <c r="H38" i="12"/>
  <c r="J25" i="12"/>
  <c r="J17" i="12"/>
  <c r="J9" i="12"/>
  <c r="J53" i="12"/>
  <c r="J37" i="12"/>
  <c r="H21" i="12"/>
  <c r="J47" i="12"/>
  <c r="J41" i="12"/>
  <c r="H37" i="12"/>
  <c r="I20" i="12"/>
  <c r="I12" i="12"/>
  <c r="I45" i="12"/>
  <c r="I29" i="12"/>
  <c r="I13"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D16" i="28"/>
  <c r="B15" i="28"/>
  <c r="E210" i="6"/>
  <c r="C210" i="6"/>
  <c r="N151" i="12"/>
  <c r="L61" i="12"/>
  <c r="M45" i="12"/>
  <c r="H191" i="5"/>
  <c r="H192" i="5" s="1"/>
  <c r="J37" i="5"/>
  <c r="K138" i="12"/>
  <c r="H135" i="12"/>
  <c r="H128" i="12"/>
  <c r="J123" i="12"/>
  <c r="J117" i="12"/>
  <c r="I122" i="12"/>
  <c r="K134" i="12"/>
  <c r="H115" i="12"/>
  <c r="J48" i="12"/>
  <c r="H54" i="12"/>
  <c r="K115" i="12"/>
  <c r="H45" i="12"/>
  <c r="I56" i="12"/>
  <c r="I47" i="12"/>
  <c r="I38" i="12"/>
  <c r="I30" i="12"/>
  <c r="I22" i="12"/>
  <c r="I14" i="12"/>
  <c r="K37" i="12"/>
  <c r="H31" i="12"/>
  <c r="H23" i="12"/>
  <c r="H15" i="12"/>
  <c r="H7" i="12"/>
  <c r="H33" i="12"/>
  <c r="H17" i="12"/>
  <c r="H46" i="12"/>
  <c r="K2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M59"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C15"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J55"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3" i="12" l="1"/>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<sst xmlns="http://schemas.openxmlformats.org/spreadsheetml/2006/main" count="3463" uniqueCount="693">
  <si>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</si>
  <si>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</si>
  <si>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</si>
  <si>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</si>
  <si>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</si>
  <si>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</si>
  <si>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</si>
  <si>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</si>
  <si>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</si>
  <si>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</si>
  <si>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</si>
  <si>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</si>
  <si>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</si>
  <si>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</si>
  <si>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</si>
  <si>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</si>
  <si>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</si>
  <si>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</si>
  <si>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</si>
  <si>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</si>
  <si>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</si>
  <si>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</si>
  <si>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</si>
  <si>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</si>
  <si>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</si>
  <si>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</si>
  <si>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</si>
  <si>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</si>
  <si>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</si>
  <si>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</si>
  <si>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</si>
  <si>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</si>
  <si>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</si>
  <si>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</si>
  <si>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</si>
  <si>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</si>
  <si>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</si>
  <si>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</si>
  <si>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</si>
  <si>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</si>
  <si>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</si>
  <si>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</si>
  <si>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</si>
  <si>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</si>
  <si>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</si>
  <si>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</si>
  <si>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</si>
  <si>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</si>
  <si>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</si>
  <si>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</si>
  <si>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</si>
  <si>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</si>
  <si>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</si>
  <si>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</si>
  <si>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</si>
  <si>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</si>
  <si>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</si>
  <si>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</si>
  <si>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</si>
  <si>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</si>
  <si>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</si>
  <si>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</si>
  <si>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</si>
  <si>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</si>
  <si>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</si>
  <si>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</si>
  <si>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</si>
  <si>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</si>
  <si>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</si>
  <si>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</si>
  <si>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</si>
  <si>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</si>
  <si>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</si>
  <si>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</si>
  <si>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</si>
  <si>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</si>
  <si>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</si>
  <si>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</si>
  <si>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</si>
  <si>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</si>
  <si>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</si>
  <si>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</si>
  <si>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</si>
  <si>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</si>
  <si>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</si>
  <si>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</si>
  <si>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</si>
  <si>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</si>
  <si>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</si>
  <si>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</si>
  <si>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</si>
  <si>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</si>
  <si>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</si>
  <si>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</si>
  <si>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</si>
  <si>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</si>
  <si>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</si>
  <si>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</si>
  <si>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</si>
  <si>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</si>
  <si>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</si>
  <si>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</si>
  <si>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</si>
  <si>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</si>
  <si>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</si>
  <si>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</si>
  <si>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</si>
  <si>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</si>
  <si>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</si>
  <si>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</si>
  <si>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</si>
  <si>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</si>
  <si>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</si>
  <si>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</si>
  <si>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</si>
  <si>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</si>
  <si>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</si>
  <si>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</si>
  <si>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</si>
  <si>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</si>
  <si>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</si>
  <si>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</si>
  <si>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</si>
  <si>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</si>
  <si>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</si>
  <si>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</si>
  <si>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</si>
  <si>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</si>
  <si>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</si>
  <si>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</si>
  <si>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</si>
  <si>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</si>
  <si>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</si>
  <si>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</si>
  <si>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</si>
  <si>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</si>
  <si>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</si>
  <si>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</si>
  <si>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</si>
  <si>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</si>
  <si>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</si>
  <si>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</si>
  <si>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</si>
  <si>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</si>
  <si>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</si>
  <si>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</si>
  <si>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</si>
  <si>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</si>
  <si>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</si>
  <si>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</si>
  <si>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</si>
  <si>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</si>
  <si>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</si>
  <si>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</si>
  <si>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</si>
  <si>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</si>
  <si>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</si>
  <si>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</si>
  <si>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</si>
  <si>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</si>
  <si>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</si>
  <si>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</si>
  <si>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</si>
  <si>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</si>
  <si>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</si>
  <si>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</si>
  <si>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</si>
  <si>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</si>
  <si>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</si>
  <si>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</si>
  <si>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</si>
  <si>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</si>
  <si>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</si>
  <si>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</si>
  <si>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</si>
  <si>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</si>
  <si>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</si>
  <si>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</si>
  <si>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</si>
  <si>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</si>
  <si>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</si>
  <si>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</si>
  <si>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</si>
  <si>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</si>
  <si>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</si>
  <si>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</si>
  <si>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</si>
  <si>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</si>
  <si>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</si>
  <si>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</si>
  <si>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</si>
  <si>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</si>
  <si>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</si>
  <si>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</si>
  <si>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</si>
  <si>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</si>
  <si>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</si>
  <si>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</si>
  <si>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</si>
  <si>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</si>
  <si>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</si>
  <si>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</si>
  <si>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</si>
  <si>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</si>
  <si>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</si>
  <si>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</si>
  <si>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</si>
  <si>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</si>
  <si>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</si>
  <si>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</si>
  <si>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</si>
  <si>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</si>
  <si>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</si>
  <si>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</si>
  <si>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</si>
  <si>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</si>
  <si>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</si>
  <si>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</si>
  <si>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</si>
  <si>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</si>
  <si>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</si>
  <si>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</si>
  <si>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</si>
  <si>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</si>
  <si>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</si>
  <si>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</si>
  <si>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</si>
  <si>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</si>
  <si>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</si>
  <si>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</si>
  <si>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</si>
  <si>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</si>
  <si>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</si>
  <si>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</si>
  <si>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</si>
  <si>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</si>
  <si>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</si>
  <si>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</si>
  <si>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</si>
  <si>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</si>
  <si>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</si>
  <si>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</si>
  <si>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</si>
  <si>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</si>
  <si>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</si>
  <si>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</si>
  <si>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</si>
  <si>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</si>
  <si>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</si>
  <si>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</si>
  <si>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</si>
  <si>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</si>
  <si>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</si>
  <si>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</si>
  <si>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</si>
  <si>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</si>
  <si>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</si>
  <si>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</si>
  <si>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</si>
  <si>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</si>
  <si>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</si>
  <si>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</si>
  <si>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</si>
  <si>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</si>
  <si>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</si>
  <si>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</si>
  <si>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</si>
  <si>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</si>
  <si>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</si>
  <si>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</si>
  <si>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</si>
  <si>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</si>
  <si>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</si>
  <si>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</si>
  <si>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</si>
  <si>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</si>
  <si>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</si>
  <si>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</si>
  <si>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</si>
  <si>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</si>
  <si>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</si>
  <si>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</si>
  <si>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</si>
  <si>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</si>
  <si>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</si>
  <si>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</si>
  <si>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</si>
  <si>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</si>
  <si>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</si>
  <si>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</si>
  <si>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</si>
  <si>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</si>
  <si>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</si>
  <si>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</si>
  <si>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</si>
  <si>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</si>
  <si>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</si>
  <si>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</si>
  <si>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</si>
  <si>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</si>
  <si>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</si>
  <si>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</si>
  <si>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</si>
  <si>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</si>
  <si>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</si>
  <si>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</si>
  <si>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</si>
  <si>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</si>
  <si>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</si>
  <si>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</si>
  <si>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</si>
  <si>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</si>
  <si>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</si>
  <si>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</si>
  <si>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</si>
  <si>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</si>
  <si>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</si>
  <si>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</si>
  <si>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</si>
  <si>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</si>
  <si>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</si>
  <si>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</si>
  <si>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</si>
  <si>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</si>
  <si>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</si>
  <si>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</si>
  <si>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</si>
  <si>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</si>
  <si>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</si>
  <si>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</si>
  <si>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</si>
  <si>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</si>
  <si>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</si>
  <si>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</si>
  <si>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</si>
  <si>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</si>
  <si>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</si>
  <si>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</si>
  <si>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</si>
  <si>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</si>
  <si>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</si>
  <si>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</si>
  <si>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</si>
  <si>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</si>
  <si>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</si>
  <si>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</si>
  <si>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</si>
  <si>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</si>
  <si>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</si>
  <si>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</si>
  <si>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</si>
  <si>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</si>
  <si>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</si>
  <si>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</si>
  <si>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</si>
  <si>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</si>
  <si>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</si>
  <si>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</si>
  <si>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</si>
  <si>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</si>
  <si>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</si>
  <si>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</si>
  <si>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</si>
  <si>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</si>
  <si>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</si>
  <si>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</si>
  <si>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</si>
  <si>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</si>
  <si>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</si>
  <si>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</si>
  <si>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</si>
  <si>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</si>
  <si>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</si>
  <si>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</si>
  <si>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</si>
  <si>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</si>
  <si>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</si>
  <si>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</si>
  <si>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</si>
  <si>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</si>
  <si>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</si>
  <si>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</si>
  <si>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</si>
  <si>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</si>
  <si>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</si>
  <si>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</si>
  <si>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</si>
  <si>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</si>
  <si>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</si>
  <si>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</si>
  <si>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</si>
  <si>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</si>
  <si>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</si>
  <si>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</si>
  <si>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</si>
  <si>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</si>
  <si>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</si>
  <si>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</si>
  <si>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</si>
  <si>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</si>
  <si>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</si>
  <si>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</si>
  <si>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</si>
  <si>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</si>
  <si>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</si>
  <si>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</si>
  <si>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</si>
  <si>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</si>
  <si>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</si>
  <si>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</si>
  <si>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</si>
  <si>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</si>
  <si>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</si>
  <si>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</si>
  <si>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</si>
  <si>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</si>
  <si>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</si>
  <si>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</si>
  <si>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</si>
  <si>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</si>
  <si>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</si>
  <si>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</si>
  <si>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</si>
  <si>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</si>
  <si>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</si>
  <si>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</si>
  <si>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</si>
  <si>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</si>
  <si>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</si>
  <si>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</si>
  <si>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</si>
  <si>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</si>
  <si>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</si>
  <si>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</si>
  <si>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</si>
  <si>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</si>
  <si>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</si>
  <si>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</si>
  <si>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</si>
  <si>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</si>
  <si>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</si>
  <si>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</si>
  <si>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</si>
  <si>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</si>
  <si>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</si>
  <si>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</si>
  <si>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</si>
  <si>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</si>
  <si>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</si>
  <si>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</si>
  <si>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</si>
  <si>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</si>
  <si>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</si>
  <si>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</si>
  <si>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</si>
  <si>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</si>
  <si>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</si>
  <si>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</si>
  <si>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</si>
  <si>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</si>
  <si>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</si>
  <si>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</si>
  <si>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</si>
  <si>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</si>
  <si>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</si>
  <si>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</si>
  <si>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</si>
  <si>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</si>
  <si>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</si>
  <si>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</si>
  <si>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</si>
  <si>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</si>
  <si>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</si>
  <si>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</si>
  <si>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</si>
  <si>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</si>
  <si>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</si>
  <si>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</si>
  <si>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</si>
  <si>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</si>
  <si>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</si>
  <si>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</si>
  <si>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</si>
  <si>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</si>
  <si>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</si>
  <si>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</si>
  <si>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</si>
  <si>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</si>
  <si>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</si>
  <si>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</si>
  <si>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</si>
  <si>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</si>
  <si>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</si>
  <si>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</si>
  <si>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</si>
  <si>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</si>
  <si>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</si>
  <si>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</si>
  <si>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</si>
  <si>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</si>
  <si>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</si>
  <si>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</si>
  <si>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</si>
  <si>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</si>
  <si>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</si>
  <si>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</si>
  <si>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</si>
  <si>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</si>
  <si>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</si>
  <si>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</si>
  <si>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</si>
  <si>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</si>
  <si>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</si>
  <si>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</si>
  <si>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</si>
  <si>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</si>
  <si>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</si>
  <si>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</si>
  <si>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</si>
  <si>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</si>
  <si>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</si>
  <si>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</si>
  <si>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</si>
  <si>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</si>
  <si>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</si>
  <si>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</si>
  <si>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</si>
  <si>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</si>
  <si>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</si>
  <si>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</si>
  <si>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</si>
  <si>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</si>
  <si>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</si>
  <si>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</si>
  <si>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</si>
  <si>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</si>
  <si>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</si>
  <si>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</si>
  <si>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</si>
  <si>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</si>
  <si>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</si>
  <si>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</si>
  <si>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</si>
  <si>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</si>
  <si>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</si>
  <si>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</si>
  <si>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</si>
  <si>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</si>
  <si>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</si>
  <si>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</si>
  <si>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</si>
  <si>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</si>
  <si>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</si>
  <si>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</si>
  <si>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</si>
  <si>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</si>
  <si>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</si>
  <si>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</si>
  <si>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</si>
  <si>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</si>
  <si>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</si>
  <si>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</si>
  <si>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</si>
  <si>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</si>
  <si>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</si>
  <si>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</si>
  <si>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</si>
  <si>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</si>
  <si>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</si>
  <si>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</si>
  <si>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</si>
  <si>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</si>
  <si>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</si>
  <si>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</si>
  <si>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</si>
  <si>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</si>
  <si>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</si>
  <si>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</si>
  <si>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</si>
  <si>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</si>
  <si>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</si>
  <si>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</si>
  <si>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</si>
  <si>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</si>
  <si>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</si>
  <si>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</si>
  <si>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</si>
  <si>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</si>
  <si>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</si>
  <si>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</si>
  <si>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</si>
  <si>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</si>
  <si>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</si>
  <si>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</si>
  <si>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</si>
  <si>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</si>
  <si>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</si>
  <si>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</si>
  <si>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</si>
  <si>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</si>
  <si>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</si>
  <si>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</si>
  <si>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</si>
  <si>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</si>
  <si>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</si>
  <si>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</si>
  <si>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</si>
  <si>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</si>
  <si>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</si>
  <si>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</si>
  <si>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</si>
  <si>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</si>
  <si>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</si>
  <si>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</si>
  <si>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</si>
  <si>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</si>
  <si>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</si>
  <si>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</si>
  <si>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</si>
  <si>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</si>
  <si>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</si>
  <si>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</si>
  <si>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</si>
  <si>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</si>
  <si>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</si>
  <si>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</si>
  <si>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</si>
  <si>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</si>
  <si>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</si>
  <si>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</si>
  <si>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</si>
  <si>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</si>
  <si>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</si>
  <si>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</si>
  <si>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</si>
  <si>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</si>
  <si>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</si>
  <si>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</si>
  <si>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</si>
  <si>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</si>
  <si>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</si>
  <si>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</si>
  <si>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</si>
  <si>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</si>
  <si>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</si>
  <si>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</si>
  <si>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</si>
  <si>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</si>
  <si>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</si>
  <si>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</si>
  <si>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</si>
  <si>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</si>
  <si>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</si>
  <si>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</si>
  <si>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</si>
  <si>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</si>
  <si>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</si>
  <si>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</si>
  <si>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</si>
  <si>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</si>
  <si>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</si>
  <si>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</si>
  <si>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</si>
  <si>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</si>
  <si>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</si>
  <si>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</si>
  <si>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</si>
  <si>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</si>
  <si>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</si>
  <si>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</si>
  <si>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</si>
  <si>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</si>
  <si>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</si>
  <si>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</si>
  <si>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</si>
  <si>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</si>
  <si>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</si>
  <si>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</si>
  <si>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</si>
  <si>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</si>
  <si>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</si>
  <si>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</si>
  <si>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</si>
  <si>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</si>
  <si>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</si>
  <si>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</si>
  <si>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</si>
  <si>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</si>
  <si>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</si>
  <si>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</si>
  <si>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</si>
  <si>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Others</t>
  </si>
  <si>
    <t>F&amp;O Market Trading Kit for 28 Oct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</si>
</sst>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24" activePane="bottomLeft" state="frozen"/>
      <selection pane="bottomLeft" activeCell="L240" sqref="L240"/>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692</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45957</v>
      </c>
      <c r="D10" s="66">
        <f>'Data Vlaue (Cr)'!A2</f>
        <v>45957</v>
      </c>
      <c r="E10" s="65" t="s">
        <v>322</v>
      </c>
      <c r="F10" s="65" t="s">
        <v>320</v>
      </c>
      <c r="G10" s="65" t="s">
        <v>321</v>
      </c>
      <c r="H10" s="66">
        <f>D10</f>
        <v>45957</v>
      </c>
      <c r="I10" s="65" t="s">
        <v>322</v>
      </c>
      <c r="J10" s="65" t="s">
        <v>323</v>
      </c>
      <c r="K10" s="65" t="s">
        <v>324</v>
      </c>
      <c r="L10" s="66">
        <f>D10</f>
        <v>45957</v>
      </c>
      <c r="M10" s="65" t="s">
        <v>322</v>
      </c>
      <c r="N10" s="65" t="s">
        <v>323</v>
      </c>
      <c r="O10" s="65" t="s">
        <v>324</v>
      </c>
      <c r="P10" s="66">
        <f>D10</f>
        <v>45957</v>
      </c>
      <c r="Q10" s="65" t="s">
        <v>324</v>
      </c>
      <c r="R10" s="66">
        <f>D10</f>
        <v>45957</v>
      </c>
      <c r="S10" s="65" t="s">
        <v>324</v>
      </c>
    </row>
    <row r="11" spans="1:19" x14ac:dyDescent="0.25">
      <c r="A11" s="96" t="str">
        <f>'Data Vlaue (Cr)'!C2</f>
        <v>360ONE</v>
      </c>
      <c r="B11" s="75">
        <f>VLOOKUP($A11,'Data Vlaue (Cr)'!$C:$FB,2)</f>
        <v>500</v>
      </c>
      <c r="C11" s="75">
        <f>VLOOKUP($A11,'Data Vlaue (Cr)'!$C:$FB,8)</f>
        <v>1173</v>
      </c>
      <c r="D11" s="75">
        <f>VLOOKUP($A11,'Data Vlaue (Cr)'!$C:$FB,4)</f>
        <v>1174.0999999999999</v>
      </c>
      <c r="E11" s="75">
        <f>VLOOKUP($A11,'Data Vlaue (Cr)'!$C:$FB,5)</f>
        <v>1180.5999999999999</v>
      </c>
      <c r="F11" s="75">
        <f>D11-C11</f>
        <v>1.0999999999999091</v>
      </c>
      <c r="G11" s="75">
        <f>(D11-E11)/D11*100</f>
        <v>-0.55361553530363683</v>
      </c>
      <c r="H11" s="75">
        <f>VLOOKUP($A11,'Data Vlaue (Cr)'!$C:$FB,99)</f>
        <v>699</v>
      </c>
      <c r="I11" s="75">
        <f>VLOOKUP($A11,'Data Vlaue (Cr)'!$C:$FB,100)</f>
        <v>806</v>
      </c>
      <c r="J11" s="75">
        <f>H11-I11</f>
        <v>-107</v>
      </c>
      <c r="K11" s="75">
        <f>J11/H11*100</f>
        <v>-15.30758226037196</v>
      </c>
      <c r="L11" s="75">
        <f>VLOOKUP($A11,'Data Vlaue (Cr)'!$C:$FB,67)</f>
        <v>665</v>
      </c>
      <c r="M11" s="75">
        <f>VLOOKUP($A11,'Data Vlaue (Cr)'!$C:$FB,68)</f>
        <v>873</v>
      </c>
      <c r="N11" s="75">
        <f>L11-M11</f>
        <v>-208</v>
      </c>
      <c r="O11" s="75">
        <f>N11/L11*100</f>
        <v>-31.278195488721806</v>
      </c>
      <c r="P11" s="75">
        <f>VLOOKUP($A11,'Data Vlaue (Cr)'!$C:$FB,119)</f>
        <v>0.68</v>
      </c>
      <c r="Q11" s="75">
        <f>VLOOKUP($A11,'Data Vlaue (Cr)'!$C:$FB,122)*100</f>
        <v>4.62</v>
      </c>
      <c r="R11" s="75">
        <f>VLOOKUP($A11,'Data Vlaue (Cr)'!$C:$FB,125)</f>
        <v>0.87</v>
      </c>
      <c r="S11" s="75">
        <f>VLOOKUP($A11,'Data Vlaue (Cr)'!$C:$FB,128)*100</f>
        <v>97.72999999999999</v>
      </c>
    </row>
    <row r="12" spans="1:19" x14ac:dyDescent="0.25">
      <c r="A12" s="96" t="str">
        <f>'Data Vlaue (Cr)'!C3</f>
        <v>ABB</v>
      </c>
      <c r="B12" s="75">
        <f>VLOOKUP($A12,'Data Vlaue (Cr)'!$C:$FB,2)</f>
        <v>125</v>
      </c>
      <c r="C12" s="75">
        <f>VLOOKUP($A12,'Data Vlaue (Cr)'!$C:$FB,8)</f>
        <v>5238</v>
      </c>
      <c r="D12" s="75">
        <f>VLOOKUP($A12,'Data Vlaue (Cr)'!$C:$FB,4)</f>
        <v>5240</v>
      </c>
      <c r="E12" s="75">
        <f>VLOOKUP($A12,'Data Vlaue (Cr)'!$C:$FB,5)</f>
        <v>5173.5</v>
      </c>
      <c r="F12" s="75">
        <f t="shared" ref="F12:F75" si="0">D12-C12</f>
        <v>2</v>
      </c>
      <c r="G12" s="75">
        <f t="shared" ref="G12:G74" si="1">(D12-E12)/D12*100</f>
        <v>1.2690839694656488</v>
      </c>
      <c r="H12" s="75">
        <f>VLOOKUP($A12,'Data Vlaue (Cr)'!$C:$FB,99)</f>
        <v>2391</v>
      </c>
      <c r="I12" s="75">
        <f>VLOOKUP($A12,'Data Vlaue (Cr)'!$C:$FB,100)</f>
        <v>2434</v>
      </c>
      <c r="J12" s="75">
        <f t="shared" ref="J12:J75" si="2">H12-I12</f>
        <v>-43</v>
      </c>
      <c r="K12" s="75">
        <f t="shared" ref="K12:K75" si="3">J12/H12*100</f>
        <v>-1.7984107068172315</v>
      </c>
      <c r="L12" s="75">
        <f>VLOOKUP($A12,'Data Vlaue (Cr)'!$C:$FB,67)</f>
        <v>2054</v>
      </c>
      <c r="M12" s="75">
        <f>VLOOKUP($A12,'Data Vlaue (Cr)'!$C:$FB,68)</f>
        <v>2427</v>
      </c>
      <c r="N12" s="75">
        <f t="shared" ref="N12:N75" si="4">L12-M12</f>
        <v>-373</v>
      </c>
      <c r="O12" s="75">
        <f t="shared" ref="O12:O75" si="5">N12/L12*100</f>
        <v>-18.159688412852969</v>
      </c>
      <c r="P12" s="75">
        <f>VLOOKUP($A12,'Data Vlaue (Cr)'!$C:$FB,119)</f>
        <v>0.74</v>
      </c>
      <c r="Q12" s="75">
        <f>VLOOKUP($A12,'Data Vlaue (Cr)'!$C:$FB,122)*100</f>
        <v>7.2499999999999991</v>
      </c>
      <c r="R12" s="75">
        <f>VLOOKUP($A12,'Data Vlaue (Cr)'!$C:$FB,125)</f>
        <v>0.5</v>
      </c>
      <c r="S12" s="75">
        <f>VLOOKUP($A12,'Data Vlaue (Cr)'!$C:$FB,128)*100</f>
        <v>-30.56</v>
      </c>
    </row>
    <row r="13" spans="1:19" x14ac:dyDescent="0.25">
      <c r="A13" s="96" t="str">
        <f>'Data Vlaue (Cr)'!C4</f>
        <v>ABCAPITAL</v>
      </c>
      <c r="B13" s="75">
        <f>VLOOKUP($A13,'Data Vlaue (Cr)'!$C:$FB,2)</f>
        <v>3100</v>
      </c>
      <c r="C13" s="75">
        <f>VLOOKUP($A13,'Data Vlaue (Cr)'!$C:$FB,8)</f>
        <v>310.75</v>
      </c>
      <c r="D13" s="75">
        <f>VLOOKUP($A13,'Data Vlaue (Cr)'!$C:$FB,4)</f>
        <v>310.8</v>
      </c>
      <c r="E13" s="75">
        <f>VLOOKUP($A13,'Data Vlaue (Cr)'!$C:$FB,5)</f>
        <v>305.7</v>
      </c>
      <c r="F13" s="75">
        <f t="shared" si="0"/>
        <v>5.0000000000011369E-2</v>
      </c>
      <c r="G13" s="75">
        <f t="shared" si="1"/>
        <v>1.6409266409266481</v>
      </c>
      <c r="H13" s="75">
        <f>VLOOKUP($A13,'Data Vlaue (Cr)'!$C:$FB,99)</f>
        <v>3364</v>
      </c>
      <c r="I13" s="75">
        <f>VLOOKUP($A13,'Data Vlaue (Cr)'!$C:$FB,100)</f>
        <v>3359</v>
      </c>
      <c r="J13" s="75">
        <f t="shared" si="2"/>
        <v>5</v>
      </c>
      <c r="K13" s="75">
        <f t="shared" si="3"/>
        <v>0.14863258026159334</v>
      </c>
      <c r="L13" s="75">
        <f>VLOOKUP($A13,'Data Vlaue (Cr)'!$C:$FB,67)</f>
        <v>2693</v>
      </c>
      <c r="M13" s="75">
        <f>VLOOKUP($A13,'Data Vlaue (Cr)'!$C:$FB,68)</f>
        <v>3337</v>
      </c>
      <c r="N13" s="75">
        <f t="shared" si="4"/>
        <v>-644</v>
      </c>
      <c r="O13" s="75">
        <f t="shared" si="5"/>
        <v>-23.913850724099518</v>
      </c>
      <c r="P13" s="75">
        <f>VLOOKUP($A13,'Data Vlaue (Cr)'!$C:$FB,119)</f>
        <v>0.83</v>
      </c>
      <c r="Q13" s="75">
        <f>VLOOKUP($A13,'Data Vlaue (Cr)'!$C:$FB,122)*100</f>
        <v>10.67</v>
      </c>
      <c r="R13" s="75">
        <f>VLOOKUP($A13,'Data Vlaue (Cr)'!$C:$FB,125)</f>
        <v>0.65</v>
      </c>
      <c r="S13" s="75">
        <f>VLOOKUP($A13,'Data Vlaue (Cr)'!$C:$FB,128)*100</f>
        <v>25</v>
      </c>
    </row>
    <row r="14" spans="1:19" x14ac:dyDescent="0.25">
      <c r="A14" s="96" t="str">
        <f>'Data Vlaue (Cr)'!C5</f>
        <v>ADANIENSOL</v>
      </c>
      <c r="B14" s="75">
        <f>VLOOKUP($A14,'Data Vlaue (Cr)'!$C:$FB,2)</f>
        <v>675</v>
      </c>
      <c r="C14" s="75">
        <f>VLOOKUP($A14,'Data Vlaue (Cr)'!$C:$FB,8)</f>
        <v>946.35</v>
      </c>
      <c r="D14" s="75">
        <f>VLOOKUP($A14,'Data Vlaue (Cr)'!$C:$FB,4)</f>
        <v>945.55</v>
      </c>
      <c r="E14" s="75">
        <f>VLOOKUP($A14,'Data Vlaue (Cr)'!$C:$FB,5)</f>
        <v>942.9</v>
      </c>
      <c r="F14" s="75">
        <f t="shared" si="0"/>
        <v>-0.80000000000006821</v>
      </c>
      <c r="G14" s="75">
        <f t="shared" si="1"/>
        <v>0.28026016604092618</v>
      </c>
      <c r="H14" s="75">
        <f>VLOOKUP($A14,'Data Vlaue (Cr)'!$C:$FB,99)</f>
        <v>2410</v>
      </c>
      <c r="I14" s="75">
        <f>VLOOKUP($A14,'Data Vlaue (Cr)'!$C:$FB,100)</f>
        <v>2280</v>
      </c>
      <c r="J14" s="75">
        <f t="shared" si="2"/>
        <v>130</v>
      </c>
      <c r="K14" s="75">
        <f t="shared" si="3"/>
        <v>5.394190871369295</v>
      </c>
      <c r="L14" s="75">
        <f>VLOOKUP($A14,'Data Vlaue (Cr)'!$C:$FB,67)</f>
        <v>2055</v>
      </c>
      <c r="M14" s="75">
        <f>VLOOKUP($A14,'Data Vlaue (Cr)'!$C:$FB,68)</f>
        <v>1696</v>
      </c>
      <c r="N14" s="75">
        <f t="shared" si="4"/>
        <v>359</v>
      </c>
      <c r="O14" s="75">
        <f>N14/L14*100</f>
        <v>17.469586374695865</v>
      </c>
      <c r="P14" s="75">
        <f>VLOOKUP($A14,'Data Vlaue (Cr)'!$C:$FB,119)</f>
        <v>0.59</v>
      </c>
      <c r="Q14" s="75">
        <f>VLOOKUP($A14,'Data Vlaue (Cr)'!$C:$FB,122)*100</f>
        <v>0</v>
      </c>
      <c r="R14" s="75">
        <f>VLOOKUP($A14,'Data Vlaue (Cr)'!$C:$FB,125)</f>
        <v>0.39</v>
      </c>
      <c r="S14" s="75">
        <f>VLOOKUP($A14,'Data Vlaue (Cr)'!$C:$FB,128)*100</f>
        <v>-7.1400000000000006</v>
      </c>
    </row>
    <row r="15" spans="1:19" x14ac:dyDescent="0.25">
      <c r="A15" s="96" t="str">
        <f>'Data Vlaue (Cr)'!C6</f>
        <v>ADANIENT</v>
      </c>
      <c r="B15" s="75">
        <f>VLOOKUP($A15,'Data Vlaue (Cr)'!$C:$FB,2)</f>
        <v>300</v>
      </c>
      <c r="C15" s="75">
        <f>VLOOKUP($A15,'Data Vlaue (Cr)'!$C:$FB,8)</f>
        <v>2492.8000000000002</v>
      </c>
      <c r="D15" s="75">
        <f>VLOOKUP($A15,'Data Vlaue (Cr)'!$C:$FB,4)</f>
        <v>2492.8000000000002</v>
      </c>
      <c r="E15" s="75">
        <f>VLOOKUP($A15,'Data Vlaue (Cr)'!$C:$FB,5)</f>
        <v>2501.8000000000002</v>
      </c>
      <c r="F15" s="75">
        <f t="shared" si="0"/>
        <v>0</v>
      </c>
      <c r="G15" s="75">
        <f t="shared" si="1"/>
        <v>-0.36103979460847235</v>
      </c>
      <c r="H15" s="75">
        <f>VLOOKUP($A15,'Data Vlaue (Cr)'!$C:$FB,99)</f>
        <v>6523</v>
      </c>
      <c r="I15" s="75">
        <f>VLOOKUP($A15,'Data Vlaue (Cr)'!$C:$FB,100)</f>
        <v>6631</v>
      </c>
      <c r="J15" s="75">
        <f t="shared" si="2"/>
        <v>-108</v>
      </c>
      <c r="K15" s="75">
        <f t="shared" si="3"/>
        <v>-1.6556799018856354</v>
      </c>
      <c r="L15" s="75">
        <f>VLOOKUP($A15,'Data Vlaue (Cr)'!$C:$FB,67)</f>
        <v>6406</v>
      </c>
      <c r="M15" s="75">
        <f>VLOOKUP($A15,'Data Vlaue (Cr)'!$C:$FB,68)</f>
        <v>5824</v>
      </c>
      <c r="N15" s="75">
        <f t="shared" si="4"/>
        <v>582</v>
      </c>
      <c r="O15" s="75">
        <f t="shared" si="5"/>
        <v>9.0852325944427097</v>
      </c>
      <c r="P15" s="75">
        <f>VLOOKUP($A15,'Data Vlaue (Cr)'!$C:$FB,119)</f>
        <v>0.62</v>
      </c>
      <c r="Q15" s="75">
        <f>VLOOKUP($A15,'Data Vlaue (Cr)'!$C:$FB,122)*100</f>
        <v>8.77</v>
      </c>
      <c r="R15" s="75">
        <f>VLOOKUP($A15,'Data Vlaue (Cr)'!$C:$FB,125)</f>
        <v>0.57999999999999996</v>
      </c>
      <c r="S15" s="75">
        <f>VLOOKUP($A15,'Data Vlaue (Cr)'!$C:$FB,128)*100</f>
        <v>38.1</v>
      </c>
    </row>
    <row r="16" spans="1:19" x14ac:dyDescent="0.25">
      <c r="A16" s="96" t="str">
        <f>'Data Vlaue (Cr)'!C7</f>
        <v>ADANIGREEN</v>
      </c>
      <c r="B16" s="75">
        <f>VLOOKUP($A16,'Data Vlaue (Cr)'!$C:$FB,2)</f>
        <v>600</v>
      </c>
      <c r="C16" s="75">
        <f>VLOOKUP($A16,'Data Vlaue (Cr)'!$C:$FB,8)</f>
        <v>1017.1</v>
      </c>
      <c r="D16" s="75">
        <f>VLOOKUP($A16,'Data Vlaue (Cr)'!$C:$FB,4)</f>
        <v>1016.5</v>
      </c>
      <c r="E16" s="75">
        <f>VLOOKUP($A16,'Data Vlaue (Cr)'!$C:$FB,5)</f>
        <v>1029.8</v>
      </c>
      <c r="F16" s="75">
        <f t="shared" si="0"/>
        <v>-0.60000000000002274</v>
      </c>
      <c r="G16" s="75">
        <f t="shared" si="1"/>
        <v>-1.3084112149532665</v>
      </c>
      <c r="H16" s="75">
        <f>VLOOKUP($A16,'Data Vlaue (Cr)'!$C:$FB,99)</f>
        <v>3813</v>
      </c>
      <c r="I16" s="75">
        <f>VLOOKUP($A16,'Data Vlaue (Cr)'!$C:$FB,100)</f>
        <v>3827</v>
      </c>
      <c r="J16" s="75">
        <f t="shared" si="2"/>
        <v>-14</v>
      </c>
      <c r="K16" s="75">
        <f t="shared" si="3"/>
        <v>-0.36716496197220039</v>
      </c>
      <c r="L16" s="75">
        <f>VLOOKUP($A16,'Data Vlaue (Cr)'!$C:$FB,67)</f>
        <v>4319</v>
      </c>
      <c r="M16" s="75">
        <f>VLOOKUP($A16,'Data Vlaue (Cr)'!$C:$FB,68)</f>
        <v>3147</v>
      </c>
      <c r="N16" s="75">
        <f t="shared" si="4"/>
        <v>1172</v>
      </c>
      <c r="O16" s="75">
        <f t="shared" si="5"/>
        <v>27.135911090530218</v>
      </c>
      <c r="P16" s="75">
        <f>VLOOKUP($A16,'Data Vlaue (Cr)'!$C:$FB,119)</f>
        <v>0.47</v>
      </c>
      <c r="Q16" s="75">
        <f>VLOOKUP($A16,'Data Vlaue (Cr)'!$C:$FB,122)*100</f>
        <v>-4.08</v>
      </c>
      <c r="R16" s="75">
        <f>VLOOKUP($A16,'Data Vlaue (Cr)'!$C:$FB,125)</f>
        <v>0.42</v>
      </c>
      <c r="S16" s="75">
        <f>VLOOKUP($A16,'Data Vlaue (Cr)'!$C:$FB,128)*100</f>
        <v>27.27</v>
      </c>
    </row>
    <row r="17" spans="1:19" x14ac:dyDescent="0.25">
      <c r="A17" s="96" t="str">
        <f>'Data Vlaue (Cr)'!C8</f>
        <v>ADANIPORTS</v>
      </c>
      <c r="B17" s="75">
        <f>VLOOKUP($A17,'Data Vlaue (Cr)'!$C:$FB,2)</f>
        <v>475</v>
      </c>
      <c r="C17" s="75">
        <f>VLOOKUP($A17,'Data Vlaue (Cr)'!$C:$FB,8)</f>
        <v>1420.6</v>
      </c>
      <c r="D17" s="75">
        <f>VLOOKUP($A17,'Data Vlaue (Cr)'!$C:$FB,4)</f>
        <v>1421.6</v>
      </c>
      <c r="E17" s="75">
        <f>VLOOKUP($A17,'Data Vlaue (Cr)'!$C:$FB,5)</f>
        <v>1427.7</v>
      </c>
      <c r="F17" s="75">
        <f t="shared" si="0"/>
        <v>1</v>
      </c>
      <c r="G17" s="75">
        <f t="shared" si="1"/>
        <v>-0.42909397861565396</v>
      </c>
      <c r="H17" s="75">
        <f>VLOOKUP($A17,'Data Vlaue (Cr)'!$C:$FB,99)</f>
        <v>5431</v>
      </c>
      <c r="I17" s="75">
        <f>VLOOKUP($A17,'Data Vlaue (Cr)'!$C:$FB,100)</f>
        <v>5493</v>
      </c>
      <c r="J17" s="75">
        <f t="shared" si="2"/>
        <v>-62</v>
      </c>
      <c r="K17" s="75">
        <f t="shared" si="3"/>
        <v>-1.1415945498066655</v>
      </c>
      <c r="L17" s="75">
        <f>VLOOKUP($A17,'Data Vlaue (Cr)'!$C:$FB,67)</f>
        <v>5944</v>
      </c>
      <c r="M17" s="75">
        <f>VLOOKUP($A17,'Data Vlaue (Cr)'!$C:$FB,68)</f>
        <v>5768</v>
      </c>
      <c r="N17" s="75">
        <f t="shared" si="4"/>
        <v>176</v>
      </c>
      <c r="O17" s="75">
        <f t="shared" si="5"/>
        <v>2.9609690444145356</v>
      </c>
      <c r="P17" s="75">
        <f>VLOOKUP($A17,'Data Vlaue (Cr)'!$C:$FB,119)</f>
        <v>0.71</v>
      </c>
      <c r="Q17" s="75">
        <f>VLOOKUP($A17,'Data Vlaue (Cr)'!$C:$FB,122)*100</f>
        <v>10.94</v>
      </c>
      <c r="R17" s="75">
        <f>VLOOKUP($A17,'Data Vlaue (Cr)'!$C:$FB,125)</f>
        <v>0.64</v>
      </c>
      <c r="S17" s="75">
        <f>VLOOKUP($A17,'Data Vlaue (Cr)'!$C:$FB,128)*100</f>
        <v>8.4699999999999989</v>
      </c>
    </row>
    <row r="18" spans="1:19" x14ac:dyDescent="0.25">
      <c r="A18" s="96" t="str">
        <f>'Data Vlaue (Cr)'!C9</f>
        <v>ALKEM</v>
      </c>
      <c r="B18" s="75">
        <f>VLOOKUP($A18,'Data Vlaue (Cr)'!$C:$FB,2)</f>
        <v>125</v>
      </c>
      <c r="C18" s="75">
        <f>VLOOKUP($A18,'Data Vlaue (Cr)'!$C:$FB,8)</f>
        <v>5475.5</v>
      </c>
      <c r="D18" s="75">
        <f>VLOOKUP($A18,'Data Vlaue (Cr)'!$C:$FB,4)</f>
        <v>5469.5</v>
      </c>
      <c r="E18" s="75">
        <f>VLOOKUP($A18,'Data Vlaue (Cr)'!$C:$FB,5)</f>
        <v>5537.5</v>
      </c>
      <c r="F18" s="75">
        <f t="shared" si="0"/>
        <v>-6</v>
      </c>
      <c r="G18" s="75">
        <f t="shared" si="1"/>
        <v>-1.2432580674650335</v>
      </c>
      <c r="H18" s="75">
        <f>VLOOKUP($A18,'Data Vlaue (Cr)'!$C:$FB,99)</f>
        <v>1088</v>
      </c>
      <c r="I18" s="75">
        <f>VLOOKUP($A18,'Data Vlaue (Cr)'!$C:$FB,100)</f>
        <v>1116</v>
      </c>
      <c r="J18" s="75">
        <f t="shared" si="2"/>
        <v>-28</v>
      </c>
      <c r="K18" s="75">
        <f t="shared" si="3"/>
        <v>-2.5735294117647056</v>
      </c>
      <c r="L18" s="75">
        <f>VLOOKUP($A18,'Data Vlaue (Cr)'!$C:$FB,67)</f>
        <v>1099</v>
      </c>
      <c r="M18" s="75">
        <f>VLOOKUP($A18,'Data Vlaue (Cr)'!$C:$FB,68)</f>
        <v>1200</v>
      </c>
      <c r="N18" s="75">
        <f t="shared" si="4"/>
        <v>-101</v>
      </c>
      <c r="O18" s="75">
        <f t="shared" si="5"/>
        <v>-9.1901728844404005</v>
      </c>
      <c r="P18" s="75">
        <f>VLOOKUP($A18,'Data Vlaue (Cr)'!$C:$FB,119)</f>
        <v>0.79</v>
      </c>
      <c r="Q18" s="75">
        <f>VLOOKUP($A18,'Data Vlaue (Cr)'!$C:$FB,122)*100</f>
        <v>-15.049999999999999</v>
      </c>
      <c r="R18" s="75">
        <f>VLOOKUP($A18,'Data Vlaue (Cr)'!$C:$FB,125)</f>
        <v>2.0299999999999998</v>
      </c>
      <c r="S18" s="75">
        <f>VLOOKUP($A18,'Data Vlaue (Cr)'!$C:$FB,128)*100</f>
        <v>144.57999999999998</v>
      </c>
    </row>
    <row r="19" spans="1:19" x14ac:dyDescent="0.25">
      <c r="A19" s="96" t="str">
        <f>'Data Vlaue (Cr)'!C10</f>
        <v>AMBER</v>
      </c>
      <c r="B19" s="75">
        <f>VLOOKUP($A19,'Data Vlaue (Cr)'!$C:$FB,2)</f>
        <v>100</v>
      </c>
      <c r="C19" s="75">
        <f>VLOOKUP($A19,'Data Vlaue (Cr)'!$C:$FB,8)</f>
        <v>8476</v>
      </c>
      <c r="D19" s="75">
        <f>VLOOKUP($A19,'Data Vlaue (Cr)'!$C:$FB,4)</f>
        <v>8466</v>
      </c>
      <c r="E19" s="75">
        <f>VLOOKUP($A19,'Data Vlaue (Cr)'!$C:$FB,5)</f>
        <v>8318</v>
      </c>
      <c r="F19" s="75">
        <f t="shared" si="0"/>
        <v>-10</v>
      </c>
      <c r="G19" s="75">
        <f t="shared" si="1"/>
        <v>1.7481691471769429</v>
      </c>
      <c r="H19" s="75">
        <f>VLOOKUP($A19,'Data Vlaue (Cr)'!$C:$FB,99)</f>
        <v>1342</v>
      </c>
      <c r="I19" s="75">
        <f>VLOOKUP($A19,'Data Vlaue (Cr)'!$C:$FB,100)</f>
        <v>1479</v>
      </c>
      <c r="J19" s="75">
        <f t="shared" si="2"/>
        <v>-137</v>
      </c>
      <c r="K19" s="75">
        <f t="shared" si="3"/>
        <v>-10.208643815201192</v>
      </c>
      <c r="L19" s="75">
        <f>VLOOKUP($A19,'Data Vlaue (Cr)'!$C:$FB,67)</f>
        <v>2974</v>
      </c>
      <c r="M19" s="75">
        <f>VLOOKUP($A19,'Data Vlaue (Cr)'!$C:$FB,68)</f>
        <v>2938</v>
      </c>
      <c r="N19" s="75">
        <f t="shared" si="4"/>
        <v>36</v>
      </c>
      <c r="O19" s="75">
        <f t="shared" si="5"/>
        <v>1.2104909213180901</v>
      </c>
      <c r="P19" s="75">
        <f>VLOOKUP($A19,'Data Vlaue (Cr)'!$C:$FB,119)</f>
        <v>0.71</v>
      </c>
      <c r="Q19" s="75">
        <f>VLOOKUP($A19,'Data Vlaue (Cr)'!$C:$FB,122)*100</f>
        <v>33.96</v>
      </c>
      <c r="R19" s="75">
        <f>VLOOKUP($A19,'Data Vlaue (Cr)'!$C:$FB,125)</f>
        <v>0.47</v>
      </c>
      <c r="S19" s="75">
        <f>VLOOKUP($A19,'Data Vlaue (Cr)'!$C:$FB,128)*100</f>
        <v>-6</v>
      </c>
    </row>
    <row r="20" spans="1:19" x14ac:dyDescent="0.25">
      <c r="A20" s="96" t="str">
        <f>'Data Vlaue (Cr)'!C11</f>
        <v>AMBUJACEM</v>
      </c>
      <c r="B20" s="75">
        <f>VLOOKUP($A20,'Data Vlaue (Cr)'!$C:$FB,2)</f>
        <v>1050</v>
      </c>
      <c r="C20" s="75">
        <f>VLOOKUP($A20,'Data Vlaue (Cr)'!$C:$FB,8)</f>
        <v>560.25</v>
      </c>
      <c r="D20" s="75">
        <f>VLOOKUP($A20,'Data Vlaue (Cr)'!$C:$FB,4)</f>
        <v>561.04999999999995</v>
      </c>
      <c r="E20" s="75">
        <f>VLOOKUP($A20,'Data Vlaue (Cr)'!$C:$FB,5)</f>
        <v>555.95000000000005</v>
      </c>
      <c r="F20" s="75">
        <f t="shared" si="0"/>
        <v>0.79999999999995453</v>
      </c>
      <c r="G20" s="75">
        <f t="shared" si="1"/>
        <v>0.90900989216645744</v>
      </c>
      <c r="H20" s="75">
        <f>VLOOKUP($A20,'Data Vlaue (Cr)'!$C:$FB,99)</f>
        <v>3703</v>
      </c>
      <c r="I20" s="75">
        <f>VLOOKUP($A20,'Data Vlaue (Cr)'!$C:$FB,100)</f>
        <v>3770</v>
      </c>
      <c r="J20" s="75">
        <f t="shared" si="2"/>
        <v>-67</v>
      </c>
      <c r="K20" s="75">
        <f t="shared" si="3"/>
        <v>-1.8093437753173105</v>
      </c>
      <c r="L20" s="75">
        <f>VLOOKUP($A20,'Data Vlaue (Cr)'!$C:$FB,67)</f>
        <v>2486</v>
      </c>
      <c r="M20" s="75">
        <f>VLOOKUP($A20,'Data Vlaue (Cr)'!$C:$FB,68)</f>
        <v>2441</v>
      </c>
      <c r="N20" s="75">
        <f t="shared" si="4"/>
        <v>45</v>
      </c>
      <c r="O20" s="75">
        <f t="shared" si="5"/>
        <v>1.8101367658889784</v>
      </c>
      <c r="P20" s="75">
        <f>VLOOKUP($A20,'Data Vlaue (Cr)'!$C:$FB,119)</f>
        <v>0.74</v>
      </c>
      <c r="Q20" s="75">
        <f>VLOOKUP($A20,'Data Vlaue (Cr)'!$C:$FB,122)*100</f>
        <v>8.82</v>
      </c>
      <c r="R20" s="75">
        <f>VLOOKUP($A20,'Data Vlaue (Cr)'!$C:$FB,125)</f>
        <v>0.52</v>
      </c>
      <c r="S20" s="75">
        <f>VLOOKUP($A20,'Data Vlaue (Cr)'!$C:$FB,128)*100</f>
        <v>6.12</v>
      </c>
    </row>
    <row r="21" spans="1:19" x14ac:dyDescent="0.25">
      <c r="A21" s="96" t="str">
        <f>'Data Vlaue (Cr)'!C12</f>
        <v>ANGELONE</v>
      </c>
      <c r="B21" s="75">
        <f>VLOOKUP($A21,'Data Vlaue (Cr)'!$C:$FB,2)</f>
        <v>250</v>
      </c>
      <c r="C21" s="75">
        <f>VLOOKUP($A21,'Data Vlaue (Cr)'!$C:$FB,8)</f>
        <v>2577</v>
      </c>
      <c r="D21" s="75">
        <f>VLOOKUP($A21,'Data Vlaue (Cr)'!$C:$FB,4)</f>
        <v>2574.5</v>
      </c>
      <c r="E21" s="75">
        <f>VLOOKUP($A21,'Data Vlaue (Cr)'!$C:$FB,5)</f>
        <v>2513.9</v>
      </c>
      <c r="F21" s="75">
        <f t="shared" si="0"/>
        <v>-2.5</v>
      </c>
      <c r="G21" s="75">
        <f t="shared" si="1"/>
        <v>2.35385511749854</v>
      </c>
      <c r="H21" s="75">
        <f>VLOOKUP($A21,'Data Vlaue (Cr)'!$C:$FB,99)</f>
        <v>1795</v>
      </c>
      <c r="I21" s="75">
        <f>VLOOKUP($A21,'Data Vlaue (Cr)'!$C:$FB,100)</f>
        <v>1871</v>
      </c>
      <c r="J21" s="75">
        <f t="shared" si="2"/>
        <v>-76</v>
      </c>
      <c r="K21" s="75">
        <f t="shared" si="3"/>
        <v>-4.233983286908078</v>
      </c>
      <c r="L21" s="75">
        <f>VLOOKUP($A21,'Data Vlaue (Cr)'!$C:$FB,67)</f>
        <v>2992</v>
      </c>
      <c r="M21" s="75">
        <f>VLOOKUP($A21,'Data Vlaue (Cr)'!$C:$FB,68)</f>
        <v>2414</v>
      </c>
      <c r="N21" s="75">
        <f t="shared" si="4"/>
        <v>578</v>
      </c>
      <c r="O21" s="75">
        <f t="shared" si="5"/>
        <v>19.318181818181817</v>
      </c>
      <c r="P21" s="75">
        <f>VLOOKUP($A21,'Data Vlaue (Cr)'!$C:$FB,119)</f>
        <v>0.9</v>
      </c>
      <c r="Q21" s="75">
        <f>VLOOKUP($A21,'Data Vlaue (Cr)'!$C:$FB,122)*100</f>
        <v>3.45</v>
      </c>
      <c r="R21" s="75">
        <f>VLOOKUP($A21,'Data Vlaue (Cr)'!$C:$FB,125)</f>
        <v>0.5</v>
      </c>
      <c r="S21" s="75">
        <f>VLOOKUP($A21,'Data Vlaue (Cr)'!$C:$FB,128)*100</f>
        <v>-32.43</v>
      </c>
    </row>
    <row r="22" spans="1:19" x14ac:dyDescent="0.25">
      <c r="A22" s="96" t="str">
        <f>'Data Vlaue (Cr)'!C13</f>
        <v>APLAPOLLO</v>
      </c>
      <c r="B22" s="75">
        <f>VLOOKUP($A22,'Data Vlaue (Cr)'!$C:$FB,2)</f>
        <v>350</v>
      </c>
      <c r="C22" s="75">
        <f>VLOOKUP($A22,'Data Vlaue (Cr)'!$C:$FB,8)</f>
        <v>1767</v>
      </c>
      <c r="D22" s="75">
        <f>VLOOKUP($A22,'Data Vlaue (Cr)'!$C:$FB,4)</f>
        <v>1768</v>
      </c>
      <c r="E22" s="75">
        <f>VLOOKUP($A22,'Data Vlaue (Cr)'!$C:$FB,5)</f>
        <v>1754.9</v>
      </c>
      <c r="F22" s="75">
        <f t="shared" si="0"/>
        <v>1</v>
      </c>
      <c r="G22" s="75">
        <f t="shared" si="1"/>
        <v>0.74095022624433871</v>
      </c>
      <c r="H22" s="75">
        <f>VLOOKUP($A22,'Data Vlaue (Cr)'!$C:$FB,99)</f>
        <v>2229</v>
      </c>
      <c r="I22" s="75">
        <f>VLOOKUP($A22,'Data Vlaue (Cr)'!$C:$FB,100)</f>
        <v>2247</v>
      </c>
      <c r="J22" s="75">
        <f t="shared" si="2"/>
        <v>-18</v>
      </c>
      <c r="K22" s="75">
        <f t="shared" si="3"/>
        <v>-0.80753701211305517</v>
      </c>
      <c r="L22" s="75">
        <f>VLOOKUP($A22,'Data Vlaue (Cr)'!$C:$FB,67)</f>
        <v>2345</v>
      </c>
      <c r="M22" s="75">
        <f>VLOOKUP($A22,'Data Vlaue (Cr)'!$C:$FB,68)</f>
        <v>2191</v>
      </c>
      <c r="N22" s="75">
        <f t="shared" si="4"/>
        <v>154</v>
      </c>
      <c r="O22" s="75">
        <f t="shared" si="5"/>
        <v>6.567164179104477</v>
      </c>
      <c r="P22" s="75">
        <f>VLOOKUP($A22,'Data Vlaue (Cr)'!$C:$FB,119)</f>
        <v>0.71</v>
      </c>
      <c r="Q22" s="75">
        <f>VLOOKUP($A22,'Data Vlaue (Cr)'!$C:$FB,122)*100</f>
        <v>24.560000000000002</v>
      </c>
      <c r="R22" s="75">
        <f>VLOOKUP($A22,'Data Vlaue (Cr)'!$C:$FB,125)</f>
        <v>0.42</v>
      </c>
      <c r="S22" s="75">
        <f>VLOOKUP($A22,'Data Vlaue (Cr)'!$C:$FB,128)*100</f>
        <v>-6.67</v>
      </c>
    </row>
    <row r="23" spans="1:19" x14ac:dyDescent="0.25">
      <c r="A23" s="96" t="str">
        <f>'Data Vlaue (Cr)'!C14</f>
        <v>APOLLOHOSP</v>
      </c>
      <c r="B23" s="75">
        <f>VLOOKUP($A23,'Data Vlaue (Cr)'!$C:$FB,2)</f>
        <v>125</v>
      </c>
      <c r="C23" s="75">
        <f>VLOOKUP($A23,'Data Vlaue (Cr)'!$C:$FB,8)</f>
        <v>7845.5</v>
      </c>
      <c r="D23" s="75">
        <f>VLOOKUP($A23,'Data Vlaue (Cr)'!$C:$FB,4)</f>
        <v>7855.5</v>
      </c>
      <c r="E23" s="75">
        <f>VLOOKUP($A23,'Data Vlaue (Cr)'!$C:$FB,5)</f>
        <v>7845.5</v>
      </c>
      <c r="F23" s="75">
        <f t="shared" si="0"/>
        <v>10</v>
      </c>
      <c r="G23" s="75">
        <f t="shared" si="1"/>
        <v>0.12729934440837631</v>
      </c>
      <c r="H23" s="75">
        <f>VLOOKUP($A23,'Data Vlaue (Cr)'!$C:$FB,99)</f>
        <v>3082</v>
      </c>
      <c r="I23" s="75">
        <f>VLOOKUP($A23,'Data Vlaue (Cr)'!$C:$FB,100)</f>
        <v>3248</v>
      </c>
      <c r="J23" s="75">
        <f t="shared" si="2"/>
        <v>-166</v>
      </c>
      <c r="K23" s="75">
        <f t="shared" si="3"/>
        <v>-5.3861129136924077</v>
      </c>
      <c r="L23" s="75">
        <f>VLOOKUP($A23,'Data Vlaue (Cr)'!$C:$FB,67)</f>
        <v>2833</v>
      </c>
      <c r="M23" s="75">
        <f>VLOOKUP($A23,'Data Vlaue (Cr)'!$C:$FB,68)</f>
        <v>3858</v>
      </c>
      <c r="N23" s="75">
        <f t="shared" si="4"/>
        <v>-1025</v>
      </c>
      <c r="O23" s="75">
        <f t="shared" si="5"/>
        <v>-36.180727144369925</v>
      </c>
      <c r="P23" s="75">
        <f>VLOOKUP($A23,'Data Vlaue (Cr)'!$C:$FB,119)</f>
        <v>0.66</v>
      </c>
      <c r="Q23" s="75">
        <f>VLOOKUP($A23,'Data Vlaue (Cr)'!$C:$FB,122)*100</f>
        <v>4.7600000000000007</v>
      </c>
      <c r="R23" s="75">
        <f>VLOOKUP($A23,'Data Vlaue (Cr)'!$C:$FB,125)</f>
        <v>0.46</v>
      </c>
      <c r="S23" s="75">
        <f>VLOOKUP($A23,'Data Vlaue (Cr)'!$C:$FB,128)*100</f>
        <v>-32.35</v>
      </c>
    </row>
    <row r="24" spans="1:19" x14ac:dyDescent="0.25">
      <c r="A24" s="96" t="str">
        <f>'Data Vlaue (Cr)'!C15</f>
        <v>ASHOKLEY</v>
      </c>
      <c r="B24" s="75">
        <f>VLOOKUP($A24,'Data Vlaue (Cr)'!$C:$FB,2)</f>
        <v>5000</v>
      </c>
      <c r="C24" s="75">
        <f>VLOOKUP($A24,'Data Vlaue (Cr)'!$C:$FB,8)</f>
        <v>140.81</v>
      </c>
      <c r="D24" s="75">
        <f>VLOOKUP($A24,'Data Vlaue (Cr)'!$C:$FB,4)</f>
        <v>141.22</v>
      </c>
      <c r="E24" s="75">
        <f>VLOOKUP($A24,'Data Vlaue (Cr)'!$C:$FB,5)</f>
        <v>136.63</v>
      </c>
      <c r="F24" s="75">
        <f t="shared" si="0"/>
        <v>0.40999999999999659</v>
      </c>
      <c r="G24" s="75">
        <f t="shared" si="1"/>
        <v>3.2502478402492589</v>
      </c>
      <c r="H24" s="75">
        <f>VLOOKUP($A24,'Data Vlaue (Cr)'!$C:$FB,99)</f>
        <v>3899</v>
      </c>
      <c r="I24" s="75">
        <f>VLOOKUP($A24,'Data Vlaue (Cr)'!$C:$FB,100)</f>
        <v>3711</v>
      </c>
      <c r="J24" s="75">
        <f t="shared" si="2"/>
        <v>188</v>
      </c>
      <c r="K24" s="75">
        <f t="shared" si="3"/>
        <v>4.8217491664529364</v>
      </c>
      <c r="L24" s="75">
        <f>VLOOKUP($A24,'Data Vlaue (Cr)'!$C:$FB,67)</f>
        <v>4549</v>
      </c>
      <c r="M24" s="75">
        <f>VLOOKUP($A24,'Data Vlaue (Cr)'!$C:$FB,68)</f>
        <v>2852</v>
      </c>
      <c r="N24" s="75">
        <f t="shared" si="4"/>
        <v>1697</v>
      </c>
      <c r="O24" s="75">
        <f t="shared" si="5"/>
        <v>37.304902176302484</v>
      </c>
      <c r="P24" s="75">
        <f>VLOOKUP($A24,'Data Vlaue (Cr)'!$C:$FB,119)</f>
        <v>0.53</v>
      </c>
      <c r="Q24" s="75">
        <f>VLOOKUP($A24,'Data Vlaue (Cr)'!$C:$FB,122)*100</f>
        <v>12.770000000000001</v>
      </c>
      <c r="R24" s="75">
        <f>VLOOKUP($A24,'Data Vlaue (Cr)'!$C:$FB,125)</f>
        <v>0.37</v>
      </c>
      <c r="S24" s="75">
        <f>VLOOKUP($A24,'Data Vlaue (Cr)'!$C:$FB,128)*100</f>
        <v>-15.909999999999998</v>
      </c>
    </row>
    <row r="25" spans="1:19" x14ac:dyDescent="0.25">
      <c r="A25" s="96" t="str">
        <f>'Data Vlaue (Cr)'!C16</f>
        <v>ASIANPAINT</v>
      </c>
      <c r="B25" s="75">
        <f>VLOOKUP($A25,'Data Vlaue (Cr)'!$C:$FB,2)</f>
        <v>250</v>
      </c>
      <c r="C25" s="75">
        <f>VLOOKUP($A25,'Data Vlaue (Cr)'!$C:$FB,8)</f>
        <v>2518.8000000000002</v>
      </c>
      <c r="D25" s="75">
        <f>VLOOKUP($A25,'Data Vlaue (Cr)'!$C:$FB,4)</f>
        <v>2518.4</v>
      </c>
      <c r="E25" s="75">
        <f>VLOOKUP($A25,'Data Vlaue (Cr)'!$C:$FB,5)</f>
        <v>2503.4</v>
      </c>
      <c r="F25" s="75">
        <f t="shared" si="0"/>
        <v>-0.40000000000009095</v>
      </c>
      <c r="G25" s="75">
        <f t="shared" si="1"/>
        <v>0.59561626429479031</v>
      </c>
      <c r="H25" s="75">
        <f>VLOOKUP($A25,'Data Vlaue (Cr)'!$C:$FB,99)</f>
        <v>5852</v>
      </c>
      <c r="I25" s="75">
        <f>VLOOKUP($A25,'Data Vlaue (Cr)'!$C:$FB,100)</f>
        <v>5964</v>
      </c>
      <c r="J25" s="75">
        <f t="shared" si="2"/>
        <v>-112</v>
      </c>
      <c r="K25" s="75">
        <f t="shared" si="3"/>
        <v>-1.9138755980861244</v>
      </c>
      <c r="L25" s="75">
        <f>VLOOKUP($A25,'Data Vlaue (Cr)'!$C:$FB,67)</f>
        <v>5090</v>
      </c>
      <c r="M25" s="75">
        <f>VLOOKUP($A25,'Data Vlaue (Cr)'!$C:$FB,68)</f>
        <v>4853</v>
      </c>
      <c r="N25" s="75">
        <f t="shared" si="4"/>
        <v>237</v>
      </c>
      <c r="O25" s="75">
        <f t="shared" si="5"/>
        <v>4.6561886051080554</v>
      </c>
      <c r="P25" s="75">
        <f>VLOOKUP($A25,'Data Vlaue (Cr)'!$C:$FB,119)</f>
        <v>0.71</v>
      </c>
      <c r="Q25" s="75">
        <f>VLOOKUP($A25,'Data Vlaue (Cr)'!$C:$FB,122)*100</f>
        <v>4.41</v>
      </c>
      <c r="R25" s="75">
        <f>VLOOKUP($A25,'Data Vlaue (Cr)'!$C:$FB,125)</f>
        <v>0.77</v>
      </c>
      <c r="S25" s="75">
        <f>VLOOKUP($A25,'Data Vlaue (Cr)'!$C:$FB,128)*100</f>
        <v>-8.33</v>
      </c>
    </row>
    <row r="26" spans="1:19" x14ac:dyDescent="0.25">
      <c r="A26" s="96" t="str">
        <f>'Data Vlaue (Cr)'!C17</f>
        <v>ASTRAL</v>
      </c>
      <c r="B26" s="75">
        <f>VLOOKUP($A26,'Data Vlaue (Cr)'!$C:$FB,2)</f>
        <v>425</v>
      </c>
      <c r="C26" s="75">
        <f>VLOOKUP($A26,'Data Vlaue (Cr)'!$C:$FB,8)</f>
        <v>1435.2</v>
      </c>
      <c r="D26" s="75">
        <f>VLOOKUP($A26,'Data Vlaue (Cr)'!$C:$FB,4)</f>
        <v>1434.2</v>
      </c>
      <c r="E26" s="75">
        <f>VLOOKUP($A26,'Data Vlaue (Cr)'!$C:$FB,5)</f>
        <v>1428.6</v>
      </c>
      <c r="F26" s="75">
        <f t="shared" si="0"/>
        <v>-1</v>
      </c>
      <c r="G26" s="75">
        <f t="shared" si="1"/>
        <v>0.39046158136941406</v>
      </c>
      <c r="H26" s="75">
        <f>VLOOKUP($A26,'Data Vlaue (Cr)'!$C:$FB,99)</f>
        <v>1911</v>
      </c>
      <c r="I26" s="75">
        <f>VLOOKUP($A26,'Data Vlaue (Cr)'!$C:$FB,100)</f>
        <v>1945</v>
      </c>
      <c r="J26" s="75">
        <f t="shared" si="2"/>
        <v>-34</v>
      </c>
      <c r="K26" s="75">
        <f t="shared" si="3"/>
        <v>-1.7791732077446363</v>
      </c>
      <c r="L26" s="75">
        <f>VLOOKUP($A26,'Data Vlaue (Cr)'!$C:$FB,67)</f>
        <v>1780</v>
      </c>
      <c r="M26" s="75">
        <f>VLOOKUP($A26,'Data Vlaue (Cr)'!$C:$FB,68)</f>
        <v>1807</v>
      </c>
      <c r="N26" s="75">
        <f t="shared" si="4"/>
        <v>-27</v>
      </c>
      <c r="O26" s="75">
        <f t="shared" si="5"/>
        <v>-1.5168539325842696</v>
      </c>
      <c r="P26" s="75">
        <f>VLOOKUP($A26,'Data Vlaue (Cr)'!$C:$FB,119)</f>
        <v>0.51</v>
      </c>
      <c r="Q26" s="75">
        <f>VLOOKUP($A26,'Data Vlaue (Cr)'!$C:$FB,122)*100</f>
        <v>4.08</v>
      </c>
      <c r="R26" s="75">
        <f>VLOOKUP($A26,'Data Vlaue (Cr)'!$C:$FB,125)</f>
        <v>0.62</v>
      </c>
      <c r="S26" s="75">
        <f>VLOOKUP($A26,'Data Vlaue (Cr)'!$C:$FB,128)*100</f>
        <v>31.91</v>
      </c>
    </row>
    <row r="27" spans="1:19" x14ac:dyDescent="0.25">
      <c r="A27" s="96" t="str">
        <f>'Data Vlaue (Cr)'!C18</f>
        <v>AUBANK</v>
      </c>
      <c r="B27" s="75">
        <f>VLOOKUP($A27,'Data Vlaue (Cr)'!$C:$FB,2)</f>
        <v>1000</v>
      </c>
      <c r="C27" s="75">
        <f>VLOOKUP($A27,'Data Vlaue (Cr)'!$C:$FB,8)</f>
        <v>864.2</v>
      </c>
      <c r="D27" s="75">
        <f>VLOOKUP($A27,'Data Vlaue (Cr)'!$C:$FB,4)</f>
        <v>864.3</v>
      </c>
      <c r="E27" s="75">
        <f>VLOOKUP($A27,'Data Vlaue (Cr)'!$C:$FB,5)</f>
        <v>860.35</v>
      </c>
      <c r="F27" s="75">
        <f t="shared" si="0"/>
        <v>9.9999999999909051E-2</v>
      </c>
      <c r="G27" s="75">
        <f t="shared" si="1"/>
        <v>0.45701723938446515</v>
      </c>
      <c r="H27" s="75">
        <f>VLOOKUP($A27,'Data Vlaue (Cr)'!$C:$FB,99)</f>
        <v>3484</v>
      </c>
      <c r="I27" s="75">
        <f>VLOOKUP($A27,'Data Vlaue (Cr)'!$C:$FB,100)</f>
        <v>3817</v>
      </c>
      <c r="J27" s="75">
        <f t="shared" si="2"/>
        <v>-333</v>
      </c>
      <c r="K27" s="75">
        <f t="shared" si="3"/>
        <v>-9.5579793340987376</v>
      </c>
      <c r="L27" s="75">
        <f>VLOOKUP($A27,'Data Vlaue (Cr)'!$C:$FB,67)</f>
        <v>2648</v>
      </c>
      <c r="M27" s="75">
        <f>VLOOKUP($A27,'Data Vlaue (Cr)'!$C:$FB,68)</f>
        <v>4584</v>
      </c>
      <c r="N27" s="75">
        <f t="shared" si="4"/>
        <v>-1936</v>
      </c>
      <c r="O27" s="75">
        <f t="shared" si="5"/>
        <v>-73.111782477341393</v>
      </c>
      <c r="P27" s="75">
        <f>VLOOKUP($A27,'Data Vlaue (Cr)'!$C:$FB,119)</f>
        <v>1.2</v>
      </c>
      <c r="Q27" s="75">
        <f>VLOOKUP($A27,'Data Vlaue (Cr)'!$C:$FB,122)*100</f>
        <v>-1.6400000000000001</v>
      </c>
      <c r="R27" s="75">
        <f>VLOOKUP($A27,'Data Vlaue (Cr)'!$C:$FB,125)</f>
        <v>0.83</v>
      </c>
      <c r="S27" s="75">
        <f>VLOOKUP($A27,'Data Vlaue (Cr)'!$C:$FB,128)*100</f>
        <v>-20.190000000000001</v>
      </c>
    </row>
    <row r="28" spans="1:19" x14ac:dyDescent="0.25">
      <c r="A28" s="96" t="str">
        <f>'Data Vlaue (Cr)'!C19</f>
        <v>AUROPHARMA</v>
      </c>
      <c r="B28" s="75">
        <f>VLOOKUP($A28,'Data Vlaue (Cr)'!$C:$FB,2)</f>
        <v>550</v>
      </c>
      <c r="C28" s="75">
        <f>VLOOKUP($A28,'Data Vlaue (Cr)'!$C:$FB,8)</f>
        <v>1094.7</v>
      </c>
      <c r="D28" s="75">
        <f>VLOOKUP($A28,'Data Vlaue (Cr)'!$C:$FB,4)</f>
        <v>1094.5</v>
      </c>
      <c r="E28" s="75">
        <f>VLOOKUP($A28,'Data Vlaue (Cr)'!$C:$FB,5)</f>
        <v>1085.3</v>
      </c>
      <c r="F28" s="75">
        <f t="shared" si="0"/>
        <v>-0.20000000000004547</v>
      </c>
      <c r="G28" s="75">
        <f t="shared" si="1"/>
        <v>0.84056646870717644</v>
      </c>
      <c r="H28" s="75">
        <f>VLOOKUP($A28,'Data Vlaue (Cr)'!$C:$FB,99)</f>
        <v>3631</v>
      </c>
      <c r="I28" s="75">
        <f>VLOOKUP($A28,'Data Vlaue (Cr)'!$C:$FB,100)</f>
        <v>3593</v>
      </c>
      <c r="J28" s="75">
        <f t="shared" si="2"/>
        <v>38</v>
      </c>
      <c r="K28" s="75">
        <f t="shared" si="3"/>
        <v>1.0465436518865325</v>
      </c>
      <c r="L28" s="75">
        <f>VLOOKUP($A28,'Data Vlaue (Cr)'!$C:$FB,67)</f>
        <v>2580</v>
      </c>
      <c r="M28" s="75">
        <f>VLOOKUP($A28,'Data Vlaue (Cr)'!$C:$FB,68)</f>
        <v>2854</v>
      </c>
      <c r="N28" s="75">
        <f t="shared" si="4"/>
        <v>-274</v>
      </c>
      <c r="O28" s="75">
        <f t="shared" si="5"/>
        <v>-10.620155038759691</v>
      </c>
      <c r="P28" s="75">
        <f>VLOOKUP($A28,'Data Vlaue (Cr)'!$C:$FB,119)</f>
        <v>0.69</v>
      </c>
      <c r="Q28" s="75">
        <f>VLOOKUP($A28,'Data Vlaue (Cr)'!$C:$FB,122)*100</f>
        <v>2.9899999999999998</v>
      </c>
      <c r="R28" s="75">
        <f>VLOOKUP($A28,'Data Vlaue (Cr)'!$C:$FB,125)</f>
        <v>0.57999999999999996</v>
      </c>
      <c r="S28" s="75">
        <f>VLOOKUP($A28,'Data Vlaue (Cr)'!$C:$FB,128)*100</f>
        <v>-22.67</v>
      </c>
    </row>
    <row r="29" spans="1:19" x14ac:dyDescent="0.25">
      <c r="A29" s="96" t="str">
        <f>'Data Vlaue (Cr)'!C20</f>
        <v>AXISBANK</v>
      </c>
      <c r="B29" s="75">
        <f>VLOOKUP($A29,'Data Vlaue (Cr)'!$C:$FB,2)</f>
        <v>625</v>
      </c>
      <c r="C29" s="75">
        <f>VLOOKUP($A29,'Data Vlaue (Cr)'!$C:$FB,8)</f>
        <v>1254.0999999999999</v>
      </c>
      <c r="D29" s="75">
        <f>VLOOKUP($A29,'Data Vlaue (Cr)'!$C:$FB,4)</f>
        <v>1252.7</v>
      </c>
      <c r="E29" s="75">
        <f>VLOOKUP($A29,'Data Vlaue (Cr)'!$C:$FB,5)</f>
        <v>1243</v>
      </c>
      <c r="F29" s="75">
        <f t="shared" si="0"/>
        <v>-1.3999999999998636</v>
      </c>
      <c r="G29" s="75">
        <f t="shared" si="1"/>
        <v>0.77432745270216685</v>
      </c>
      <c r="H29" s="75">
        <f>VLOOKUP($A29,'Data Vlaue (Cr)'!$C:$FB,99)</f>
        <v>16475</v>
      </c>
      <c r="I29" s="75">
        <f>VLOOKUP($A29,'Data Vlaue (Cr)'!$C:$FB,100)</f>
        <v>16722</v>
      </c>
      <c r="J29" s="75">
        <f t="shared" si="2"/>
        <v>-247</v>
      </c>
      <c r="K29" s="75">
        <f t="shared" si="3"/>
        <v>-1.4992412746585737</v>
      </c>
      <c r="L29" s="75">
        <f>VLOOKUP($A29,'Data Vlaue (Cr)'!$C:$FB,67)</f>
        <v>9587</v>
      </c>
      <c r="M29" s="75">
        <f>VLOOKUP($A29,'Data Vlaue (Cr)'!$C:$FB,68)</f>
        <v>14093</v>
      </c>
      <c r="N29" s="75">
        <f t="shared" si="4"/>
        <v>-4506</v>
      </c>
      <c r="O29" s="75">
        <f t="shared" si="5"/>
        <v>-47.001147387086675</v>
      </c>
      <c r="P29" s="75">
        <f>VLOOKUP($A29,'Data Vlaue (Cr)'!$C:$FB,119)</f>
        <v>0.8</v>
      </c>
      <c r="Q29" s="75">
        <f>VLOOKUP($A29,'Data Vlaue (Cr)'!$C:$FB,122)*100</f>
        <v>5.26</v>
      </c>
      <c r="R29" s="75">
        <f>VLOOKUP($A29,'Data Vlaue (Cr)'!$C:$FB,125)</f>
        <v>0.6</v>
      </c>
      <c r="S29" s="75">
        <f>VLOOKUP($A29,'Data Vlaue (Cr)'!$C:$FB,128)*100</f>
        <v>-31.03</v>
      </c>
    </row>
    <row r="30" spans="1:19" x14ac:dyDescent="0.25">
      <c r="A30" s="96" t="str">
        <f>'Data Vlaue (Cr)'!C21</f>
        <v>BAJAJ-AUTO</v>
      </c>
      <c r="B30" s="75">
        <f>VLOOKUP($A30,'Data Vlaue (Cr)'!$C:$FB,2)</f>
        <v>75</v>
      </c>
      <c r="C30" s="75">
        <f>VLOOKUP($A30,'Data Vlaue (Cr)'!$C:$FB,8)</f>
        <v>9095.5</v>
      </c>
      <c r="D30" s="75">
        <f>VLOOKUP($A30,'Data Vlaue (Cr)'!$C:$FB,4)</f>
        <v>9117.5</v>
      </c>
      <c r="E30" s="75">
        <f>VLOOKUP($A30,'Data Vlaue (Cr)'!$C:$FB,5)</f>
        <v>9065.5</v>
      </c>
      <c r="F30" s="75">
        <f t="shared" si="0"/>
        <v>22</v>
      </c>
      <c r="G30" s="75">
        <f t="shared" si="1"/>
        <v>0.57033177954483139</v>
      </c>
      <c r="H30" s="75">
        <f>VLOOKUP($A30,'Data Vlaue (Cr)'!$C:$FB,99)</f>
        <v>5054</v>
      </c>
      <c r="I30" s="75">
        <f>VLOOKUP($A30,'Data Vlaue (Cr)'!$C:$FB,100)</f>
        <v>5163</v>
      </c>
      <c r="J30" s="75">
        <f t="shared" si="2"/>
        <v>-109</v>
      </c>
      <c r="K30" s="75">
        <f t="shared" si="3"/>
        <v>-2.1567075583696083</v>
      </c>
      <c r="L30" s="75">
        <f>VLOOKUP($A30,'Data Vlaue (Cr)'!$C:$FB,67)</f>
        <v>5043</v>
      </c>
      <c r="M30" s="75">
        <f>VLOOKUP($A30,'Data Vlaue (Cr)'!$C:$FB,68)</f>
        <v>6461</v>
      </c>
      <c r="N30" s="75">
        <f t="shared" si="4"/>
        <v>-1418</v>
      </c>
      <c r="O30" s="75">
        <f t="shared" si="5"/>
        <v>-28.118183620860599</v>
      </c>
      <c r="P30" s="75">
        <f>VLOOKUP($A30,'Data Vlaue (Cr)'!$C:$FB,119)</f>
        <v>0.8</v>
      </c>
      <c r="Q30" s="75">
        <f>VLOOKUP($A30,'Data Vlaue (Cr)'!$C:$FB,122)*100</f>
        <v>15.939999999999998</v>
      </c>
      <c r="R30" s="75">
        <f>VLOOKUP($A30,'Data Vlaue (Cr)'!$C:$FB,125)</f>
        <v>0.56999999999999995</v>
      </c>
      <c r="S30" s="75">
        <f>VLOOKUP($A30,'Data Vlaue (Cr)'!$C:$FB,128)*100</f>
        <v>-10.94</v>
      </c>
    </row>
    <row r="31" spans="1:19" x14ac:dyDescent="0.25">
      <c r="A31" s="96" t="str">
        <f>'Data Vlaue (Cr)'!C22</f>
        <v>BAJAJFINSV</v>
      </c>
      <c r="B31" s="75">
        <f>VLOOKUP($A31,'Data Vlaue (Cr)'!$C:$FB,2)</f>
        <v>500</v>
      </c>
      <c r="C31" s="75">
        <f>VLOOKUP($A31,'Data Vlaue (Cr)'!$C:$FB,8)</f>
        <v>2170.1999999999998</v>
      </c>
      <c r="D31" s="75">
        <f>VLOOKUP($A31,'Data Vlaue (Cr)'!$C:$FB,4)</f>
        <v>2169.9</v>
      </c>
      <c r="E31" s="75">
        <f>VLOOKUP($A31,'Data Vlaue (Cr)'!$C:$FB,5)</f>
        <v>2159.8000000000002</v>
      </c>
      <c r="F31" s="75">
        <f t="shared" si="0"/>
        <v>-0.29999999999972715</v>
      </c>
      <c r="G31" s="75">
        <f t="shared" si="1"/>
        <v>0.46545923775288761</v>
      </c>
      <c r="H31" s="75">
        <f>VLOOKUP($A31,'Data Vlaue (Cr)'!$C:$FB,99)</f>
        <v>7149</v>
      </c>
      <c r="I31" s="75">
        <f>VLOOKUP($A31,'Data Vlaue (Cr)'!$C:$FB,100)</f>
        <v>7191</v>
      </c>
      <c r="J31" s="75">
        <f t="shared" si="2"/>
        <v>-42</v>
      </c>
      <c r="K31" s="75">
        <f t="shared" si="3"/>
        <v>-0.58749475451112043</v>
      </c>
      <c r="L31" s="75">
        <f>VLOOKUP($A31,'Data Vlaue (Cr)'!$C:$FB,67)</f>
        <v>4789</v>
      </c>
      <c r="M31" s="75">
        <f>VLOOKUP($A31,'Data Vlaue (Cr)'!$C:$FB,68)</f>
        <v>5208</v>
      </c>
      <c r="N31" s="75">
        <f t="shared" si="4"/>
        <v>-419</v>
      </c>
      <c r="O31" s="75">
        <f t="shared" si="5"/>
        <v>-8.7492169555230728</v>
      </c>
      <c r="P31" s="75">
        <f>VLOOKUP($A31,'Data Vlaue (Cr)'!$C:$FB,119)</f>
        <v>0.93</v>
      </c>
      <c r="Q31" s="75">
        <f>VLOOKUP($A31,'Data Vlaue (Cr)'!$C:$FB,122)*100</f>
        <v>-1.06</v>
      </c>
      <c r="R31" s="75">
        <f>VLOOKUP($A31,'Data Vlaue (Cr)'!$C:$FB,125)</f>
        <v>0.94</v>
      </c>
      <c r="S31" s="75">
        <f>VLOOKUP($A31,'Data Vlaue (Cr)'!$C:$FB,128)*100</f>
        <v>-8.74</v>
      </c>
    </row>
    <row r="32" spans="1:19" x14ac:dyDescent="0.25">
      <c r="A32" s="96" t="str">
        <f>'Data Vlaue (Cr)'!C23</f>
        <v>BAJFINANCE</v>
      </c>
      <c r="B32" s="75">
        <f>VLOOKUP($A32,'Data Vlaue (Cr)'!$C:$FB,2)</f>
        <v>750</v>
      </c>
      <c r="C32" s="75">
        <f>VLOOKUP($A32,'Data Vlaue (Cr)'!$C:$FB,8)</f>
        <v>1084.4000000000001</v>
      </c>
      <c r="D32" s="75">
        <f>VLOOKUP($A32,'Data Vlaue (Cr)'!$C:$FB,4)</f>
        <v>1085.7</v>
      </c>
      <c r="E32" s="75">
        <f>VLOOKUP($A32,'Data Vlaue (Cr)'!$C:$FB,5)</f>
        <v>1089.4000000000001</v>
      </c>
      <c r="F32" s="75">
        <f t="shared" si="0"/>
        <v>1.2999999999999545</v>
      </c>
      <c r="G32" s="75">
        <f t="shared" si="1"/>
        <v>-0.34079395781523858</v>
      </c>
      <c r="H32" s="75">
        <f>VLOOKUP($A32,'Data Vlaue (Cr)'!$C:$FB,99)</f>
        <v>14148</v>
      </c>
      <c r="I32" s="75">
        <f>VLOOKUP($A32,'Data Vlaue (Cr)'!$C:$FB,100)</f>
        <v>14746</v>
      </c>
      <c r="J32" s="75">
        <f t="shared" si="2"/>
        <v>-598</v>
      </c>
      <c r="K32" s="75">
        <f t="shared" si="3"/>
        <v>-4.2267458297992651</v>
      </c>
      <c r="L32" s="75">
        <f>VLOOKUP($A32,'Data Vlaue (Cr)'!$C:$FB,67)</f>
        <v>10394</v>
      </c>
      <c r="M32" s="75">
        <f>VLOOKUP($A32,'Data Vlaue (Cr)'!$C:$FB,68)</f>
        <v>11090</v>
      </c>
      <c r="N32" s="75">
        <f t="shared" si="4"/>
        <v>-696</v>
      </c>
      <c r="O32" s="75">
        <f t="shared" si="5"/>
        <v>-6.6961708678083518</v>
      </c>
      <c r="P32" s="75">
        <f>VLOOKUP($A32,'Data Vlaue (Cr)'!$C:$FB,119)</f>
        <v>1.0900000000000001</v>
      </c>
      <c r="Q32" s="75">
        <f>VLOOKUP($A32,'Data Vlaue (Cr)'!$C:$FB,122)*100</f>
        <v>-4.3900000000000006</v>
      </c>
      <c r="R32" s="75">
        <f>VLOOKUP($A32,'Data Vlaue (Cr)'!$C:$FB,125)</f>
        <v>1.02</v>
      </c>
      <c r="S32" s="75">
        <f>VLOOKUP($A32,'Data Vlaue (Cr)'!$C:$FB,128)*100</f>
        <v>-13.56</v>
      </c>
    </row>
    <row r="33" spans="1:19" x14ac:dyDescent="0.25">
      <c r="A33" s="96" t="str">
        <f>'Data Vlaue (Cr)'!C24</f>
        <v>BANDHANBNK</v>
      </c>
      <c r="B33" s="75">
        <f>VLOOKUP($A33,'Data Vlaue (Cr)'!$C:$FB,2)</f>
        <v>3600</v>
      </c>
      <c r="C33" s="75">
        <f>VLOOKUP($A33,'Data Vlaue (Cr)'!$C:$FB,8)</f>
        <v>172.04</v>
      </c>
      <c r="D33" s="75">
        <f>VLOOKUP($A33,'Data Vlaue (Cr)'!$C:$FB,4)</f>
        <v>171.99</v>
      </c>
      <c r="E33" s="75">
        <f>VLOOKUP($A33,'Data Vlaue (Cr)'!$C:$FB,5)</f>
        <v>170.07</v>
      </c>
      <c r="F33" s="75">
        <f t="shared" si="0"/>
        <v>-4.9999999999982947E-2</v>
      </c>
      <c r="G33" s="75">
        <f t="shared" si="1"/>
        <v>1.1163439734868397</v>
      </c>
      <c r="H33" s="75">
        <f>VLOOKUP($A33,'Data Vlaue (Cr)'!$C:$FB,99)</f>
        <v>3057</v>
      </c>
      <c r="I33" s="75">
        <f>VLOOKUP($A33,'Data Vlaue (Cr)'!$C:$FB,100)</f>
        <v>3065</v>
      </c>
      <c r="J33" s="75">
        <f t="shared" si="2"/>
        <v>-8</v>
      </c>
      <c r="K33" s="75">
        <f t="shared" si="3"/>
        <v>-0.26169447170428528</v>
      </c>
      <c r="L33" s="75">
        <f>VLOOKUP($A33,'Data Vlaue (Cr)'!$C:$FB,67)</f>
        <v>2246</v>
      </c>
      <c r="M33" s="75">
        <f>VLOOKUP($A33,'Data Vlaue (Cr)'!$C:$FB,68)</f>
        <v>2439</v>
      </c>
      <c r="N33" s="75">
        <f t="shared" si="4"/>
        <v>-193</v>
      </c>
      <c r="O33" s="75">
        <f t="shared" si="5"/>
        <v>-8.5930543187889583</v>
      </c>
      <c r="P33" s="75">
        <f>VLOOKUP($A33,'Data Vlaue (Cr)'!$C:$FB,119)</f>
        <v>0.97</v>
      </c>
      <c r="Q33" s="75">
        <f>VLOOKUP($A33,'Data Vlaue (Cr)'!$C:$FB,122)*100</f>
        <v>2.11</v>
      </c>
      <c r="R33" s="75">
        <f>VLOOKUP($A33,'Data Vlaue (Cr)'!$C:$FB,125)</f>
        <v>0.71</v>
      </c>
      <c r="S33" s="75">
        <f>VLOOKUP($A33,'Data Vlaue (Cr)'!$C:$FB,128)*100</f>
        <v>54.35</v>
      </c>
    </row>
    <row r="34" spans="1:19" x14ac:dyDescent="0.25">
      <c r="A34" s="96" t="str">
        <f>'Data Vlaue (Cr)'!C25</f>
        <v>BANKBARODA</v>
      </c>
      <c r="B34" s="75">
        <f>VLOOKUP($A34,'Data Vlaue (Cr)'!$C:$FB,2)</f>
        <v>2925</v>
      </c>
      <c r="C34" s="75">
        <f>VLOOKUP($A34,'Data Vlaue (Cr)'!$C:$FB,8)</f>
        <v>273.64999999999998</v>
      </c>
      <c r="D34" s="75">
        <f>VLOOKUP($A34,'Data Vlaue (Cr)'!$C:$FB,4)</f>
        <v>273.2</v>
      </c>
      <c r="E34" s="75">
        <f>VLOOKUP($A34,'Data Vlaue (Cr)'!$C:$FB,5)</f>
        <v>266.14999999999998</v>
      </c>
      <c r="F34" s="75">
        <f t="shared" si="0"/>
        <v>-0.44999999999998863</v>
      </c>
      <c r="G34" s="75">
        <f t="shared" si="1"/>
        <v>2.5805270863836061</v>
      </c>
      <c r="H34" s="180">
        <f>VLOOKUP($A34,'Data Vlaue (Cr)'!$C:$FB,99)</f>
        <v>5846</v>
      </c>
      <c r="I34" s="180">
        <f>VLOOKUP($A34,'Data Vlaue (Cr)'!$C:$FB,100)</f>
        <v>5801</v>
      </c>
      <c r="J34" s="180">
        <f t="shared" si="2"/>
        <v>45</v>
      </c>
      <c r="K34" s="180">
        <f t="shared" si="3"/>
        <v>0.76975709887102295</v>
      </c>
      <c r="L34" s="180">
        <f>VLOOKUP($A34,'Data Vlaue (Cr)'!$C:$FB,67)</f>
        <v>6019</v>
      </c>
      <c r="M34" s="180">
        <f>VLOOKUP($A34,'Data Vlaue (Cr)'!$C:$FB,68)</f>
        <v>5392</v>
      </c>
      <c r="N34" s="180">
        <f t="shared" si="4"/>
        <v>627</v>
      </c>
      <c r="O34" s="180">
        <f t="shared" si="5"/>
        <v>10.417012792822728</v>
      </c>
      <c r="P34" s="180">
        <f>VLOOKUP($A34,'Data Vlaue (Cr)'!$C:$FB,119)</f>
        <v>0.85</v>
      </c>
      <c r="Q34" s="180">
        <f>VLOOKUP($A34,'Data Vlaue (Cr)'!$C:$FB,122)*100</f>
        <v>18.060000000000002</v>
      </c>
      <c r="R34" s="180">
        <f>VLOOKUP($A34,'Data Vlaue (Cr)'!$C:$FB,125)</f>
        <v>0.48</v>
      </c>
      <c r="S34" s="180">
        <f>VLOOKUP($A34,'Data Vlaue (Cr)'!$C:$FB,128)*100</f>
        <v>-4</v>
      </c>
    </row>
    <row r="35" spans="1:19" x14ac:dyDescent="0.25">
      <c r="A35" s="96" t="str">
        <f>'Data Vlaue (Cr)'!C26</f>
        <v>BANKINDIA</v>
      </c>
      <c r="B35" s="75">
        <f>VLOOKUP($A35,'Data Vlaue (Cr)'!$C:$FB,2)</f>
        <v>5200</v>
      </c>
      <c r="C35" s="75">
        <f>VLOOKUP($A35,'Data Vlaue (Cr)'!$C:$FB,8)</f>
        <v>139.71</v>
      </c>
      <c r="D35" s="75">
        <f>VLOOKUP($A35,'Data Vlaue (Cr)'!$C:$FB,4)</f>
        <v>139.86000000000001</v>
      </c>
      <c r="E35" s="75">
        <f>VLOOKUP($A35,'Data Vlaue (Cr)'!$C:$FB,5)</f>
        <v>133.75</v>
      </c>
      <c r="F35" s="75">
        <f t="shared" si="0"/>
        <v>0.15000000000000568</v>
      </c>
      <c r="G35" s="75">
        <f t="shared" si="1"/>
        <v>4.3686543686543784</v>
      </c>
      <c r="H35" s="75">
        <f>VLOOKUP($A35,'Data Vlaue (Cr)'!$C:$FB,99)</f>
        <v>1771</v>
      </c>
      <c r="I35" s="75">
        <f>VLOOKUP($A35,'Data Vlaue (Cr)'!$C:$FB,100)</f>
        <v>1680</v>
      </c>
      <c r="J35" s="75">
        <f t="shared" si="2"/>
        <v>91</v>
      </c>
      <c r="K35" s="75">
        <f t="shared" si="3"/>
        <v>5.1383399209486171</v>
      </c>
      <c r="L35" s="75">
        <f>VLOOKUP($A35,'Data Vlaue (Cr)'!$C:$FB,67)</f>
        <v>2503</v>
      </c>
      <c r="M35" s="75">
        <f>VLOOKUP($A35,'Data Vlaue (Cr)'!$C:$FB,68)</f>
        <v>1466</v>
      </c>
      <c r="N35" s="75">
        <f t="shared" si="4"/>
        <v>1037</v>
      </c>
      <c r="O35" s="75">
        <f t="shared" si="5"/>
        <v>41.43028365960847</v>
      </c>
      <c r="P35" s="75">
        <f>VLOOKUP($A35,'Data Vlaue (Cr)'!$C:$FB,119)</f>
        <v>0.98</v>
      </c>
      <c r="Q35" s="75">
        <f>VLOOKUP($A35,'Data Vlaue (Cr)'!$C:$FB,122)*100</f>
        <v>5.38</v>
      </c>
      <c r="R35" s="75">
        <f>VLOOKUP($A35,'Data Vlaue (Cr)'!$C:$FB,125)</f>
        <v>0.32</v>
      </c>
      <c r="S35" s="75">
        <f>VLOOKUP($A35,'Data Vlaue (Cr)'!$C:$FB,128)*100</f>
        <v>-56.76</v>
      </c>
    </row>
    <row r="36" spans="1:19" x14ac:dyDescent="0.25">
      <c r="A36" s="96" t="str">
        <f>'Data Vlaue (Cr)'!C27</f>
        <v>BANKNIFTY</v>
      </c>
      <c r="B36" s="75">
        <f>VLOOKUP($A36,'Data Vlaue (Cr)'!$C:$FB,2)</f>
        <v>35</v>
      </c>
      <c r="C36" s="75">
        <f>VLOOKUP($A36,'Data Vlaue (Cr)'!$C:$FB,8)</f>
        <v>58114.25</v>
      </c>
      <c r="D36" s="75">
        <f>VLOOKUP($A36,'Data Vlaue (Cr)'!$C:$FB,4)</f>
        <v>58183.199999999997</v>
      </c>
      <c r="E36" s="75">
        <f>VLOOKUP($A36,'Data Vlaue (Cr)'!$C:$FB,5)</f>
        <v>57703.199999999997</v>
      </c>
      <c r="F36" s="75">
        <f t="shared" si="0"/>
        <v>68.94999999999709</v>
      </c>
      <c r="G36" s="75">
        <f t="shared" si="1"/>
        <v>0.82498040671534056</v>
      </c>
      <c r="H36" s="75">
        <f>VLOOKUP($A36,'Data Vlaue (Cr)'!$C:$FB,99)</f>
        <v>356622</v>
      </c>
      <c r="I36" s="75">
        <f>VLOOKUP($A36,'Data Vlaue (Cr)'!$C:$FB,100)</f>
        <v>354460</v>
      </c>
      <c r="J36" s="75">
        <f t="shared" si="2"/>
        <v>2162</v>
      </c>
      <c r="K36" s="75">
        <f t="shared" si="3"/>
        <v>0.60624414646320191</v>
      </c>
      <c r="L36" s="75">
        <f>VLOOKUP($A36,'Data Vlaue (Cr)'!$C:$FB,67)</f>
        <v>3719874</v>
      </c>
      <c r="M36" s="75">
        <f>VLOOKUP($A36,'Data Vlaue (Cr)'!$C:$FB,68)</f>
        <v>2774158</v>
      </c>
      <c r="N36" s="75">
        <f t="shared" si="4"/>
        <v>945716</v>
      </c>
      <c r="O36" s="75">
        <f t="shared" si="5"/>
        <v>25.423334231213207</v>
      </c>
      <c r="P36" s="75">
        <f>VLOOKUP($A36,'Data Vlaue (Cr)'!$C:$FB,119)</f>
        <v>1.08</v>
      </c>
      <c r="Q36" s="75">
        <f>VLOOKUP($A36,'Data Vlaue (Cr)'!$C:$FB,122)*100</f>
        <v>22.73</v>
      </c>
      <c r="R36" s="75">
        <f>VLOOKUP($A36,'Data Vlaue (Cr)'!$C:$FB,125)</f>
        <v>0.91</v>
      </c>
      <c r="S36" s="75">
        <f>VLOOKUP($A36,'Data Vlaue (Cr)'!$C:$FB,128)*100</f>
        <v>-11.65</v>
      </c>
    </row>
    <row r="37" spans="1:19" x14ac:dyDescent="0.25">
      <c r="A37" s="96" t="str">
        <f>'Data Vlaue (Cr)'!C28</f>
        <v>BDL</v>
      </c>
      <c r="B37" s="75">
        <f>VLOOKUP($A37,'Data Vlaue (Cr)'!$C:$FB,2)</f>
        <v>325</v>
      </c>
      <c r="C37" s="75">
        <f>VLOOKUP($A37,'Data Vlaue (Cr)'!$C:$FB,8)</f>
        <v>1537.8</v>
      </c>
      <c r="D37" s="75">
        <f>VLOOKUP($A37,'Data Vlaue (Cr)'!$C:$FB,4)</f>
        <v>1537.8</v>
      </c>
      <c r="E37" s="75">
        <f>VLOOKUP($A37,'Data Vlaue (Cr)'!$C:$FB,5)</f>
        <v>1542.3</v>
      </c>
      <c r="F37" s="75">
        <f t="shared" si="0"/>
        <v>0</v>
      </c>
      <c r="G37" s="75">
        <f t="shared" si="1"/>
        <v>-0.2926258291065158</v>
      </c>
      <c r="H37" s="75">
        <f>VLOOKUP($A37,'Data Vlaue (Cr)'!$C:$FB,99)</f>
        <v>1491</v>
      </c>
      <c r="I37" s="75">
        <f>VLOOKUP($A37,'Data Vlaue (Cr)'!$C:$FB,100)</f>
        <v>1676</v>
      </c>
      <c r="J37" s="75">
        <f t="shared" si="2"/>
        <v>-185</v>
      </c>
      <c r="K37" s="75">
        <f t="shared" si="3"/>
        <v>-12.407780013413817</v>
      </c>
      <c r="L37" s="75">
        <f>VLOOKUP($A37,'Data Vlaue (Cr)'!$C:$FB,67)</f>
        <v>1746</v>
      </c>
      <c r="M37" s="75">
        <f>VLOOKUP($A37,'Data Vlaue (Cr)'!$C:$FB,68)</f>
        <v>3854</v>
      </c>
      <c r="N37" s="75">
        <f t="shared" si="4"/>
        <v>-2108</v>
      </c>
      <c r="O37" s="75">
        <f t="shared" si="5"/>
        <v>-120.73310423825887</v>
      </c>
      <c r="P37" s="75">
        <f>VLOOKUP($A37,'Data Vlaue (Cr)'!$C:$FB,119)</f>
        <v>0.7</v>
      </c>
      <c r="Q37" s="75">
        <f>VLOOKUP($A37,'Data Vlaue (Cr)'!$C:$FB,122)*100</f>
        <v>14.75</v>
      </c>
      <c r="R37" s="75">
        <f>VLOOKUP($A37,'Data Vlaue (Cr)'!$C:$FB,125)</f>
        <v>0.5</v>
      </c>
      <c r="S37" s="75">
        <f>VLOOKUP($A37,'Data Vlaue (Cr)'!$C:$FB,128)*100</f>
        <v>117.39</v>
      </c>
    </row>
    <row r="38" spans="1:19" x14ac:dyDescent="0.25">
      <c r="A38" s="96" t="str">
        <f>'Data Vlaue (Cr)'!C29</f>
        <v>BEL</v>
      </c>
      <c r="B38" s="75">
        <f>VLOOKUP($A38,'Data Vlaue (Cr)'!$C:$FB,2)</f>
        <v>2850</v>
      </c>
      <c r="C38" s="75">
        <f>VLOOKUP($A38,'Data Vlaue (Cr)'!$C:$FB,8)</f>
        <v>415.15</v>
      </c>
      <c r="D38" s="75">
        <f>VLOOKUP($A38,'Data Vlaue (Cr)'!$C:$FB,4)</f>
        <v>414.85</v>
      </c>
      <c r="E38" s="75">
        <f>VLOOKUP($A38,'Data Vlaue (Cr)'!$C:$FB,5)</f>
        <v>421.55</v>
      </c>
      <c r="F38" s="75">
        <f t="shared" si="0"/>
        <v>-0.29999999999995453</v>
      </c>
      <c r="G38" s="75">
        <f t="shared" si="1"/>
        <v>-1.6150415812944412</v>
      </c>
      <c r="H38" s="75">
        <f>VLOOKUP($A38,'Data Vlaue (Cr)'!$C:$FB,99)</f>
        <v>9217</v>
      </c>
      <c r="I38" s="75">
        <f>VLOOKUP($A38,'Data Vlaue (Cr)'!$C:$FB,100)</f>
        <v>9127</v>
      </c>
      <c r="J38" s="75">
        <f t="shared" si="2"/>
        <v>90</v>
      </c>
      <c r="K38" s="75">
        <f t="shared" si="3"/>
        <v>0.97645654768362822</v>
      </c>
      <c r="L38" s="75">
        <f>VLOOKUP($A38,'Data Vlaue (Cr)'!$C:$FB,67)</f>
        <v>10448</v>
      </c>
      <c r="M38" s="75">
        <f>VLOOKUP($A38,'Data Vlaue (Cr)'!$C:$FB,68)</f>
        <v>10995</v>
      </c>
      <c r="N38" s="75">
        <f t="shared" si="4"/>
        <v>-547</v>
      </c>
      <c r="O38" s="75">
        <f t="shared" si="5"/>
        <v>-5.2354517611026035</v>
      </c>
      <c r="P38" s="75">
        <f>VLOOKUP($A38,'Data Vlaue (Cr)'!$C:$FB,119)</f>
        <v>0.71</v>
      </c>
      <c r="Q38" s="75">
        <f>VLOOKUP($A38,'Data Vlaue (Cr)'!$C:$FB,122)*100</f>
        <v>5.9700000000000006</v>
      </c>
      <c r="R38" s="75">
        <f>VLOOKUP($A38,'Data Vlaue (Cr)'!$C:$FB,125)</f>
        <v>0.49</v>
      </c>
      <c r="S38" s="75">
        <f>VLOOKUP($A38,'Data Vlaue (Cr)'!$C:$FB,128)*100</f>
        <v>16.669999999999998</v>
      </c>
    </row>
    <row r="39" spans="1:19" x14ac:dyDescent="0.25">
      <c r="A39" s="96" t="str">
        <f>'Data Vlaue (Cr)'!C30</f>
        <v>BHARATFORG</v>
      </c>
      <c r="B39" s="75">
        <f>VLOOKUP($A39,'Data Vlaue (Cr)'!$C:$FB,2)</f>
        <v>500</v>
      </c>
      <c r="C39" s="75">
        <f>VLOOKUP($A39,'Data Vlaue (Cr)'!$C:$FB,8)</f>
        <v>1301.4000000000001</v>
      </c>
      <c r="D39" s="75">
        <f>VLOOKUP($A39,'Data Vlaue (Cr)'!$C:$FB,4)</f>
        <v>1303.7</v>
      </c>
      <c r="E39" s="75">
        <f>VLOOKUP($A39,'Data Vlaue (Cr)'!$C:$FB,5)</f>
        <v>1281.8</v>
      </c>
      <c r="F39" s="75">
        <f t="shared" si="0"/>
        <v>2.2999999999999545</v>
      </c>
      <c r="G39" s="75">
        <f t="shared" si="1"/>
        <v>1.6798343177111368</v>
      </c>
      <c r="H39" s="75">
        <f>VLOOKUP($A39,'Data Vlaue (Cr)'!$C:$FB,99)</f>
        <v>2171</v>
      </c>
      <c r="I39" s="75">
        <f>VLOOKUP($A39,'Data Vlaue (Cr)'!$C:$FB,100)</f>
        <v>2254</v>
      </c>
      <c r="J39" s="75">
        <f t="shared" si="2"/>
        <v>-83</v>
      </c>
      <c r="K39" s="75">
        <f t="shared" si="3"/>
        <v>-3.8231229847996318</v>
      </c>
      <c r="L39" s="75">
        <f>VLOOKUP($A39,'Data Vlaue (Cr)'!$C:$FB,67)</f>
        <v>2069</v>
      </c>
      <c r="M39" s="75">
        <f>VLOOKUP($A39,'Data Vlaue (Cr)'!$C:$FB,68)</f>
        <v>3200</v>
      </c>
      <c r="N39" s="75">
        <f t="shared" si="4"/>
        <v>-1131</v>
      </c>
      <c r="O39" s="75">
        <f t="shared" si="5"/>
        <v>-54.66408893185114</v>
      </c>
      <c r="P39" s="75">
        <f>VLOOKUP($A39,'Data Vlaue (Cr)'!$C:$FB,119)</f>
        <v>0.73</v>
      </c>
      <c r="Q39" s="75">
        <f>VLOOKUP($A39,'Data Vlaue (Cr)'!$C:$FB,122)*100</f>
        <v>1.39</v>
      </c>
      <c r="R39" s="75">
        <f>VLOOKUP($A39,'Data Vlaue (Cr)'!$C:$FB,125)</f>
        <v>0.52</v>
      </c>
      <c r="S39" s="75">
        <f>VLOOKUP($A39,'Data Vlaue (Cr)'!$C:$FB,128)*100</f>
        <v>-17.46</v>
      </c>
    </row>
    <row r="40" spans="1:19" x14ac:dyDescent="0.25">
      <c r="A40" s="96" t="str">
        <f>'Data Vlaue (Cr)'!C31</f>
        <v>BHARTIARTL</v>
      </c>
      <c r="B40" s="75">
        <f>VLOOKUP($A40,'Data Vlaue (Cr)'!$C:$FB,2)</f>
        <v>475</v>
      </c>
      <c r="C40" s="75">
        <f>VLOOKUP($A40,'Data Vlaue (Cr)'!$C:$FB,8)</f>
        <v>2080.1</v>
      </c>
      <c r="D40" s="75">
        <f>VLOOKUP($A40,'Data Vlaue (Cr)'!$C:$FB,4)</f>
        <v>2076.6</v>
      </c>
      <c r="E40" s="75">
        <f>VLOOKUP($A40,'Data Vlaue (Cr)'!$C:$FB,5)</f>
        <v>2026.6</v>
      </c>
      <c r="F40" s="75">
        <f t="shared" si="0"/>
        <v>-3.5</v>
      </c>
      <c r="G40" s="75">
        <f t="shared" si="1"/>
        <v>2.4077819512664935</v>
      </c>
      <c r="H40" s="75">
        <f>VLOOKUP($A40,'Data Vlaue (Cr)'!$C:$FB,99)</f>
        <v>16313</v>
      </c>
      <c r="I40" s="75">
        <f>VLOOKUP($A40,'Data Vlaue (Cr)'!$C:$FB,100)</f>
        <v>16111</v>
      </c>
      <c r="J40" s="75">
        <f t="shared" si="2"/>
        <v>202</v>
      </c>
      <c r="K40" s="75">
        <f t="shared" si="3"/>
        <v>1.2382762214185006</v>
      </c>
      <c r="L40" s="75">
        <f>VLOOKUP($A40,'Data Vlaue (Cr)'!$C:$FB,67)</f>
        <v>35315</v>
      </c>
      <c r="M40" s="75">
        <f>VLOOKUP($A40,'Data Vlaue (Cr)'!$C:$FB,68)</f>
        <v>16516</v>
      </c>
      <c r="N40" s="75">
        <f t="shared" si="4"/>
        <v>18799</v>
      </c>
      <c r="O40" s="75">
        <f t="shared" si="5"/>
        <v>53.232337533625937</v>
      </c>
      <c r="P40" s="75">
        <f>VLOOKUP($A40,'Data Vlaue (Cr)'!$C:$FB,119)</f>
        <v>0.74</v>
      </c>
      <c r="Q40" s="75">
        <f>VLOOKUP($A40,'Data Vlaue (Cr)'!$C:$FB,122)*100</f>
        <v>10.45</v>
      </c>
      <c r="R40" s="75">
        <f>VLOOKUP($A40,'Data Vlaue (Cr)'!$C:$FB,125)</f>
        <v>0.37</v>
      </c>
      <c r="S40" s="75">
        <f>VLOOKUP($A40,'Data Vlaue (Cr)'!$C:$FB,128)*100</f>
        <v>-26</v>
      </c>
    </row>
    <row r="41" spans="1:19" x14ac:dyDescent="0.25">
      <c r="A41" s="96" t="str">
        <f>'Data Vlaue (Cr)'!C32</f>
        <v>BHEL</v>
      </c>
      <c r="B41" s="75">
        <f>VLOOKUP($A41,'Data Vlaue (Cr)'!$C:$FB,2)</f>
        <v>2625</v>
      </c>
      <c r="C41" s="75">
        <f>VLOOKUP($A41,'Data Vlaue (Cr)'!$C:$FB,8)</f>
        <v>235</v>
      </c>
      <c r="D41" s="75">
        <f>VLOOKUP($A41,'Data Vlaue (Cr)'!$C:$FB,4)</f>
        <v>235.43</v>
      </c>
      <c r="E41" s="75">
        <f>VLOOKUP($A41,'Data Vlaue (Cr)'!$C:$FB,5)</f>
        <v>230.79</v>
      </c>
      <c r="F41" s="75">
        <f t="shared" si="0"/>
        <v>0.43000000000000682</v>
      </c>
      <c r="G41" s="75">
        <f t="shared" si="1"/>
        <v>1.9708618272947436</v>
      </c>
      <c r="H41" s="75">
        <f>VLOOKUP($A41,'Data Vlaue (Cr)'!$C:$FB,99)</f>
        <v>2556</v>
      </c>
      <c r="I41" s="75">
        <f>VLOOKUP($A41,'Data Vlaue (Cr)'!$C:$FB,100)</f>
        <v>2529</v>
      </c>
      <c r="J41" s="75">
        <f t="shared" si="2"/>
        <v>27</v>
      </c>
      <c r="K41" s="75">
        <f t="shared" si="3"/>
        <v>1.056338028169014</v>
      </c>
      <c r="L41" s="75">
        <f>VLOOKUP($A41,'Data Vlaue (Cr)'!$C:$FB,67)</f>
        <v>3012</v>
      </c>
      <c r="M41" s="75">
        <f>VLOOKUP($A41,'Data Vlaue (Cr)'!$C:$FB,68)</f>
        <v>2427</v>
      </c>
      <c r="N41" s="75">
        <f t="shared" si="4"/>
        <v>585</v>
      </c>
      <c r="O41" s="75">
        <f t="shared" si="5"/>
        <v>19.422310756972109</v>
      </c>
      <c r="P41" s="75">
        <f>VLOOKUP($A41,'Data Vlaue (Cr)'!$C:$FB,119)</f>
        <v>0.64</v>
      </c>
      <c r="Q41" s="75">
        <f>VLOOKUP($A41,'Data Vlaue (Cr)'!$C:$FB,122)*100</f>
        <v>18.52</v>
      </c>
      <c r="R41" s="75">
        <f>VLOOKUP($A41,'Data Vlaue (Cr)'!$C:$FB,125)</f>
        <v>0.49</v>
      </c>
      <c r="S41" s="75">
        <f>VLOOKUP($A41,'Data Vlaue (Cr)'!$C:$FB,128)*100</f>
        <v>-3.92</v>
      </c>
    </row>
    <row r="42" spans="1:19" x14ac:dyDescent="0.25">
      <c r="A42" s="96" t="str">
        <f>'Data Vlaue (Cr)'!C33</f>
        <v>BIOCON</v>
      </c>
      <c r="B42" s="75">
        <f>VLOOKUP($A42,'Data Vlaue (Cr)'!$C:$FB,2)</f>
        <v>2500</v>
      </c>
      <c r="C42" s="75">
        <f>VLOOKUP($A42,'Data Vlaue (Cr)'!$C:$FB,8)</f>
        <v>360.45</v>
      </c>
      <c r="D42" s="75">
        <f>VLOOKUP($A42,'Data Vlaue (Cr)'!$C:$FB,4)</f>
        <v>360.25</v>
      </c>
      <c r="E42" s="75">
        <f>VLOOKUP($A42,'Data Vlaue (Cr)'!$C:$FB,5)</f>
        <v>359.35</v>
      </c>
      <c r="F42" s="75">
        <f t="shared" si="0"/>
        <v>-0.19999999999998863</v>
      </c>
      <c r="G42" s="75">
        <f t="shared" si="1"/>
        <v>0.2498265093684878</v>
      </c>
      <c r="H42" s="75">
        <f>VLOOKUP($A42,'Data Vlaue (Cr)'!$C:$FB,99)</f>
        <v>2394</v>
      </c>
      <c r="I42" s="75">
        <f>VLOOKUP($A42,'Data Vlaue (Cr)'!$C:$FB,100)</f>
        <v>2476</v>
      </c>
      <c r="J42" s="75">
        <f t="shared" si="2"/>
        <v>-82</v>
      </c>
      <c r="K42" s="75">
        <f t="shared" si="3"/>
        <v>-3.4252297410192147</v>
      </c>
      <c r="L42" s="75">
        <f>VLOOKUP($A42,'Data Vlaue (Cr)'!$C:$FB,67)</f>
        <v>1748</v>
      </c>
      <c r="M42" s="75">
        <f>VLOOKUP($A42,'Data Vlaue (Cr)'!$C:$FB,68)</f>
        <v>1649</v>
      </c>
      <c r="N42" s="75">
        <f t="shared" si="4"/>
        <v>99</v>
      </c>
      <c r="O42" s="75">
        <f t="shared" si="5"/>
        <v>5.6636155606407321</v>
      </c>
      <c r="P42" s="75">
        <f>VLOOKUP($A42,'Data Vlaue (Cr)'!$C:$FB,119)</f>
        <v>0.68</v>
      </c>
      <c r="Q42" s="75">
        <f>VLOOKUP($A42,'Data Vlaue (Cr)'!$C:$FB,122)*100</f>
        <v>0</v>
      </c>
      <c r="R42" s="75">
        <f>VLOOKUP($A42,'Data Vlaue (Cr)'!$C:$FB,125)</f>
        <v>0.71</v>
      </c>
      <c r="S42" s="75">
        <f>VLOOKUP($A42,'Data Vlaue (Cr)'!$C:$FB,128)*100</f>
        <v>9.2299999999999986</v>
      </c>
    </row>
    <row r="43" spans="1:19" x14ac:dyDescent="0.25">
      <c r="A43" s="96" t="str">
        <f>'Data Vlaue (Cr)'!C34</f>
        <v>BLUESTARCO</v>
      </c>
      <c r="B43" s="75">
        <f>VLOOKUP($A43,'Data Vlaue (Cr)'!$C:$FB,2)</f>
        <v>325</v>
      </c>
      <c r="C43" s="75">
        <f>VLOOKUP($A43,'Data Vlaue (Cr)'!$C:$FB,8)</f>
        <v>1979.6</v>
      </c>
      <c r="D43" s="75">
        <f>VLOOKUP($A43,'Data Vlaue (Cr)'!$C:$FB,4)</f>
        <v>1984.2</v>
      </c>
      <c r="E43" s="75">
        <f>VLOOKUP($A43,'Data Vlaue (Cr)'!$C:$FB,5)</f>
        <v>2007.6</v>
      </c>
      <c r="F43" s="75">
        <f t="shared" si="0"/>
        <v>4.6000000000001364</v>
      </c>
      <c r="G43" s="75">
        <f t="shared" si="1"/>
        <v>-1.1793166011490708</v>
      </c>
      <c r="H43" s="75">
        <f>VLOOKUP($A43,'Data Vlaue (Cr)'!$C:$FB,99)</f>
        <v>612</v>
      </c>
      <c r="I43" s="75">
        <f>VLOOKUP($A43,'Data Vlaue (Cr)'!$C:$FB,100)</f>
        <v>669</v>
      </c>
      <c r="J43" s="75">
        <f t="shared" si="2"/>
        <v>-57</v>
      </c>
      <c r="K43" s="75">
        <f t="shared" si="3"/>
        <v>-9.3137254901960791</v>
      </c>
      <c r="L43" s="75">
        <f>VLOOKUP($A43,'Data Vlaue (Cr)'!$C:$FB,67)</f>
        <v>906</v>
      </c>
      <c r="M43" s="75">
        <f>VLOOKUP($A43,'Data Vlaue (Cr)'!$C:$FB,68)</f>
        <v>1788</v>
      </c>
      <c r="N43" s="75">
        <f t="shared" si="4"/>
        <v>-882</v>
      </c>
      <c r="O43" s="75">
        <f t="shared" si="5"/>
        <v>-97.350993377483448</v>
      </c>
      <c r="P43" s="75">
        <f>VLOOKUP($A43,'Data Vlaue (Cr)'!$C:$FB,119)</f>
        <v>0.49</v>
      </c>
      <c r="Q43" s="75">
        <f>VLOOKUP($A43,'Data Vlaue (Cr)'!$C:$FB,122)*100</f>
        <v>-3.92</v>
      </c>
      <c r="R43" s="75">
        <f>VLOOKUP($A43,'Data Vlaue (Cr)'!$C:$FB,125)</f>
        <v>0.36</v>
      </c>
      <c r="S43" s="75">
        <f>VLOOKUP($A43,'Data Vlaue (Cr)'!$C:$FB,128)*100</f>
        <v>28.57</v>
      </c>
    </row>
    <row r="44" spans="1:19" x14ac:dyDescent="0.25">
      <c r="A44" s="96" t="str">
        <f>'Data Vlaue (Cr)'!C35</f>
        <v>BOSCHLTD</v>
      </c>
      <c r="B44" s="75">
        <f>VLOOKUP($A44,'Data Vlaue (Cr)'!$C:$FB,2)</f>
        <v>25</v>
      </c>
      <c r="C44" s="75">
        <f>VLOOKUP($A44,'Data Vlaue (Cr)'!$C:$FB,8)</f>
        <v>39005</v>
      </c>
      <c r="D44" s="75">
        <f>VLOOKUP($A44,'Data Vlaue (Cr)'!$C:$FB,4)</f>
        <v>38965</v>
      </c>
      <c r="E44" s="75">
        <f>VLOOKUP($A44,'Data Vlaue (Cr)'!$C:$FB,5)</f>
        <v>38550</v>
      </c>
      <c r="F44" s="75">
        <f t="shared" si="0"/>
        <v>-40</v>
      </c>
      <c r="G44" s="75">
        <f t="shared" si="1"/>
        <v>1.065058385730784</v>
      </c>
      <c r="H44" s="75">
        <f>VLOOKUP($A44,'Data Vlaue (Cr)'!$C:$FB,99)</f>
        <v>1374</v>
      </c>
      <c r="I44" s="75">
        <f>VLOOKUP($A44,'Data Vlaue (Cr)'!$C:$FB,100)</f>
        <v>1381</v>
      </c>
      <c r="J44" s="75">
        <f t="shared" si="2"/>
        <v>-7</v>
      </c>
      <c r="K44" s="75">
        <f t="shared" si="3"/>
        <v>-0.50946142649199422</v>
      </c>
      <c r="L44" s="75">
        <f>VLOOKUP($A44,'Data Vlaue (Cr)'!$C:$FB,67)</f>
        <v>1178</v>
      </c>
      <c r="M44" s="75">
        <f>VLOOKUP($A44,'Data Vlaue (Cr)'!$C:$FB,68)</f>
        <v>1562</v>
      </c>
      <c r="N44" s="75">
        <f t="shared" si="4"/>
        <v>-384</v>
      </c>
      <c r="O44" s="75">
        <f t="shared" si="5"/>
        <v>-32.597623089983024</v>
      </c>
      <c r="P44" s="75">
        <f>VLOOKUP($A44,'Data Vlaue (Cr)'!$C:$FB,119)</f>
        <v>0.59</v>
      </c>
      <c r="Q44" s="75">
        <f>VLOOKUP($A44,'Data Vlaue (Cr)'!$C:$FB,122)*100</f>
        <v>-7.8100000000000005</v>
      </c>
      <c r="R44" s="75">
        <f>VLOOKUP($A44,'Data Vlaue (Cr)'!$C:$FB,125)</f>
        <v>0.26</v>
      </c>
      <c r="S44" s="75">
        <f>VLOOKUP($A44,'Data Vlaue (Cr)'!$C:$FB,128)*100</f>
        <v>-35</v>
      </c>
    </row>
    <row r="45" spans="1:19" x14ac:dyDescent="0.25">
      <c r="A45" s="96" t="str">
        <f>'Data Vlaue (Cr)'!C36</f>
        <v>BPCL</v>
      </c>
      <c r="B45" s="75">
        <f>VLOOKUP($A45,'Data Vlaue (Cr)'!$C:$FB,2)</f>
        <v>1975</v>
      </c>
      <c r="C45" s="75">
        <f>VLOOKUP($A45,'Data Vlaue (Cr)'!$C:$FB,8)</f>
        <v>343</v>
      </c>
      <c r="D45" s="75">
        <f>VLOOKUP($A45,'Data Vlaue (Cr)'!$C:$FB,4)</f>
        <v>342.75</v>
      </c>
      <c r="E45" s="75">
        <f>VLOOKUP($A45,'Data Vlaue (Cr)'!$C:$FB,5)</f>
        <v>330.65</v>
      </c>
      <c r="F45" s="75">
        <f t="shared" si="0"/>
        <v>-0.25</v>
      </c>
      <c r="G45" s="75">
        <f t="shared" si="1"/>
        <v>3.5302698760029241</v>
      </c>
      <c r="H45" s="75">
        <f>VLOOKUP($A45,'Data Vlaue (Cr)'!$C:$FB,99)</f>
        <v>2542</v>
      </c>
      <c r="I45" s="75">
        <f>VLOOKUP($A45,'Data Vlaue (Cr)'!$C:$FB,100)</f>
        <v>2605</v>
      </c>
      <c r="J45" s="75">
        <f t="shared" si="2"/>
        <v>-63</v>
      </c>
      <c r="K45" s="75">
        <f t="shared" si="3"/>
        <v>-2.4783634933123526</v>
      </c>
      <c r="L45" s="75">
        <f>VLOOKUP($A45,'Data Vlaue (Cr)'!$C:$FB,67)</f>
        <v>3738</v>
      </c>
      <c r="M45" s="75">
        <f>VLOOKUP($A45,'Data Vlaue (Cr)'!$C:$FB,68)</f>
        <v>2642</v>
      </c>
      <c r="N45" s="75">
        <f t="shared" si="4"/>
        <v>1096</v>
      </c>
      <c r="O45" s="75">
        <f t="shared" si="5"/>
        <v>29.320492241840558</v>
      </c>
      <c r="P45" s="75">
        <f>VLOOKUP($A45,'Data Vlaue (Cr)'!$C:$FB,119)</f>
        <v>0.76</v>
      </c>
      <c r="Q45" s="75">
        <f>VLOOKUP($A45,'Data Vlaue (Cr)'!$C:$FB,122)*100</f>
        <v>18.75</v>
      </c>
      <c r="R45" s="75">
        <f>VLOOKUP($A45,'Data Vlaue (Cr)'!$C:$FB,125)</f>
        <v>0.45</v>
      </c>
      <c r="S45" s="75">
        <f>VLOOKUP($A45,'Data Vlaue (Cr)'!$C:$FB,128)*100</f>
        <v>-19.64</v>
      </c>
    </row>
    <row r="46" spans="1:19" x14ac:dyDescent="0.25">
      <c r="A46" s="96" t="str">
        <f>'Data Vlaue (Cr)'!C37</f>
        <v>BRITANNIA</v>
      </c>
      <c r="B46" s="75">
        <f>VLOOKUP($A46,'Data Vlaue (Cr)'!$C:$FB,2)</f>
        <v>125</v>
      </c>
      <c r="C46" s="75">
        <f>VLOOKUP($A46,'Data Vlaue (Cr)'!$C:$FB,8)</f>
        <v>5912</v>
      </c>
      <c r="D46" s="75">
        <f>VLOOKUP($A46,'Data Vlaue (Cr)'!$C:$FB,4)</f>
        <v>5910.5</v>
      </c>
      <c r="E46" s="75">
        <f>VLOOKUP($A46,'Data Vlaue (Cr)'!$C:$FB,5)</f>
        <v>6052</v>
      </c>
      <c r="F46" s="75">
        <f t="shared" si="0"/>
        <v>-1.5</v>
      </c>
      <c r="G46" s="75">
        <f t="shared" si="1"/>
        <v>-2.3940444970814654</v>
      </c>
      <c r="H46" s="75">
        <f>VLOOKUP($A46,'Data Vlaue (Cr)'!$C:$FB,99)</f>
        <v>3017</v>
      </c>
      <c r="I46" s="75">
        <f>VLOOKUP($A46,'Data Vlaue (Cr)'!$C:$FB,100)</f>
        <v>3012</v>
      </c>
      <c r="J46" s="75">
        <f t="shared" si="2"/>
        <v>5</v>
      </c>
      <c r="K46" s="75">
        <f t="shared" si="3"/>
        <v>0.16572754391779915</v>
      </c>
      <c r="L46" s="75">
        <f>VLOOKUP($A46,'Data Vlaue (Cr)'!$C:$FB,67)</f>
        <v>4568</v>
      </c>
      <c r="M46" s="75">
        <f>VLOOKUP($A46,'Data Vlaue (Cr)'!$C:$FB,68)</f>
        <v>2576</v>
      </c>
      <c r="N46" s="75">
        <f t="shared" si="4"/>
        <v>1992</v>
      </c>
      <c r="O46" s="75">
        <f t="shared" si="5"/>
        <v>43.607705779334502</v>
      </c>
      <c r="P46" s="75">
        <f>VLOOKUP($A46,'Data Vlaue (Cr)'!$C:$FB,119)</f>
        <v>0.75</v>
      </c>
      <c r="Q46" s="75">
        <f>VLOOKUP($A46,'Data Vlaue (Cr)'!$C:$FB,122)*100</f>
        <v>-2.6</v>
      </c>
      <c r="R46" s="75">
        <f>VLOOKUP($A46,'Data Vlaue (Cr)'!$C:$FB,125)</f>
        <v>1.01</v>
      </c>
      <c r="S46" s="75">
        <f>VLOOKUP($A46,'Data Vlaue (Cr)'!$C:$FB,128)*100</f>
        <v>12.22</v>
      </c>
    </row>
    <row r="47" spans="1:19" x14ac:dyDescent="0.25">
      <c r="A47" s="96" t="str">
        <f>'Data Vlaue (Cr)'!C38</f>
        <v>BSE</v>
      </c>
      <c r="B47" s="75">
        <f>VLOOKUP($A47,'Data Vlaue (Cr)'!$C:$FB,2)</f>
        <v>375</v>
      </c>
      <c r="C47" s="75">
        <f>VLOOKUP($A47,'Data Vlaue (Cr)'!$C:$FB,8)</f>
        <v>2510.1999999999998</v>
      </c>
      <c r="D47" s="75">
        <f>VLOOKUP($A47,'Data Vlaue (Cr)'!$C:$FB,4)</f>
        <v>2511.4</v>
      </c>
      <c r="E47" s="75">
        <f>VLOOKUP($A47,'Data Vlaue (Cr)'!$C:$FB,5)</f>
        <v>2476.3000000000002</v>
      </c>
      <c r="F47" s="75">
        <f t="shared" si="0"/>
        <v>1.2000000000002728</v>
      </c>
      <c r="G47" s="75">
        <f t="shared" si="1"/>
        <v>1.3976268216930758</v>
      </c>
      <c r="H47" s="75">
        <f>VLOOKUP($A47,'Data Vlaue (Cr)'!$C:$FB,99)</f>
        <v>7111</v>
      </c>
      <c r="I47" s="75">
        <f>VLOOKUP($A47,'Data Vlaue (Cr)'!$C:$FB,100)</f>
        <v>7398</v>
      </c>
      <c r="J47" s="75">
        <f t="shared" si="2"/>
        <v>-287</v>
      </c>
      <c r="K47" s="75">
        <f t="shared" si="3"/>
        <v>-4.0360005625087885</v>
      </c>
      <c r="L47" s="75">
        <f>VLOOKUP($A47,'Data Vlaue (Cr)'!$C:$FB,67)</f>
        <v>9845</v>
      </c>
      <c r="M47" s="75">
        <f>VLOOKUP($A47,'Data Vlaue (Cr)'!$C:$FB,68)</f>
        <v>8049</v>
      </c>
      <c r="N47" s="75">
        <f t="shared" si="4"/>
        <v>1796</v>
      </c>
      <c r="O47" s="75">
        <f t="shared" si="5"/>
        <v>18.242762823768409</v>
      </c>
      <c r="P47" s="75">
        <f>VLOOKUP($A47,'Data Vlaue (Cr)'!$C:$FB,119)</f>
        <v>0.77</v>
      </c>
      <c r="Q47" s="75">
        <f>VLOOKUP($A47,'Data Vlaue (Cr)'!$C:$FB,122)*100</f>
        <v>0</v>
      </c>
      <c r="R47" s="75">
        <f>VLOOKUP($A47,'Data Vlaue (Cr)'!$C:$FB,125)</f>
        <v>0.59</v>
      </c>
      <c r="S47" s="75">
        <f>VLOOKUP($A47,'Data Vlaue (Cr)'!$C:$FB,128)*100</f>
        <v>-22.37</v>
      </c>
    </row>
    <row r="48" spans="1:19" x14ac:dyDescent="0.25">
      <c r="A48" s="96" t="str">
        <f>'Data Vlaue (Cr)'!C39</f>
        <v>CAMS</v>
      </c>
      <c r="B48" s="75">
        <f>VLOOKUP($A48,'Data Vlaue (Cr)'!$C:$FB,2)</f>
        <v>150</v>
      </c>
      <c r="C48" s="75">
        <f>VLOOKUP($A48,'Data Vlaue (Cr)'!$C:$FB,8)</f>
        <v>3965.4</v>
      </c>
      <c r="D48" s="75">
        <f>VLOOKUP($A48,'Data Vlaue (Cr)'!$C:$FB,4)</f>
        <v>3973.9</v>
      </c>
      <c r="E48" s="75">
        <f>VLOOKUP($A48,'Data Vlaue (Cr)'!$C:$FB,5)</f>
        <v>3880.9</v>
      </c>
      <c r="F48" s="75">
        <f t="shared" si="0"/>
        <v>8.5</v>
      </c>
      <c r="G48" s="75">
        <f t="shared" si="1"/>
        <v>2.3402702634691361</v>
      </c>
      <c r="H48" s="75">
        <f>VLOOKUP($A48,'Data Vlaue (Cr)'!$C:$FB,99)</f>
        <v>1500</v>
      </c>
      <c r="I48" s="75">
        <f>VLOOKUP($A48,'Data Vlaue (Cr)'!$C:$FB,100)</f>
        <v>1609</v>
      </c>
      <c r="J48" s="75">
        <f t="shared" si="2"/>
        <v>-109</v>
      </c>
      <c r="K48" s="75">
        <f t="shared" si="3"/>
        <v>-7.2666666666666675</v>
      </c>
      <c r="L48" s="75">
        <f>VLOOKUP($A48,'Data Vlaue (Cr)'!$C:$FB,67)</f>
        <v>2840</v>
      </c>
      <c r="M48" s="75">
        <f>VLOOKUP($A48,'Data Vlaue (Cr)'!$C:$FB,68)</f>
        <v>1441</v>
      </c>
      <c r="N48" s="75">
        <f t="shared" si="4"/>
        <v>1399</v>
      </c>
      <c r="O48" s="75">
        <f t="shared" si="5"/>
        <v>49.260563380281688</v>
      </c>
      <c r="P48" s="75">
        <f>VLOOKUP($A48,'Data Vlaue (Cr)'!$C:$FB,119)</f>
        <v>0.78</v>
      </c>
      <c r="Q48" s="75">
        <f>VLOOKUP($A48,'Data Vlaue (Cr)'!$C:$FB,122)*100</f>
        <v>20</v>
      </c>
      <c r="R48" s="75">
        <f>VLOOKUP($A48,'Data Vlaue (Cr)'!$C:$FB,125)</f>
        <v>0.32</v>
      </c>
      <c r="S48" s="75">
        <f>VLOOKUP($A48,'Data Vlaue (Cr)'!$C:$FB,128)*100</f>
        <v>-34.69</v>
      </c>
    </row>
    <row r="49" spans="1:19" x14ac:dyDescent="0.25">
      <c r="A49" s="96" t="str">
        <f>'Data Vlaue (Cr)'!C40</f>
        <v>CANBK</v>
      </c>
      <c r="B49" s="75">
        <f>VLOOKUP($A49,'Data Vlaue (Cr)'!$C:$FB,2)</f>
        <v>6750</v>
      </c>
      <c r="C49" s="75">
        <f>VLOOKUP($A49,'Data Vlaue (Cr)'!$C:$FB,8)</f>
        <v>129.13</v>
      </c>
      <c r="D49" s="75">
        <f>VLOOKUP($A49,'Data Vlaue (Cr)'!$C:$FB,4)</f>
        <v>129.22999999999999</v>
      </c>
      <c r="E49" s="75">
        <f>VLOOKUP($A49,'Data Vlaue (Cr)'!$C:$FB,5)</f>
        <v>125.54</v>
      </c>
      <c r="F49" s="75">
        <f t="shared" si="0"/>
        <v>9.9999999999994316E-2</v>
      </c>
      <c r="G49" s="75">
        <f t="shared" si="1"/>
        <v>2.8553741391317682</v>
      </c>
      <c r="H49" s="75">
        <f>VLOOKUP($A49,'Data Vlaue (Cr)'!$C:$FB,99)</f>
        <v>6048</v>
      </c>
      <c r="I49" s="75">
        <f>VLOOKUP($A49,'Data Vlaue (Cr)'!$C:$FB,100)</f>
        <v>6237</v>
      </c>
      <c r="J49" s="75">
        <f t="shared" si="2"/>
        <v>-189</v>
      </c>
      <c r="K49" s="75">
        <f t="shared" si="3"/>
        <v>-3.125</v>
      </c>
      <c r="L49" s="75">
        <f>VLOOKUP($A49,'Data Vlaue (Cr)'!$C:$FB,67)</f>
        <v>6737</v>
      </c>
      <c r="M49" s="75">
        <f>VLOOKUP($A49,'Data Vlaue (Cr)'!$C:$FB,68)</f>
        <v>4636</v>
      </c>
      <c r="N49" s="75">
        <f t="shared" si="4"/>
        <v>2101</v>
      </c>
      <c r="O49" s="75">
        <f t="shared" si="5"/>
        <v>31.185987828410273</v>
      </c>
      <c r="P49" s="75">
        <f>VLOOKUP($A49,'Data Vlaue (Cr)'!$C:$FB,119)</f>
        <v>0.92</v>
      </c>
      <c r="Q49" s="75">
        <f>VLOOKUP($A49,'Data Vlaue (Cr)'!$C:$FB,122)*100</f>
        <v>19.48</v>
      </c>
      <c r="R49" s="75">
        <f>VLOOKUP($A49,'Data Vlaue (Cr)'!$C:$FB,125)</f>
        <v>0.39</v>
      </c>
      <c r="S49" s="75">
        <f>VLOOKUP($A49,'Data Vlaue (Cr)'!$C:$FB,128)*100</f>
        <v>-17.02</v>
      </c>
    </row>
    <row r="50" spans="1:19" x14ac:dyDescent="0.25">
      <c r="A50" s="96" t="str">
        <f>'Data Vlaue (Cr)'!C41</f>
        <v>CDSL</v>
      </c>
      <c r="B50" s="75">
        <f>VLOOKUP($A50,'Data Vlaue (Cr)'!$C:$FB,2)</f>
        <v>475</v>
      </c>
      <c r="C50" s="75">
        <f>VLOOKUP($A50,'Data Vlaue (Cr)'!$C:$FB,8)</f>
        <v>1636.5</v>
      </c>
      <c r="D50" s="75">
        <f>VLOOKUP($A50,'Data Vlaue (Cr)'!$C:$FB,4)</f>
        <v>1639.4</v>
      </c>
      <c r="E50" s="75">
        <f>VLOOKUP($A50,'Data Vlaue (Cr)'!$C:$FB,5)</f>
        <v>1591.1</v>
      </c>
      <c r="F50" s="75">
        <f t="shared" si="0"/>
        <v>2.9000000000000909</v>
      </c>
      <c r="G50" s="75">
        <f t="shared" si="1"/>
        <v>2.9461998292058178</v>
      </c>
      <c r="H50" s="75">
        <f>VLOOKUP($A50,'Data Vlaue (Cr)'!$C:$FB,99)</f>
        <v>3086</v>
      </c>
      <c r="I50" s="75">
        <f>VLOOKUP($A50,'Data Vlaue (Cr)'!$C:$FB,100)</f>
        <v>3238</v>
      </c>
      <c r="J50" s="75">
        <f t="shared" si="2"/>
        <v>-152</v>
      </c>
      <c r="K50" s="75">
        <f t="shared" si="3"/>
        <v>-4.9254698639014904</v>
      </c>
      <c r="L50" s="75">
        <f>VLOOKUP($A50,'Data Vlaue (Cr)'!$C:$FB,67)</f>
        <v>6363</v>
      </c>
      <c r="M50" s="75">
        <f>VLOOKUP($A50,'Data Vlaue (Cr)'!$C:$FB,68)</f>
        <v>4505</v>
      </c>
      <c r="N50" s="75">
        <f t="shared" si="4"/>
        <v>1858</v>
      </c>
      <c r="O50" s="75">
        <f t="shared" si="5"/>
        <v>29.200062863429199</v>
      </c>
      <c r="P50" s="75">
        <f>VLOOKUP($A50,'Data Vlaue (Cr)'!$C:$FB,119)</f>
        <v>0.79</v>
      </c>
      <c r="Q50" s="75">
        <f>VLOOKUP($A50,'Data Vlaue (Cr)'!$C:$FB,122)*100</f>
        <v>16.18</v>
      </c>
      <c r="R50" s="75">
        <f>VLOOKUP($A50,'Data Vlaue (Cr)'!$C:$FB,125)</f>
        <v>0.46</v>
      </c>
      <c r="S50" s="75">
        <f>VLOOKUP($A50,'Data Vlaue (Cr)'!$C:$FB,128)*100</f>
        <v>-20.69</v>
      </c>
    </row>
    <row r="51" spans="1:19" x14ac:dyDescent="0.25">
      <c r="A51" s="96" t="str">
        <f>'Data Vlaue (Cr)'!C42</f>
        <v>CGPOWER</v>
      </c>
      <c r="B51" s="75">
        <f>VLOOKUP($A51,'Data Vlaue (Cr)'!$C:$FB,2)</f>
        <v>850</v>
      </c>
      <c r="C51" s="75">
        <f>VLOOKUP($A51,'Data Vlaue (Cr)'!$C:$FB,8)</f>
        <v>728.35</v>
      </c>
      <c r="D51" s="75">
        <f>VLOOKUP($A51,'Data Vlaue (Cr)'!$C:$FB,4)</f>
        <v>727.65</v>
      </c>
      <c r="E51" s="75">
        <f>VLOOKUP($A51,'Data Vlaue (Cr)'!$C:$FB,5)</f>
        <v>723.15</v>
      </c>
      <c r="F51" s="75">
        <f t="shared" si="0"/>
        <v>-0.70000000000004547</v>
      </c>
      <c r="G51" s="75">
        <f t="shared" si="1"/>
        <v>0.6184291898577613</v>
      </c>
      <c r="H51" s="75">
        <f>VLOOKUP($A51,'Data Vlaue (Cr)'!$C:$FB,99)</f>
        <v>1784</v>
      </c>
      <c r="I51" s="75">
        <f>VLOOKUP($A51,'Data Vlaue (Cr)'!$C:$FB,100)</f>
        <v>1895</v>
      </c>
      <c r="J51" s="75">
        <f t="shared" si="2"/>
        <v>-111</v>
      </c>
      <c r="K51" s="75">
        <f t="shared" si="3"/>
        <v>-6.2219730941704032</v>
      </c>
      <c r="L51" s="75">
        <f>VLOOKUP($A51,'Data Vlaue (Cr)'!$C:$FB,67)</f>
        <v>1447</v>
      </c>
      <c r="M51" s="75">
        <f>VLOOKUP($A51,'Data Vlaue (Cr)'!$C:$FB,68)</f>
        <v>2057</v>
      </c>
      <c r="N51" s="75">
        <f t="shared" si="4"/>
        <v>-610</v>
      </c>
      <c r="O51" s="75">
        <f t="shared" si="5"/>
        <v>-42.156185210780926</v>
      </c>
      <c r="P51" s="75">
        <f>VLOOKUP($A51,'Data Vlaue (Cr)'!$C:$FB,119)</f>
        <v>0.67</v>
      </c>
      <c r="Q51" s="75">
        <f>VLOOKUP($A51,'Data Vlaue (Cr)'!$C:$FB,122)*100</f>
        <v>8.06</v>
      </c>
      <c r="R51" s="75">
        <f>VLOOKUP($A51,'Data Vlaue (Cr)'!$C:$FB,125)</f>
        <v>0.66</v>
      </c>
      <c r="S51" s="75">
        <f>VLOOKUP($A51,'Data Vlaue (Cr)'!$C:$FB,128)*100</f>
        <v>46.67</v>
      </c>
    </row>
    <row r="52" spans="1:19" x14ac:dyDescent="0.25">
      <c r="A52" s="96" t="str">
        <f>'Data Vlaue (Cr)'!C43</f>
        <v>CHOLAFIN</v>
      </c>
      <c r="B52" s="75">
        <f>VLOOKUP($A52,'Data Vlaue (Cr)'!$C:$FB,2)</f>
        <v>625</v>
      </c>
      <c r="C52" s="75">
        <f>VLOOKUP($A52,'Data Vlaue (Cr)'!$C:$FB,8)</f>
        <v>1732.4</v>
      </c>
      <c r="D52" s="75">
        <f>VLOOKUP($A52,'Data Vlaue (Cr)'!$C:$FB,4)</f>
        <v>1734.6</v>
      </c>
      <c r="E52" s="75">
        <f>VLOOKUP($A52,'Data Vlaue (Cr)'!$C:$FB,5)</f>
        <v>1722.6</v>
      </c>
      <c r="F52" s="75">
        <f t="shared" si="0"/>
        <v>2.1999999999998181</v>
      </c>
      <c r="G52" s="75">
        <f t="shared" si="1"/>
        <v>0.69180214458664824</v>
      </c>
      <c r="H52" s="75">
        <f>VLOOKUP($A52,'Data Vlaue (Cr)'!$C:$FB,99)</f>
        <v>4031</v>
      </c>
      <c r="I52" s="75">
        <f>VLOOKUP($A52,'Data Vlaue (Cr)'!$C:$FB,100)</f>
        <v>4046</v>
      </c>
      <c r="J52" s="75">
        <f t="shared" si="2"/>
        <v>-15</v>
      </c>
      <c r="K52" s="75">
        <f t="shared" si="3"/>
        <v>-0.37211610022326963</v>
      </c>
      <c r="L52" s="75">
        <f>VLOOKUP($A52,'Data Vlaue (Cr)'!$C:$FB,67)</f>
        <v>8134</v>
      </c>
      <c r="M52" s="75">
        <f>VLOOKUP($A52,'Data Vlaue (Cr)'!$C:$FB,68)</f>
        <v>7892</v>
      </c>
      <c r="N52" s="75">
        <f t="shared" si="4"/>
        <v>242</v>
      </c>
      <c r="O52" s="75">
        <f t="shared" si="5"/>
        <v>2.9751659700024589</v>
      </c>
      <c r="P52" s="75">
        <f>VLOOKUP($A52,'Data Vlaue (Cr)'!$C:$FB,119)</f>
        <v>0.78</v>
      </c>
      <c r="Q52" s="75">
        <f>VLOOKUP($A52,'Data Vlaue (Cr)'!$C:$FB,122)*100</f>
        <v>1.3</v>
      </c>
      <c r="R52" s="75">
        <f>VLOOKUP($A52,'Data Vlaue (Cr)'!$C:$FB,125)</f>
        <v>0.48</v>
      </c>
      <c r="S52" s="75">
        <f>VLOOKUP($A52,'Data Vlaue (Cr)'!$C:$FB,128)*100</f>
        <v>71.430000000000007</v>
      </c>
    </row>
    <row r="53" spans="1:19" x14ac:dyDescent="0.25">
      <c r="A53" s="96" t="str">
        <f>'Data Vlaue (Cr)'!C44</f>
        <v>CIPLA</v>
      </c>
      <c r="B53" s="75">
        <f>VLOOKUP($A53,'Data Vlaue (Cr)'!$C:$FB,2)</f>
        <v>375</v>
      </c>
      <c r="C53" s="75">
        <f>VLOOKUP($A53,'Data Vlaue (Cr)'!$C:$FB,8)</f>
        <v>1584</v>
      </c>
      <c r="D53" s="75">
        <f>VLOOKUP($A53,'Data Vlaue (Cr)'!$C:$FB,4)</f>
        <v>1582.8</v>
      </c>
      <c r="E53" s="75">
        <f>VLOOKUP($A53,'Data Vlaue (Cr)'!$C:$FB,5)</f>
        <v>1583.1</v>
      </c>
      <c r="F53" s="75">
        <f t="shared" si="0"/>
        <v>-1.2000000000000455</v>
      </c>
      <c r="G53" s="75">
        <f t="shared" si="1"/>
        <v>-1.8953752843060053E-2</v>
      </c>
      <c r="H53" s="75">
        <f>VLOOKUP($A53,'Data Vlaue (Cr)'!$C:$FB,99)</f>
        <v>5212</v>
      </c>
      <c r="I53" s="75">
        <f>VLOOKUP($A53,'Data Vlaue (Cr)'!$C:$FB,100)</f>
        <v>5371</v>
      </c>
      <c r="J53" s="75">
        <f t="shared" si="2"/>
        <v>-159</v>
      </c>
      <c r="K53" s="75">
        <f t="shared" si="3"/>
        <v>-3.0506523407521104</v>
      </c>
      <c r="L53" s="75">
        <f>VLOOKUP($A53,'Data Vlaue (Cr)'!$C:$FB,67)</f>
        <v>7368</v>
      </c>
      <c r="M53" s="75">
        <f>VLOOKUP($A53,'Data Vlaue (Cr)'!$C:$FB,68)</f>
        <v>13821</v>
      </c>
      <c r="N53" s="75">
        <f t="shared" si="4"/>
        <v>-6453</v>
      </c>
      <c r="O53" s="75">
        <f t="shared" si="5"/>
        <v>-87.581433224755699</v>
      </c>
      <c r="P53" s="75">
        <f>VLOOKUP($A53,'Data Vlaue (Cr)'!$C:$FB,119)</f>
        <v>0.49</v>
      </c>
      <c r="Q53" s="75">
        <f>VLOOKUP($A53,'Data Vlaue (Cr)'!$C:$FB,122)*100</f>
        <v>4.26</v>
      </c>
      <c r="R53" s="75">
        <f>VLOOKUP($A53,'Data Vlaue (Cr)'!$C:$FB,125)</f>
        <v>0.5</v>
      </c>
      <c r="S53" s="75">
        <f>VLOOKUP($A53,'Data Vlaue (Cr)'!$C:$FB,128)*100</f>
        <v>-12.280000000000001</v>
      </c>
    </row>
    <row r="54" spans="1:19" x14ac:dyDescent="0.25">
      <c r="A54" s="96" t="str">
        <f>'Data Vlaue (Cr)'!C45</f>
        <v>COALINDIA</v>
      </c>
      <c r="B54" s="75">
        <f>VLOOKUP($A54,'Data Vlaue (Cr)'!$C:$FB,2)</f>
        <v>1350</v>
      </c>
      <c r="C54" s="75">
        <f>VLOOKUP($A54,'Data Vlaue (Cr)'!$C:$FB,8)</f>
        <v>396.7</v>
      </c>
      <c r="D54" s="75">
        <f>VLOOKUP($A54,'Data Vlaue (Cr)'!$C:$FB,4)</f>
        <v>396.55</v>
      </c>
      <c r="E54" s="75">
        <f>VLOOKUP($A54,'Data Vlaue (Cr)'!$C:$FB,5)</f>
        <v>393.95</v>
      </c>
      <c r="F54" s="75">
        <f t="shared" si="0"/>
        <v>-0.14999999999997726</v>
      </c>
      <c r="G54" s="75">
        <f t="shared" si="1"/>
        <v>0.65565502458706915</v>
      </c>
      <c r="H54" s="75">
        <f>VLOOKUP($A54,'Data Vlaue (Cr)'!$C:$FB,99)</f>
        <v>4618</v>
      </c>
      <c r="I54" s="75">
        <f>VLOOKUP($A54,'Data Vlaue (Cr)'!$C:$FB,100)</f>
        <v>4640</v>
      </c>
      <c r="J54" s="75">
        <f t="shared" si="2"/>
        <v>-22</v>
      </c>
      <c r="K54" s="75">
        <f t="shared" si="3"/>
        <v>-0.47639670853183191</v>
      </c>
      <c r="L54" s="75">
        <f>VLOOKUP($A54,'Data Vlaue (Cr)'!$C:$FB,67)</f>
        <v>4029</v>
      </c>
      <c r="M54" s="75">
        <f>VLOOKUP($A54,'Data Vlaue (Cr)'!$C:$FB,68)</f>
        <v>3116</v>
      </c>
      <c r="N54" s="75">
        <f t="shared" si="4"/>
        <v>913</v>
      </c>
      <c r="O54" s="75">
        <f t="shared" si="5"/>
        <v>22.660709853561677</v>
      </c>
      <c r="P54" s="75">
        <f>VLOOKUP($A54,'Data Vlaue (Cr)'!$C:$FB,119)</f>
        <v>0.83</v>
      </c>
      <c r="Q54" s="75">
        <f>VLOOKUP($A54,'Data Vlaue (Cr)'!$C:$FB,122)*100</f>
        <v>12.16</v>
      </c>
      <c r="R54" s="75">
        <f>VLOOKUP($A54,'Data Vlaue (Cr)'!$C:$FB,125)</f>
        <v>0.55000000000000004</v>
      </c>
      <c r="S54" s="75">
        <f>VLOOKUP($A54,'Data Vlaue (Cr)'!$C:$FB,128)*100</f>
        <v>-14.06</v>
      </c>
    </row>
    <row r="55" spans="1:19" x14ac:dyDescent="0.25">
      <c r="A55" s="96" t="str">
        <f>'Data Vlaue (Cr)'!C46</f>
        <v>COFORGE</v>
      </c>
      <c r="B55" s="75">
        <f>VLOOKUP($A55,'Data Vlaue (Cr)'!$C:$FB,2)</f>
        <v>375</v>
      </c>
      <c r="C55" s="75">
        <f>VLOOKUP($A55,'Data Vlaue (Cr)'!$C:$FB,8)</f>
        <v>1830.6</v>
      </c>
      <c r="D55" s="75">
        <f>VLOOKUP($A55,'Data Vlaue (Cr)'!$C:$FB,4)</f>
        <v>1830.5</v>
      </c>
      <c r="E55" s="75">
        <f>VLOOKUP($A55,'Data Vlaue (Cr)'!$C:$FB,5)</f>
        <v>1759.4</v>
      </c>
      <c r="F55" s="75">
        <f t="shared" si="0"/>
        <v>-9.9999999999909051E-2</v>
      </c>
      <c r="G55" s="75">
        <f t="shared" si="1"/>
        <v>3.8841846490029996</v>
      </c>
      <c r="H55" s="75">
        <f>VLOOKUP($A55,'Data Vlaue (Cr)'!$C:$FB,99)</f>
        <v>4569</v>
      </c>
      <c r="I55" s="75">
        <f>VLOOKUP($A55,'Data Vlaue (Cr)'!$C:$FB,100)</f>
        <v>4579</v>
      </c>
      <c r="J55" s="75">
        <f t="shared" si="2"/>
        <v>-10</v>
      </c>
      <c r="K55" s="75">
        <f t="shared" si="3"/>
        <v>-0.2188662727073758</v>
      </c>
      <c r="L55" s="75">
        <f>VLOOKUP($A55,'Data Vlaue (Cr)'!$C:$FB,67)</f>
        <v>20199</v>
      </c>
      <c r="M55" s="75">
        <f>VLOOKUP($A55,'Data Vlaue (Cr)'!$C:$FB,68)</f>
        <v>6302</v>
      </c>
      <c r="N55" s="75">
        <f t="shared" si="4"/>
        <v>13897</v>
      </c>
      <c r="O55" s="75">
        <f t="shared" si="5"/>
        <v>68.800435665131943</v>
      </c>
      <c r="P55" s="75">
        <f>VLOOKUP($A55,'Data Vlaue (Cr)'!$C:$FB,119)</f>
        <v>0.68</v>
      </c>
      <c r="Q55" s="75">
        <f>VLOOKUP($A55,'Data Vlaue (Cr)'!$C:$FB,122)*100</f>
        <v>21.43</v>
      </c>
      <c r="R55" s="75">
        <f>VLOOKUP($A55,'Data Vlaue (Cr)'!$C:$FB,125)</f>
        <v>0.56999999999999995</v>
      </c>
      <c r="S55" s="75">
        <f>VLOOKUP($A55,'Data Vlaue (Cr)'!$C:$FB,128)*100</f>
        <v>35.709999999999994</v>
      </c>
    </row>
    <row r="56" spans="1:19" x14ac:dyDescent="0.25">
      <c r="A56" s="96" t="str">
        <f>'Data Vlaue (Cr)'!C47</f>
        <v>COLPAL</v>
      </c>
      <c r="B56" s="75">
        <f>VLOOKUP($A56,'Data Vlaue (Cr)'!$C:$FB,2)</f>
        <v>225</v>
      </c>
      <c r="C56" s="75">
        <f>VLOOKUP($A56,'Data Vlaue (Cr)'!$C:$FB,8)</f>
        <v>2216.5</v>
      </c>
      <c r="D56" s="75">
        <f>VLOOKUP($A56,'Data Vlaue (Cr)'!$C:$FB,4)</f>
        <v>2221.5</v>
      </c>
      <c r="E56" s="75">
        <f>VLOOKUP($A56,'Data Vlaue (Cr)'!$C:$FB,5)</f>
        <v>2235.1</v>
      </c>
      <c r="F56" s="75">
        <f t="shared" si="0"/>
        <v>5</v>
      </c>
      <c r="G56" s="75">
        <f t="shared" si="1"/>
        <v>-0.61219896466351154</v>
      </c>
      <c r="H56" s="75">
        <f>VLOOKUP($A56,'Data Vlaue (Cr)'!$C:$FB,99)</f>
        <v>2437</v>
      </c>
      <c r="I56" s="75">
        <f>VLOOKUP($A56,'Data Vlaue (Cr)'!$C:$FB,100)</f>
        <v>2407</v>
      </c>
      <c r="J56" s="75">
        <f t="shared" si="2"/>
        <v>30</v>
      </c>
      <c r="K56" s="75">
        <f t="shared" si="3"/>
        <v>1.2310217480508823</v>
      </c>
      <c r="L56" s="75">
        <f>VLOOKUP($A56,'Data Vlaue (Cr)'!$C:$FB,67)</f>
        <v>2489</v>
      </c>
      <c r="M56" s="75">
        <f>VLOOKUP($A56,'Data Vlaue (Cr)'!$C:$FB,68)</f>
        <v>7726</v>
      </c>
      <c r="N56" s="75">
        <f t="shared" si="4"/>
        <v>-5237</v>
      </c>
      <c r="O56" s="75">
        <f t="shared" si="5"/>
        <v>-210.40578545600641</v>
      </c>
      <c r="P56" s="75">
        <f>VLOOKUP($A56,'Data Vlaue (Cr)'!$C:$FB,119)</f>
        <v>0.67</v>
      </c>
      <c r="Q56" s="75">
        <f>VLOOKUP($A56,'Data Vlaue (Cr)'!$C:$FB,122)*100</f>
        <v>-6.94</v>
      </c>
      <c r="R56" s="75">
        <f>VLOOKUP($A56,'Data Vlaue (Cr)'!$C:$FB,125)</f>
        <v>0.56000000000000005</v>
      </c>
      <c r="S56" s="75">
        <f>VLOOKUP($A56,'Data Vlaue (Cr)'!$C:$FB,128)*100</f>
        <v>5.66</v>
      </c>
    </row>
    <row r="57" spans="1:19" x14ac:dyDescent="0.25">
      <c r="A57" s="96" t="str">
        <f>'Data Vlaue (Cr)'!C48</f>
        <v>CONCOR</v>
      </c>
      <c r="B57" s="75">
        <f>VLOOKUP($A57,'Data Vlaue (Cr)'!$C:$FB,2)</f>
        <v>1250</v>
      </c>
      <c r="C57" s="75">
        <f>VLOOKUP($A57,'Data Vlaue (Cr)'!$C:$FB,8)</f>
        <v>540.75</v>
      </c>
      <c r="D57" s="75">
        <f>VLOOKUP($A57,'Data Vlaue (Cr)'!$C:$FB,4)</f>
        <v>541</v>
      </c>
      <c r="E57" s="75">
        <f>VLOOKUP($A57,'Data Vlaue (Cr)'!$C:$FB,5)</f>
        <v>538.5</v>
      </c>
      <c r="F57" s="75">
        <f t="shared" si="0"/>
        <v>0.25</v>
      </c>
      <c r="G57" s="75">
        <f t="shared" si="1"/>
        <v>0.46210720887245843</v>
      </c>
      <c r="H57" s="75">
        <f>VLOOKUP($A57,'Data Vlaue (Cr)'!$C:$FB,99)</f>
        <v>2449</v>
      </c>
      <c r="I57" s="75">
        <f>VLOOKUP($A57,'Data Vlaue (Cr)'!$C:$FB,100)</f>
        <v>2494</v>
      </c>
      <c r="J57" s="75">
        <f t="shared" si="2"/>
        <v>-45</v>
      </c>
      <c r="K57" s="75">
        <f t="shared" si="3"/>
        <v>-1.8374846876276032</v>
      </c>
      <c r="L57" s="75">
        <f>VLOOKUP($A57,'Data Vlaue (Cr)'!$C:$FB,67)</f>
        <v>1636</v>
      </c>
      <c r="M57" s="75">
        <f>VLOOKUP($A57,'Data Vlaue (Cr)'!$C:$FB,68)</f>
        <v>2553</v>
      </c>
      <c r="N57" s="75">
        <f t="shared" si="4"/>
        <v>-917</v>
      </c>
      <c r="O57" s="75">
        <f t="shared" si="5"/>
        <v>-56.051344743276289</v>
      </c>
      <c r="P57" s="75">
        <f>VLOOKUP($A57,'Data Vlaue (Cr)'!$C:$FB,119)</f>
        <v>0.79</v>
      </c>
      <c r="Q57" s="75">
        <f>VLOOKUP($A57,'Data Vlaue (Cr)'!$C:$FB,122)*100</f>
        <v>-1.25</v>
      </c>
      <c r="R57" s="75">
        <f>VLOOKUP($A57,'Data Vlaue (Cr)'!$C:$FB,125)</f>
        <v>0.47</v>
      </c>
      <c r="S57" s="75">
        <f>VLOOKUP($A57,'Data Vlaue (Cr)'!$C:$FB,128)*100</f>
        <v>-4.08</v>
      </c>
    </row>
    <row r="58" spans="1:19" x14ac:dyDescent="0.25">
      <c r="A58" s="96" t="str">
        <f>'Data Vlaue (Cr)'!C49</f>
        <v>CROMPTON</v>
      </c>
      <c r="B58" s="75">
        <f>VLOOKUP($A58,'Data Vlaue (Cr)'!$C:$FB,2)</f>
        <v>1800</v>
      </c>
      <c r="C58" s="75">
        <f>VLOOKUP($A58,'Data Vlaue (Cr)'!$C:$FB,8)</f>
        <v>292.05</v>
      </c>
      <c r="D58" s="75">
        <f>VLOOKUP($A58,'Data Vlaue (Cr)'!$C:$FB,4)</f>
        <v>292.25</v>
      </c>
      <c r="E58" s="75">
        <f>VLOOKUP($A58,'Data Vlaue (Cr)'!$C:$FB,5)</f>
        <v>293.55</v>
      </c>
      <c r="F58" s="75">
        <f t="shared" si="0"/>
        <v>0.19999999999998863</v>
      </c>
      <c r="G58" s="75">
        <f t="shared" si="1"/>
        <v>-0.4448246364414068</v>
      </c>
      <c r="H58" s="75">
        <f>VLOOKUP($A58,'Data Vlaue (Cr)'!$C:$FB,99)</f>
        <v>2650</v>
      </c>
      <c r="I58" s="75">
        <f>VLOOKUP($A58,'Data Vlaue (Cr)'!$C:$FB,100)</f>
        <v>2459</v>
      </c>
      <c r="J58" s="75">
        <f t="shared" si="2"/>
        <v>191</v>
      </c>
      <c r="K58" s="75">
        <f t="shared" si="3"/>
        <v>7.2075471698113205</v>
      </c>
      <c r="L58" s="75">
        <f>VLOOKUP($A58,'Data Vlaue (Cr)'!$C:$FB,67)</f>
        <v>1886</v>
      </c>
      <c r="M58" s="75">
        <f>VLOOKUP($A58,'Data Vlaue (Cr)'!$C:$FB,68)</f>
        <v>2050</v>
      </c>
      <c r="N58" s="75">
        <f t="shared" si="4"/>
        <v>-164</v>
      </c>
      <c r="O58" s="75">
        <f t="shared" si="5"/>
        <v>-8.695652173913043</v>
      </c>
      <c r="P58" s="75">
        <f>VLOOKUP($A58,'Data Vlaue (Cr)'!$C:$FB,119)</f>
        <v>0.6</v>
      </c>
      <c r="Q58" s="75">
        <f>VLOOKUP($A58,'Data Vlaue (Cr)'!$C:$FB,122)*100</f>
        <v>-4.7600000000000007</v>
      </c>
      <c r="R58" s="75">
        <f>VLOOKUP($A58,'Data Vlaue (Cr)'!$C:$FB,125)</f>
        <v>0.35</v>
      </c>
      <c r="S58" s="75">
        <f>VLOOKUP($A58,'Data Vlaue (Cr)'!$C:$FB,128)*100</f>
        <v>0</v>
      </c>
    </row>
    <row r="59" spans="1:19" x14ac:dyDescent="0.25">
      <c r="A59" s="96" t="str">
        <f>'Data Vlaue (Cr)'!C50</f>
        <v>CUMMINSIND</v>
      </c>
      <c r="B59" s="75">
        <f>VLOOKUP($A59,'Data Vlaue (Cr)'!$C:$FB,2)</f>
        <v>200</v>
      </c>
      <c r="C59" s="75">
        <f>VLOOKUP($A59,'Data Vlaue (Cr)'!$C:$FB,8)</f>
        <v>4311.5</v>
      </c>
      <c r="D59" s="75">
        <f>VLOOKUP($A59,'Data Vlaue (Cr)'!$C:$FB,4)</f>
        <v>4310.8999999999996</v>
      </c>
      <c r="E59" s="75">
        <f>VLOOKUP($A59,'Data Vlaue (Cr)'!$C:$FB,5)</f>
        <v>4192.3</v>
      </c>
      <c r="F59" s="75">
        <f t="shared" si="0"/>
        <v>-0.6000000000003638</v>
      </c>
      <c r="G59" s="75">
        <f t="shared" si="1"/>
        <v>2.7511656498642854</v>
      </c>
      <c r="H59" s="75">
        <f>VLOOKUP($A59,'Data Vlaue (Cr)'!$C:$FB,99)</f>
        <v>2328</v>
      </c>
      <c r="I59" s="75">
        <f>VLOOKUP($A59,'Data Vlaue (Cr)'!$C:$FB,100)</f>
        <v>2100</v>
      </c>
      <c r="J59" s="75">
        <f t="shared" si="2"/>
        <v>228</v>
      </c>
      <c r="K59" s="75">
        <f t="shared" si="3"/>
        <v>9.7938144329896915</v>
      </c>
      <c r="L59" s="75">
        <f>VLOOKUP($A59,'Data Vlaue (Cr)'!$C:$FB,67)</f>
        <v>6713</v>
      </c>
      <c r="M59" s="75">
        <f>VLOOKUP($A59,'Data Vlaue (Cr)'!$C:$FB,68)</f>
        <v>7955</v>
      </c>
      <c r="N59" s="75">
        <f t="shared" si="4"/>
        <v>-1242</v>
      </c>
      <c r="O59" s="75">
        <f t="shared" si="5"/>
        <v>-18.501415164605987</v>
      </c>
      <c r="P59" s="75">
        <f>VLOOKUP($A59,'Data Vlaue (Cr)'!$C:$FB,119)</f>
        <v>1.1299999999999999</v>
      </c>
      <c r="Q59" s="75">
        <f>VLOOKUP($A59,'Data Vlaue (Cr)'!$C:$FB,122)*100</f>
        <v>43.04</v>
      </c>
      <c r="R59" s="75">
        <f>VLOOKUP($A59,'Data Vlaue (Cr)'!$C:$FB,125)</f>
        <v>0.47</v>
      </c>
      <c r="S59" s="75">
        <f>VLOOKUP($A59,'Data Vlaue (Cr)'!$C:$FB,128)*100</f>
        <v>46.87</v>
      </c>
    </row>
    <row r="60" spans="1:19" x14ac:dyDescent="0.25">
      <c r="A60" s="96" t="str">
        <f>'Data Vlaue (Cr)'!C51</f>
        <v>CYIENT</v>
      </c>
      <c r="B60" s="75">
        <f>VLOOKUP($A60,'Data Vlaue (Cr)'!$C:$FB,2)</f>
        <v>425</v>
      </c>
      <c r="C60" s="75">
        <f>VLOOKUP($A60,'Data Vlaue (Cr)'!$C:$FB,8)</f>
        <v>1208.0999999999999</v>
      </c>
      <c r="D60" s="75">
        <f>VLOOKUP($A60,'Data Vlaue (Cr)'!$C:$FB,4)</f>
        <v>1209.2</v>
      </c>
      <c r="E60" s="75">
        <f>VLOOKUP($A60,'Data Vlaue (Cr)'!$C:$FB,5)</f>
        <v>1187.5</v>
      </c>
      <c r="F60" s="75">
        <f t="shared" si="0"/>
        <v>1.1000000000001364</v>
      </c>
      <c r="G60" s="75">
        <f t="shared" si="1"/>
        <v>1.7945749255706289</v>
      </c>
      <c r="H60" s="75">
        <f>VLOOKUP($A60,'Data Vlaue (Cr)'!$C:$FB,99)</f>
        <v>932</v>
      </c>
      <c r="I60" s="75">
        <f>VLOOKUP($A60,'Data Vlaue (Cr)'!$C:$FB,100)</f>
        <v>1042</v>
      </c>
      <c r="J60" s="75">
        <f t="shared" si="2"/>
        <v>-110</v>
      </c>
      <c r="K60" s="75">
        <f t="shared" si="3"/>
        <v>-11.802575107296137</v>
      </c>
      <c r="L60" s="75">
        <f>VLOOKUP($A60,'Data Vlaue (Cr)'!$C:$FB,67)</f>
        <v>890</v>
      </c>
      <c r="M60" s="75">
        <f>VLOOKUP($A60,'Data Vlaue (Cr)'!$C:$FB,68)</f>
        <v>982</v>
      </c>
      <c r="N60" s="75">
        <f t="shared" si="4"/>
        <v>-92</v>
      </c>
      <c r="O60" s="75">
        <f t="shared" si="5"/>
        <v>-10.337078651685392</v>
      </c>
      <c r="P60" s="75">
        <f>VLOOKUP($A60,'Data Vlaue (Cr)'!$C:$FB,119)</f>
        <v>0.89</v>
      </c>
      <c r="Q60" s="75">
        <f>VLOOKUP($A60,'Data Vlaue (Cr)'!$C:$FB,122)*100</f>
        <v>12.659999999999998</v>
      </c>
      <c r="R60" s="75">
        <f>VLOOKUP($A60,'Data Vlaue (Cr)'!$C:$FB,125)</f>
        <v>0.49</v>
      </c>
      <c r="S60" s="75">
        <f>VLOOKUP($A60,'Data Vlaue (Cr)'!$C:$FB,128)*100</f>
        <v>-14.04</v>
      </c>
    </row>
    <row r="61" spans="1:19" x14ac:dyDescent="0.25">
      <c r="A61" s="96" t="str">
        <f>'Data Vlaue (Cr)'!C52</f>
        <v>DABUR</v>
      </c>
      <c r="B61" s="75">
        <f>VLOOKUP($A61,'Data Vlaue (Cr)'!$C:$FB,2)</f>
        <v>1250</v>
      </c>
      <c r="C61" s="75">
        <f>VLOOKUP($A61,'Data Vlaue (Cr)'!$C:$FB,8)</f>
        <v>507.05</v>
      </c>
      <c r="D61" s="75">
        <f>VLOOKUP($A61,'Data Vlaue (Cr)'!$C:$FB,4)</f>
        <v>506.45</v>
      </c>
      <c r="E61" s="75">
        <f>VLOOKUP($A61,'Data Vlaue (Cr)'!$C:$FB,5)</f>
        <v>507.75</v>
      </c>
      <c r="F61" s="75">
        <f t="shared" si="0"/>
        <v>-0.60000000000002274</v>
      </c>
      <c r="G61" s="75">
        <f t="shared" si="1"/>
        <v>-0.25668871556916012</v>
      </c>
      <c r="H61" s="75">
        <f>VLOOKUP($A61,'Data Vlaue (Cr)'!$C:$FB,99)</f>
        <v>2026</v>
      </c>
      <c r="I61" s="75">
        <f>VLOOKUP($A61,'Data Vlaue (Cr)'!$C:$FB,100)</f>
        <v>2093</v>
      </c>
      <c r="J61" s="75">
        <f t="shared" si="2"/>
        <v>-67</v>
      </c>
      <c r="K61" s="75">
        <f t="shared" si="3"/>
        <v>-3.3070088845014807</v>
      </c>
      <c r="L61" s="75">
        <f>VLOOKUP($A61,'Data Vlaue (Cr)'!$C:$FB,67)</f>
        <v>1792</v>
      </c>
      <c r="M61" s="75">
        <f>VLOOKUP($A61,'Data Vlaue (Cr)'!$C:$FB,68)</f>
        <v>2473</v>
      </c>
      <c r="N61" s="75">
        <f t="shared" si="4"/>
        <v>-681</v>
      </c>
      <c r="O61" s="75">
        <f t="shared" si="5"/>
        <v>-38.002232142857146</v>
      </c>
      <c r="P61" s="75">
        <f>VLOOKUP($A61,'Data Vlaue (Cr)'!$C:$FB,119)</f>
        <v>0.66</v>
      </c>
      <c r="Q61" s="75">
        <f>VLOOKUP($A61,'Data Vlaue (Cr)'!$C:$FB,122)*100</f>
        <v>3.1300000000000003</v>
      </c>
      <c r="R61" s="75">
        <f>VLOOKUP($A61,'Data Vlaue (Cr)'!$C:$FB,125)</f>
        <v>0.53</v>
      </c>
      <c r="S61" s="75">
        <f>VLOOKUP($A61,'Data Vlaue (Cr)'!$C:$FB,128)*100</f>
        <v>-36.9</v>
      </c>
    </row>
    <row r="62" spans="1:19" x14ac:dyDescent="0.25">
      <c r="A62" s="96" t="str">
        <f>'Data Vlaue (Cr)'!C53</f>
        <v>DALBHARAT</v>
      </c>
      <c r="B62" s="75">
        <f>VLOOKUP($A62,'Data Vlaue (Cr)'!$C:$FB,2)</f>
        <v>325</v>
      </c>
      <c r="C62" s="75">
        <f>VLOOKUP($A62,'Data Vlaue (Cr)'!$C:$FB,8)</f>
        <v>2093.1999999999998</v>
      </c>
      <c r="D62" s="75">
        <f>VLOOKUP($A62,'Data Vlaue (Cr)'!$C:$FB,4)</f>
        <v>2096.9</v>
      </c>
      <c r="E62" s="75">
        <f>VLOOKUP($A62,'Data Vlaue (Cr)'!$C:$FB,5)</f>
        <v>2101.4</v>
      </c>
      <c r="F62" s="75">
        <f t="shared" si="0"/>
        <v>3.7000000000002728</v>
      </c>
      <c r="G62" s="75">
        <f t="shared" si="1"/>
        <v>-0.21460250846487669</v>
      </c>
      <c r="H62" s="75">
        <f>VLOOKUP($A62,'Data Vlaue (Cr)'!$C:$FB,99)</f>
        <v>908</v>
      </c>
      <c r="I62" s="75">
        <f>VLOOKUP($A62,'Data Vlaue (Cr)'!$C:$FB,100)</f>
        <v>982</v>
      </c>
      <c r="J62" s="75">
        <f t="shared" si="2"/>
        <v>-74</v>
      </c>
      <c r="K62" s="75">
        <f t="shared" si="3"/>
        <v>-8.1497797356828183</v>
      </c>
      <c r="L62" s="75">
        <f>VLOOKUP($A62,'Data Vlaue (Cr)'!$C:$FB,67)</f>
        <v>913</v>
      </c>
      <c r="M62" s="75">
        <f>VLOOKUP($A62,'Data Vlaue (Cr)'!$C:$FB,68)</f>
        <v>1386</v>
      </c>
      <c r="N62" s="75">
        <f t="shared" si="4"/>
        <v>-473</v>
      </c>
      <c r="O62" s="75">
        <f t="shared" si="5"/>
        <v>-51.807228915662648</v>
      </c>
      <c r="P62" s="75">
        <f>VLOOKUP($A62,'Data Vlaue (Cr)'!$C:$FB,119)</f>
        <v>0.44</v>
      </c>
      <c r="Q62" s="75">
        <f>VLOOKUP($A62,'Data Vlaue (Cr)'!$C:$FB,122)*100</f>
        <v>4.7600000000000007</v>
      </c>
      <c r="R62" s="75">
        <f>VLOOKUP($A62,'Data Vlaue (Cr)'!$C:$FB,125)</f>
        <v>0.36</v>
      </c>
      <c r="S62" s="75">
        <f>VLOOKUP($A62,'Data Vlaue (Cr)'!$C:$FB,128)*100</f>
        <v>-2.7</v>
      </c>
    </row>
    <row r="63" spans="1:19" x14ac:dyDescent="0.25">
      <c r="A63" s="96" t="str">
        <f>'Data Vlaue (Cr)'!C54</f>
        <v>DELHIVERY</v>
      </c>
      <c r="B63" s="75">
        <f>VLOOKUP($A63,'Data Vlaue (Cr)'!$C:$FB,2)</f>
        <v>2075</v>
      </c>
      <c r="C63" s="75">
        <f>VLOOKUP($A63,'Data Vlaue (Cr)'!$C:$FB,8)</f>
        <v>473</v>
      </c>
      <c r="D63" s="75">
        <f>VLOOKUP($A63,'Data Vlaue (Cr)'!$C:$FB,4)</f>
        <v>472.55</v>
      </c>
      <c r="E63" s="75">
        <f>VLOOKUP($A63,'Data Vlaue (Cr)'!$C:$FB,5)</f>
        <v>466.4</v>
      </c>
      <c r="F63" s="75">
        <f t="shared" si="0"/>
        <v>-0.44999999999998863</v>
      </c>
      <c r="G63" s="75">
        <f t="shared" si="1"/>
        <v>1.3014495820548162</v>
      </c>
      <c r="H63" s="75">
        <f>VLOOKUP($A63,'Data Vlaue (Cr)'!$C:$FB,99)</f>
        <v>1614</v>
      </c>
      <c r="I63" s="75">
        <f>VLOOKUP($A63,'Data Vlaue (Cr)'!$C:$FB,100)</f>
        <v>1692</v>
      </c>
      <c r="J63" s="75">
        <f t="shared" si="2"/>
        <v>-78</v>
      </c>
      <c r="K63" s="75">
        <f t="shared" si="3"/>
        <v>-4.8327137546468402</v>
      </c>
      <c r="L63" s="75">
        <f>VLOOKUP($A63,'Data Vlaue (Cr)'!$C:$FB,67)</f>
        <v>1411</v>
      </c>
      <c r="M63" s="75">
        <f>VLOOKUP($A63,'Data Vlaue (Cr)'!$C:$FB,68)</f>
        <v>2059</v>
      </c>
      <c r="N63" s="75">
        <f t="shared" si="4"/>
        <v>-648</v>
      </c>
      <c r="O63" s="75">
        <f t="shared" si="5"/>
        <v>-45.924875974486177</v>
      </c>
      <c r="P63" s="75">
        <f>VLOOKUP($A63,'Data Vlaue (Cr)'!$C:$FB,119)</f>
        <v>0.63</v>
      </c>
      <c r="Q63" s="75">
        <f>VLOOKUP($A63,'Data Vlaue (Cr)'!$C:$FB,122)*100</f>
        <v>18.87</v>
      </c>
      <c r="R63" s="75">
        <f>VLOOKUP($A63,'Data Vlaue (Cr)'!$C:$FB,125)</f>
        <v>0.54</v>
      </c>
      <c r="S63" s="75">
        <f>VLOOKUP($A63,'Data Vlaue (Cr)'!$C:$FB,128)*100</f>
        <v>-35.709999999999994</v>
      </c>
    </row>
    <row r="64" spans="1:19" x14ac:dyDescent="0.25">
      <c r="A64" s="96" t="str">
        <f>'Data Vlaue (Cr)'!C55</f>
        <v>DIVISLAB</v>
      </c>
      <c r="B64" s="75">
        <f>VLOOKUP($A64,'Data Vlaue (Cr)'!$C:$FB,2)</f>
        <v>100</v>
      </c>
      <c r="C64" s="75">
        <f>VLOOKUP($A64,'Data Vlaue (Cr)'!$C:$FB,8)</f>
        <v>6490</v>
      </c>
      <c r="D64" s="75">
        <f>VLOOKUP($A64,'Data Vlaue (Cr)'!$C:$FB,4)</f>
        <v>6485</v>
      </c>
      <c r="E64" s="75">
        <f>VLOOKUP($A64,'Data Vlaue (Cr)'!$C:$FB,5)</f>
        <v>6587.5</v>
      </c>
      <c r="F64" s="75">
        <f t="shared" si="0"/>
        <v>-5</v>
      </c>
      <c r="G64" s="75">
        <f t="shared" si="1"/>
        <v>-1.5805705474171163</v>
      </c>
      <c r="H64" s="75">
        <f>VLOOKUP($A64,'Data Vlaue (Cr)'!$C:$FB,99)</f>
        <v>3380</v>
      </c>
      <c r="I64" s="75">
        <f>VLOOKUP($A64,'Data Vlaue (Cr)'!$C:$FB,100)</f>
        <v>3551</v>
      </c>
      <c r="J64" s="75">
        <f t="shared" si="2"/>
        <v>-171</v>
      </c>
      <c r="K64" s="75">
        <f t="shared" si="3"/>
        <v>-5.059171597633136</v>
      </c>
      <c r="L64" s="75">
        <f>VLOOKUP($A64,'Data Vlaue (Cr)'!$C:$FB,67)</f>
        <v>4166</v>
      </c>
      <c r="M64" s="75">
        <f>VLOOKUP($A64,'Data Vlaue (Cr)'!$C:$FB,68)</f>
        <v>2964</v>
      </c>
      <c r="N64" s="75">
        <f t="shared" si="4"/>
        <v>1202</v>
      </c>
      <c r="O64" s="75">
        <f t="shared" si="5"/>
        <v>28.85261641862698</v>
      </c>
      <c r="P64" s="75">
        <f>VLOOKUP($A64,'Data Vlaue (Cr)'!$C:$FB,119)</f>
        <v>0.84</v>
      </c>
      <c r="Q64" s="75">
        <f>VLOOKUP($A64,'Data Vlaue (Cr)'!$C:$FB,122)*100</f>
        <v>-16</v>
      </c>
      <c r="R64" s="75">
        <f>VLOOKUP($A64,'Data Vlaue (Cr)'!$C:$FB,125)</f>
        <v>0.82</v>
      </c>
      <c r="S64" s="75">
        <f>VLOOKUP($A64,'Data Vlaue (Cr)'!$C:$FB,128)*100</f>
        <v>-2.3800000000000003</v>
      </c>
    </row>
    <row r="65" spans="1:19" x14ac:dyDescent="0.25">
      <c r="A65" s="96" t="str">
        <f>'Data Vlaue (Cr)'!C56</f>
        <v>DIXON</v>
      </c>
      <c r="B65" s="75">
        <f>VLOOKUP($A65,'Data Vlaue (Cr)'!$C:$FB,2)</f>
        <v>50</v>
      </c>
      <c r="C65" s="75">
        <f>VLOOKUP($A65,'Data Vlaue (Cr)'!$C:$FB,8)</f>
        <v>15505</v>
      </c>
      <c r="D65" s="75">
        <f>VLOOKUP($A65,'Data Vlaue (Cr)'!$C:$FB,4)</f>
        <v>15528</v>
      </c>
      <c r="E65" s="75">
        <f>VLOOKUP($A65,'Data Vlaue (Cr)'!$C:$FB,5)</f>
        <v>15523</v>
      </c>
      <c r="F65" s="75">
        <f t="shared" si="0"/>
        <v>23</v>
      </c>
      <c r="G65" s="75">
        <f t="shared" si="1"/>
        <v>3.2199896960329724E-2</v>
      </c>
      <c r="H65" s="75">
        <f>VLOOKUP($A65,'Data Vlaue (Cr)'!$C:$FB,99)</f>
        <v>9139</v>
      </c>
      <c r="I65" s="75">
        <f>VLOOKUP($A65,'Data Vlaue (Cr)'!$C:$FB,100)</f>
        <v>9865</v>
      </c>
      <c r="J65" s="75">
        <f t="shared" si="2"/>
        <v>-726</v>
      </c>
      <c r="K65" s="75">
        <f t="shared" si="3"/>
        <v>-7.9439763650289974</v>
      </c>
      <c r="L65" s="75">
        <f>VLOOKUP($A65,'Data Vlaue (Cr)'!$C:$FB,67)</f>
        <v>16623</v>
      </c>
      <c r="M65" s="75">
        <f>VLOOKUP($A65,'Data Vlaue (Cr)'!$C:$FB,68)</f>
        <v>20952</v>
      </c>
      <c r="N65" s="75">
        <f t="shared" si="4"/>
        <v>-4329</v>
      </c>
      <c r="O65" s="75">
        <f t="shared" si="5"/>
        <v>-26.042230644288033</v>
      </c>
      <c r="P65" s="75">
        <f>VLOOKUP($A65,'Data Vlaue (Cr)'!$C:$FB,119)</f>
        <v>0.42</v>
      </c>
      <c r="Q65" s="75">
        <f>VLOOKUP($A65,'Data Vlaue (Cr)'!$C:$FB,122)*100</f>
        <v>5</v>
      </c>
      <c r="R65" s="75">
        <f>VLOOKUP($A65,'Data Vlaue (Cr)'!$C:$FB,125)</f>
        <v>0.47</v>
      </c>
      <c r="S65" s="75">
        <f>VLOOKUP($A65,'Data Vlaue (Cr)'!$C:$FB,128)*100</f>
        <v>-26.56</v>
      </c>
    </row>
    <row r="66" spans="1:19" x14ac:dyDescent="0.25">
      <c r="A66" s="96" t="str">
        <f>'Data Vlaue (Cr)'!C57</f>
        <v>DLF</v>
      </c>
      <c r="B66" s="75">
        <f>VLOOKUP($A66,'Data Vlaue (Cr)'!$C:$FB,2)</f>
        <v>825</v>
      </c>
      <c r="C66" s="75">
        <f>VLOOKUP($A66,'Data Vlaue (Cr)'!$C:$FB,8)</f>
        <v>779.5</v>
      </c>
      <c r="D66" s="75">
        <f>VLOOKUP($A66,'Data Vlaue (Cr)'!$C:$FB,4)</f>
        <v>778.95</v>
      </c>
      <c r="E66" s="75">
        <f>VLOOKUP($A66,'Data Vlaue (Cr)'!$C:$FB,5)</f>
        <v>773.4</v>
      </c>
      <c r="F66" s="75">
        <f t="shared" si="0"/>
        <v>-0.54999999999995453</v>
      </c>
      <c r="G66" s="75">
        <f t="shared" si="1"/>
        <v>0.7124975929135462</v>
      </c>
      <c r="H66" s="75">
        <f>VLOOKUP($A66,'Data Vlaue (Cr)'!$C:$FB,99)</f>
        <v>4593</v>
      </c>
      <c r="I66" s="75">
        <f>VLOOKUP($A66,'Data Vlaue (Cr)'!$C:$FB,100)</f>
        <v>4572</v>
      </c>
      <c r="J66" s="75">
        <f t="shared" si="2"/>
        <v>21</v>
      </c>
      <c r="K66" s="75">
        <f t="shared" si="3"/>
        <v>0.45721750489875895</v>
      </c>
      <c r="L66" s="75">
        <f>VLOOKUP($A66,'Data Vlaue (Cr)'!$C:$FB,67)</f>
        <v>5471</v>
      </c>
      <c r="M66" s="75">
        <f>VLOOKUP($A66,'Data Vlaue (Cr)'!$C:$FB,68)</f>
        <v>3715</v>
      </c>
      <c r="N66" s="75">
        <f t="shared" si="4"/>
        <v>1756</v>
      </c>
      <c r="O66" s="75">
        <f t="shared" si="5"/>
        <v>32.096508864924147</v>
      </c>
      <c r="P66" s="75">
        <f>VLOOKUP($A66,'Data Vlaue (Cr)'!$C:$FB,119)</f>
        <v>0.83</v>
      </c>
      <c r="Q66" s="75">
        <f>VLOOKUP($A66,'Data Vlaue (Cr)'!$C:$FB,122)*100</f>
        <v>-2.35</v>
      </c>
      <c r="R66" s="75">
        <f>VLOOKUP($A66,'Data Vlaue (Cr)'!$C:$FB,125)</f>
        <v>0.63</v>
      </c>
      <c r="S66" s="75">
        <f>VLOOKUP($A66,'Data Vlaue (Cr)'!$C:$FB,128)*100</f>
        <v>0</v>
      </c>
    </row>
    <row r="67" spans="1:19" x14ac:dyDescent="0.25">
      <c r="A67" s="96" t="str">
        <f>'Data Vlaue (Cr)'!C58</f>
        <v>DMART</v>
      </c>
      <c r="B67" s="75">
        <f>VLOOKUP($A67,'Data Vlaue (Cr)'!$C:$FB,2)</f>
        <v>150</v>
      </c>
      <c r="C67" s="75">
        <f>VLOOKUP($A67,'Data Vlaue (Cr)'!$C:$FB,8)</f>
        <v>4257.8999999999996</v>
      </c>
      <c r="D67" s="75">
        <f>VLOOKUP($A67,'Data Vlaue (Cr)'!$C:$FB,4)</f>
        <v>4269</v>
      </c>
      <c r="E67" s="75">
        <f>VLOOKUP($A67,'Data Vlaue (Cr)'!$C:$FB,5)</f>
        <v>4226.7</v>
      </c>
      <c r="F67" s="75">
        <f t="shared" si="0"/>
        <v>11.100000000000364</v>
      </c>
      <c r="G67" s="75">
        <f t="shared" si="1"/>
        <v>0.9908643710470878</v>
      </c>
      <c r="H67" s="75">
        <f>VLOOKUP($A67,'Data Vlaue (Cr)'!$C:$FB,99)</f>
        <v>4489</v>
      </c>
      <c r="I67" s="75">
        <f>VLOOKUP($A67,'Data Vlaue (Cr)'!$C:$FB,100)</f>
        <v>4852</v>
      </c>
      <c r="J67" s="75">
        <f t="shared" si="2"/>
        <v>-363</v>
      </c>
      <c r="K67" s="75">
        <f t="shared" si="3"/>
        <v>-8.0864335041211852</v>
      </c>
      <c r="L67" s="75">
        <f>VLOOKUP($A67,'Data Vlaue (Cr)'!$C:$FB,67)</f>
        <v>4471</v>
      </c>
      <c r="M67" s="75">
        <f>VLOOKUP($A67,'Data Vlaue (Cr)'!$C:$FB,68)</f>
        <v>4775</v>
      </c>
      <c r="N67" s="75">
        <f t="shared" si="4"/>
        <v>-304</v>
      </c>
      <c r="O67" s="75">
        <f t="shared" si="5"/>
        <v>-6.799373741892194</v>
      </c>
      <c r="P67" s="75">
        <f>VLOOKUP($A67,'Data Vlaue (Cr)'!$C:$FB,119)</f>
        <v>0.4</v>
      </c>
      <c r="Q67" s="75">
        <f>VLOOKUP($A67,'Data Vlaue (Cr)'!$C:$FB,122)*100</f>
        <v>8.1100000000000012</v>
      </c>
      <c r="R67" s="75">
        <f>VLOOKUP($A67,'Data Vlaue (Cr)'!$C:$FB,125)</f>
        <v>0.36</v>
      </c>
      <c r="S67" s="75">
        <f>VLOOKUP($A67,'Data Vlaue (Cr)'!$C:$FB,128)*100</f>
        <v>20</v>
      </c>
    </row>
    <row r="68" spans="1:19" x14ac:dyDescent="0.25">
      <c r="A68" s="96" t="str">
        <f>'Data Vlaue (Cr)'!C59</f>
        <v>DRREDDY</v>
      </c>
      <c r="B68" s="75">
        <f>VLOOKUP($A68,'Data Vlaue (Cr)'!$C:$FB,2)</f>
        <v>625</v>
      </c>
      <c r="C68" s="75">
        <f>VLOOKUP($A68,'Data Vlaue (Cr)'!$C:$FB,8)</f>
        <v>1284.3</v>
      </c>
      <c r="D68" s="75">
        <f>VLOOKUP($A68,'Data Vlaue (Cr)'!$C:$FB,4)</f>
        <v>1286.7</v>
      </c>
      <c r="E68" s="75">
        <f>VLOOKUP($A68,'Data Vlaue (Cr)'!$C:$FB,5)</f>
        <v>1282.5</v>
      </c>
      <c r="F68" s="75">
        <f t="shared" si="0"/>
        <v>2.4000000000000909</v>
      </c>
      <c r="G68" s="75">
        <f t="shared" si="1"/>
        <v>0.32641641408254024</v>
      </c>
      <c r="H68" s="75">
        <f>VLOOKUP($A68,'Data Vlaue (Cr)'!$C:$FB,99)</f>
        <v>3569</v>
      </c>
      <c r="I68" s="75">
        <f>VLOOKUP($A68,'Data Vlaue (Cr)'!$C:$FB,100)</f>
        <v>3646</v>
      </c>
      <c r="J68" s="75">
        <f t="shared" si="2"/>
        <v>-77</v>
      </c>
      <c r="K68" s="75">
        <f t="shared" si="3"/>
        <v>-2.1574670776127767</v>
      </c>
      <c r="L68" s="75">
        <f>VLOOKUP($A68,'Data Vlaue (Cr)'!$C:$FB,67)</f>
        <v>6469</v>
      </c>
      <c r="M68" s="75">
        <f>VLOOKUP($A68,'Data Vlaue (Cr)'!$C:$FB,68)</f>
        <v>4458</v>
      </c>
      <c r="N68" s="75">
        <f t="shared" si="4"/>
        <v>2011</v>
      </c>
      <c r="O68" s="75">
        <f t="shared" si="5"/>
        <v>31.086721286133866</v>
      </c>
      <c r="P68" s="75">
        <f>VLOOKUP($A68,'Data Vlaue (Cr)'!$C:$FB,119)</f>
        <v>0.57999999999999996</v>
      </c>
      <c r="Q68" s="75">
        <f>VLOOKUP($A68,'Data Vlaue (Cr)'!$C:$FB,122)*100</f>
        <v>0</v>
      </c>
      <c r="R68" s="75">
        <f>VLOOKUP($A68,'Data Vlaue (Cr)'!$C:$FB,125)</f>
        <v>0.59</v>
      </c>
      <c r="S68" s="75">
        <f>VLOOKUP($A68,'Data Vlaue (Cr)'!$C:$FB,128)*100</f>
        <v>11.32</v>
      </c>
    </row>
    <row r="69" spans="1:19" x14ac:dyDescent="0.25">
      <c r="A69" s="96" t="str">
        <f>'Data Vlaue (Cr)'!C60</f>
        <v>EICHERMOT</v>
      </c>
      <c r="B69" s="75">
        <f>VLOOKUP($A69,'Data Vlaue (Cr)'!$C:$FB,2)</f>
        <v>175</v>
      </c>
      <c r="C69" s="75">
        <f>VLOOKUP($A69,'Data Vlaue (Cr)'!$C:$FB,8)</f>
        <v>6906.5</v>
      </c>
      <c r="D69" s="75">
        <f>VLOOKUP($A69,'Data Vlaue (Cr)'!$C:$FB,4)</f>
        <v>6911.5</v>
      </c>
      <c r="E69" s="75">
        <f>VLOOKUP($A69,'Data Vlaue (Cr)'!$C:$FB,5)</f>
        <v>6846.5</v>
      </c>
      <c r="F69" s="75">
        <f t="shared" si="0"/>
        <v>5</v>
      </c>
      <c r="G69" s="75">
        <f t="shared" si="1"/>
        <v>0.94046154959126094</v>
      </c>
      <c r="H69" s="75">
        <f>VLOOKUP($A69,'Data Vlaue (Cr)'!$C:$FB,99)</f>
        <v>4615</v>
      </c>
      <c r="I69" s="75">
        <f>VLOOKUP($A69,'Data Vlaue (Cr)'!$C:$FB,100)</f>
        <v>4821</v>
      </c>
      <c r="J69" s="75">
        <f t="shared" si="2"/>
        <v>-206</v>
      </c>
      <c r="K69" s="75">
        <f t="shared" si="3"/>
        <v>-4.4637053087757312</v>
      </c>
      <c r="L69" s="75">
        <f>VLOOKUP($A69,'Data Vlaue (Cr)'!$C:$FB,67)</f>
        <v>4293</v>
      </c>
      <c r="M69" s="75">
        <f>VLOOKUP($A69,'Data Vlaue (Cr)'!$C:$FB,68)</f>
        <v>5801</v>
      </c>
      <c r="N69" s="75">
        <f t="shared" si="4"/>
        <v>-1508</v>
      </c>
      <c r="O69" s="75">
        <f t="shared" si="5"/>
        <v>-35.126950850221291</v>
      </c>
      <c r="P69" s="75">
        <f>VLOOKUP($A69,'Data Vlaue (Cr)'!$C:$FB,119)</f>
        <v>0.79</v>
      </c>
      <c r="Q69" s="75">
        <f>VLOOKUP($A69,'Data Vlaue (Cr)'!$C:$FB,122)*100</f>
        <v>14.49</v>
      </c>
      <c r="R69" s="75">
        <f>VLOOKUP($A69,'Data Vlaue (Cr)'!$C:$FB,125)</f>
        <v>0.45</v>
      </c>
      <c r="S69" s="75">
        <f>VLOOKUP($A69,'Data Vlaue (Cr)'!$C:$FB,128)*100</f>
        <v>-34.78</v>
      </c>
    </row>
    <row r="70" spans="1:19" x14ac:dyDescent="0.25">
      <c r="A70" s="96" t="str">
        <f>'Data Vlaue (Cr)'!C61</f>
        <v>ETERNAL</v>
      </c>
      <c r="B70" s="75">
        <f>VLOOKUP($A70,'Data Vlaue (Cr)'!$C:$FB,2)</f>
        <v>2425</v>
      </c>
      <c r="C70" s="75">
        <f>VLOOKUP($A70,'Data Vlaue (Cr)'!$C:$FB,8)</f>
        <v>333.7</v>
      </c>
      <c r="D70" s="75">
        <f>VLOOKUP($A70,'Data Vlaue (Cr)'!$C:$FB,4)</f>
        <v>334.15</v>
      </c>
      <c r="E70" s="75">
        <f>VLOOKUP($A70,'Data Vlaue (Cr)'!$C:$FB,5)</f>
        <v>327.14999999999998</v>
      </c>
      <c r="F70" s="75">
        <f t="shared" si="0"/>
        <v>0.44999999999998863</v>
      </c>
      <c r="G70" s="75">
        <f t="shared" si="1"/>
        <v>2.0948675744426155</v>
      </c>
      <c r="H70" s="75">
        <f>VLOOKUP($A70,'Data Vlaue (Cr)'!$C:$FB,99)</f>
        <v>12895</v>
      </c>
      <c r="I70" s="75">
        <f>VLOOKUP($A70,'Data Vlaue (Cr)'!$C:$FB,100)</f>
        <v>13100</v>
      </c>
      <c r="J70" s="75">
        <f t="shared" si="2"/>
        <v>-205</v>
      </c>
      <c r="K70" s="75">
        <f t="shared" si="3"/>
        <v>-1.5897634742148119</v>
      </c>
      <c r="L70" s="75">
        <f>VLOOKUP($A70,'Data Vlaue (Cr)'!$C:$FB,67)</f>
        <v>10144</v>
      </c>
      <c r="M70" s="75">
        <f>VLOOKUP($A70,'Data Vlaue (Cr)'!$C:$FB,68)</f>
        <v>12114</v>
      </c>
      <c r="N70" s="75">
        <f t="shared" si="4"/>
        <v>-1970</v>
      </c>
      <c r="O70" s="75">
        <f t="shared" si="5"/>
        <v>-19.420347003154575</v>
      </c>
      <c r="P70" s="75">
        <f>VLOOKUP($A70,'Data Vlaue (Cr)'!$C:$FB,119)</f>
        <v>0.55000000000000004</v>
      </c>
      <c r="Q70" s="75">
        <f>VLOOKUP($A70,'Data Vlaue (Cr)'!$C:$FB,122)*100</f>
        <v>1.8499999999999999</v>
      </c>
      <c r="R70" s="75">
        <f>VLOOKUP($A70,'Data Vlaue (Cr)'!$C:$FB,125)</f>
        <v>0.48</v>
      </c>
      <c r="S70" s="75">
        <f>VLOOKUP($A70,'Data Vlaue (Cr)'!$C:$FB,128)*100</f>
        <v>-5.88</v>
      </c>
    </row>
    <row r="71" spans="1:19" x14ac:dyDescent="0.25">
      <c r="A71" s="96" t="str">
        <f>'Data Vlaue (Cr)'!C62</f>
        <v>EXIDEIND</v>
      </c>
      <c r="B71" s="75">
        <f>VLOOKUP($A71,'Data Vlaue (Cr)'!$C:$FB,2)</f>
        <v>1800</v>
      </c>
      <c r="C71" s="75">
        <f>VLOOKUP($A71,'Data Vlaue (Cr)'!$C:$FB,8)</f>
        <v>379.95</v>
      </c>
      <c r="D71" s="75">
        <f>VLOOKUP($A71,'Data Vlaue (Cr)'!$C:$FB,4)</f>
        <v>380.05</v>
      </c>
      <c r="E71" s="75">
        <f>VLOOKUP($A71,'Data Vlaue (Cr)'!$C:$FB,5)</f>
        <v>388.25</v>
      </c>
      <c r="F71" s="75">
        <f t="shared" si="0"/>
        <v>0.10000000000002274</v>
      </c>
      <c r="G71" s="75">
        <f t="shared" si="1"/>
        <v>-2.157610840678855</v>
      </c>
      <c r="H71" s="75">
        <f>VLOOKUP($A71,'Data Vlaue (Cr)'!$C:$FB,99)</f>
        <v>2327</v>
      </c>
      <c r="I71" s="75">
        <f>VLOOKUP($A71,'Data Vlaue (Cr)'!$C:$FB,100)</f>
        <v>2151</v>
      </c>
      <c r="J71" s="75">
        <f t="shared" si="2"/>
        <v>176</v>
      </c>
      <c r="K71" s="75">
        <f t="shared" si="3"/>
        <v>7.5633863343360543</v>
      </c>
      <c r="L71" s="75">
        <f>VLOOKUP($A71,'Data Vlaue (Cr)'!$C:$FB,67)</f>
        <v>2969</v>
      </c>
      <c r="M71" s="75">
        <f>VLOOKUP($A71,'Data Vlaue (Cr)'!$C:$FB,68)</f>
        <v>2068</v>
      </c>
      <c r="N71" s="75">
        <f t="shared" si="4"/>
        <v>901</v>
      </c>
      <c r="O71" s="75">
        <f t="shared" si="5"/>
        <v>30.346918154260692</v>
      </c>
      <c r="P71" s="75">
        <f>VLOOKUP($A71,'Data Vlaue (Cr)'!$C:$FB,119)</f>
        <v>0.73</v>
      </c>
      <c r="Q71" s="75">
        <f>VLOOKUP($A71,'Data Vlaue (Cr)'!$C:$FB,122)*100</f>
        <v>-2.67</v>
      </c>
      <c r="R71" s="75">
        <f>VLOOKUP($A71,'Data Vlaue (Cr)'!$C:$FB,125)</f>
        <v>0.78</v>
      </c>
      <c r="S71" s="75">
        <f>VLOOKUP($A71,'Data Vlaue (Cr)'!$C:$FB,128)*100</f>
        <v>13.04</v>
      </c>
    </row>
    <row r="72" spans="1:19" x14ac:dyDescent="0.25">
      <c r="A72" s="96" t="str">
        <f>'Data Vlaue (Cr)'!C63</f>
        <v>FEDERALBNK</v>
      </c>
      <c r="B72" s="75">
        <f>VLOOKUP($A72,'Data Vlaue (Cr)'!$C:$FB,2)</f>
        <v>5000</v>
      </c>
      <c r="C72" s="75">
        <f>VLOOKUP($A72,'Data Vlaue (Cr)'!$C:$FB,8)</f>
        <v>234.04</v>
      </c>
      <c r="D72" s="75">
        <f>VLOOKUP($A72,'Data Vlaue (Cr)'!$C:$FB,4)</f>
        <v>233.69</v>
      </c>
      <c r="E72" s="75">
        <f>VLOOKUP($A72,'Data Vlaue (Cr)'!$C:$FB,5)</f>
        <v>227.49</v>
      </c>
      <c r="F72" s="75">
        <f t="shared" si="0"/>
        <v>-0.34999999999999432</v>
      </c>
      <c r="G72" s="75">
        <f t="shared" si="1"/>
        <v>2.6530874235097732</v>
      </c>
      <c r="H72" s="75">
        <f>VLOOKUP($A72,'Data Vlaue (Cr)'!$C:$FB,99)</f>
        <v>5821</v>
      </c>
      <c r="I72" s="75">
        <f>VLOOKUP($A72,'Data Vlaue (Cr)'!$C:$FB,100)</f>
        <v>5893</v>
      </c>
      <c r="J72" s="75">
        <f t="shared" si="2"/>
        <v>-72</v>
      </c>
      <c r="K72" s="75">
        <f t="shared" si="3"/>
        <v>-1.2369008761381206</v>
      </c>
      <c r="L72" s="75">
        <f>VLOOKUP($A72,'Data Vlaue (Cr)'!$C:$FB,67)</f>
        <v>10439</v>
      </c>
      <c r="M72" s="75">
        <f>VLOOKUP($A72,'Data Vlaue (Cr)'!$C:$FB,68)</f>
        <v>11946</v>
      </c>
      <c r="N72" s="75">
        <f t="shared" si="4"/>
        <v>-1507</v>
      </c>
      <c r="O72" s="75">
        <f t="shared" si="5"/>
        <v>-14.436248682824026</v>
      </c>
      <c r="P72" s="75">
        <f>VLOOKUP($A72,'Data Vlaue (Cr)'!$C:$FB,119)</f>
        <v>1.1399999999999999</v>
      </c>
      <c r="Q72" s="75">
        <f>VLOOKUP($A72,'Data Vlaue (Cr)'!$C:$FB,122)*100</f>
        <v>18.75</v>
      </c>
      <c r="R72" s="75">
        <f>VLOOKUP($A72,'Data Vlaue (Cr)'!$C:$FB,125)</f>
        <v>0.52</v>
      </c>
      <c r="S72" s="75">
        <f>VLOOKUP($A72,'Data Vlaue (Cr)'!$C:$FB,128)*100</f>
        <v>-7.1400000000000006</v>
      </c>
    </row>
    <row r="73" spans="1:19" x14ac:dyDescent="0.25">
      <c r="A73" s="96" t="str">
        <f>'Data Vlaue (Cr)'!C64</f>
        <v>FINNIFTY</v>
      </c>
      <c r="B73" s="75">
        <f>VLOOKUP($A73,'Data Vlaue (Cr)'!$C:$FB,2)</f>
        <v>65</v>
      </c>
      <c r="C73" s="75">
        <f>VLOOKUP($A73,'Data Vlaue (Cr)'!$C:$FB,8)</f>
        <v>27519</v>
      </c>
      <c r="D73" s="75">
        <f>VLOOKUP($A73,'Data Vlaue (Cr)'!$C:$FB,4)</f>
        <v>27568.6</v>
      </c>
      <c r="E73" s="75">
        <f>VLOOKUP($A73,'Data Vlaue (Cr)'!$C:$FB,5)</f>
        <v>27400.6</v>
      </c>
      <c r="F73" s="75">
        <f t="shared" si="0"/>
        <v>49.599999999998545</v>
      </c>
      <c r="G73" s="75">
        <f t="shared" si="1"/>
        <v>0.60938894249254594</v>
      </c>
      <c r="H73" s="75">
        <f>VLOOKUP($A73,'Data Vlaue (Cr)'!$C:$FB,99)</f>
        <v>10311</v>
      </c>
      <c r="I73" s="75">
        <f>VLOOKUP($A73,'Data Vlaue (Cr)'!$C:$FB,100)</f>
        <v>10615</v>
      </c>
      <c r="J73" s="75">
        <f t="shared" si="2"/>
        <v>-304</v>
      </c>
      <c r="K73" s="75">
        <f t="shared" si="3"/>
        <v>-2.9483076326253514</v>
      </c>
      <c r="L73" s="75">
        <f>VLOOKUP($A73,'Data Vlaue (Cr)'!$C:$FB,67)</f>
        <v>132110</v>
      </c>
      <c r="M73" s="75">
        <f>VLOOKUP($A73,'Data Vlaue (Cr)'!$C:$FB,68)</f>
        <v>79961</v>
      </c>
      <c r="N73" s="75">
        <f t="shared" si="4"/>
        <v>52149</v>
      </c>
      <c r="O73" s="75">
        <f t="shared" si="5"/>
        <v>39.473923245780028</v>
      </c>
      <c r="P73" s="75">
        <f>VLOOKUP($A73,'Data Vlaue (Cr)'!$C:$FB,119)</f>
        <v>1.08</v>
      </c>
      <c r="Q73" s="75">
        <f>VLOOKUP($A73,'Data Vlaue (Cr)'!$C:$FB,122)*100</f>
        <v>4.8500000000000005</v>
      </c>
      <c r="R73" s="75">
        <f>VLOOKUP($A73,'Data Vlaue (Cr)'!$C:$FB,125)</f>
        <v>1.04</v>
      </c>
      <c r="S73" s="75">
        <f>VLOOKUP($A73,'Data Vlaue (Cr)'!$C:$FB,128)*100</f>
        <v>2.97</v>
      </c>
    </row>
    <row r="74" spans="1:19" x14ac:dyDescent="0.25">
      <c r="A74" s="96" t="str">
        <f>'Data Vlaue (Cr)'!C65</f>
        <v>FORTIS</v>
      </c>
      <c r="B74" s="75">
        <f>VLOOKUP($A74,'Data Vlaue (Cr)'!$C:$FB,2)</f>
        <v>775</v>
      </c>
      <c r="C74" s="75">
        <f>VLOOKUP($A74,'Data Vlaue (Cr)'!$C:$FB,8)</f>
        <v>1052.55</v>
      </c>
      <c r="D74" s="75">
        <f>VLOOKUP($A74,'Data Vlaue (Cr)'!$C:$FB,4)</f>
        <v>1053.05</v>
      </c>
      <c r="E74" s="75">
        <f>VLOOKUP($A74,'Data Vlaue (Cr)'!$C:$FB,5)</f>
        <v>1039</v>
      </c>
      <c r="F74" s="75">
        <f t="shared" si="0"/>
        <v>0.5</v>
      </c>
      <c r="G74" s="75">
        <f t="shared" si="1"/>
        <v>1.334219647690039</v>
      </c>
      <c r="H74" s="75">
        <f>VLOOKUP($A74,'Data Vlaue (Cr)'!$C:$FB,99)</f>
        <v>1668</v>
      </c>
      <c r="I74" s="75">
        <f>VLOOKUP($A74,'Data Vlaue (Cr)'!$C:$FB,100)</f>
        <v>1710</v>
      </c>
      <c r="J74" s="75">
        <f t="shared" si="2"/>
        <v>-42</v>
      </c>
      <c r="K74" s="75">
        <f t="shared" si="3"/>
        <v>-2.5179856115107913</v>
      </c>
      <c r="L74" s="75">
        <f>VLOOKUP($A74,'Data Vlaue (Cr)'!$C:$FB,67)</f>
        <v>1719</v>
      </c>
      <c r="M74" s="75">
        <f>VLOOKUP($A74,'Data Vlaue (Cr)'!$C:$FB,68)</f>
        <v>2177</v>
      </c>
      <c r="N74" s="75">
        <f t="shared" si="4"/>
        <v>-458</v>
      </c>
      <c r="O74" s="75">
        <f t="shared" si="5"/>
        <v>-26.643397324025596</v>
      </c>
      <c r="P74" s="75">
        <f>VLOOKUP($A74,'Data Vlaue (Cr)'!$C:$FB,119)</f>
        <v>0.71</v>
      </c>
      <c r="Q74" s="75">
        <f>VLOOKUP($A74,'Data Vlaue (Cr)'!$C:$FB,122)*100</f>
        <v>2.9000000000000004</v>
      </c>
      <c r="R74" s="75">
        <f>VLOOKUP($A74,'Data Vlaue (Cr)'!$C:$FB,125)</f>
        <v>0.71</v>
      </c>
      <c r="S74" s="75">
        <f>VLOOKUP($A74,'Data Vlaue (Cr)'!$C:$FB,128)*100</f>
        <v>18.329999999999998</v>
      </c>
    </row>
    <row r="75" spans="1:19" x14ac:dyDescent="0.25">
      <c r="A75" s="96" t="str">
        <f>'Data Vlaue (Cr)'!C66</f>
        <v>GAIL</v>
      </c>
      <c r="B75" s="75">
        <f>VLOOKUP($A75,'Data Vlaue (Cr)'!$C:$FB,2)</f>
        <v>3150</v>
      </c>
      <c r="C75" s="75">
        <f>VLOOKUP($A75,'Data Vlaue (Cr)'!$C:$FB,8)</f>
        <v>180.17</v>
      </c>
      <c r="D75" s="75">
        <f>VLOOKUP($A75,'Data Vlaue (Cr)'!$C:$FB,4)</f>
        <v>179.96</v>
      </c>
      <c r="E75" s="75">
        <f>VLOOKUP($A75,'Data Vlaue (Cr)'!$C:$FB,5)</f>
        <v>180.79</v>
      </c>
      <c r="F75" s="75">
        <f t="shared" si="0"/>
        <v>-0.20999999999997954</v>
      </c>
      <c r="G75" s="75">
        <f>(D75-E75)/D75*100</f>
        <v>-0.46121360302288511</v>
      </c>
      <c r="H75" s="75">
        <f>VLOOKUP($A75,'Data Vlaue (Cr)'!$C:$FB,99)</f>
        <v>2814</v>
      </c>
      <c r="I75" s="75">
        <f>VLOOKUP($A75,'Data Vlaue (Cr)'!$C:$FB,100)</f>
        <v>2811</v>
      </c>
      <c r="J75" s="75">
        <f t="shared" si="2"/>
        <v>3</v>
      </c>
      <c r="K75" s="75">
        <f t="shared" si="3"/>
        <v>0.10660980810234541</v>
      </c>
      <c r="L75" s="75">
        <f>VLOOKUP($A75,'Data Vlaue (Cr)'!$C:$FB,67)</f>
        <v>1735</v>
      </c>
      <c r="M75" s="75">
        <f>VLOOKUP($A75,'Data Vlaue (Cr)'!$C:$FB,68)</f>
        <v>2600</v>
      </c>
      <c r="N75" s="75">
        <f t="shared" si="4"/>
        <v>-865</v>
      </c>
      <c r="O75" s="75">
        <f t="shared" si="5"/>
        <v>-49.855907780979827</v>
      </c>
      <c r="P75" s="75">
        <f>VLOOKUP($A75,'Data Vlaue (Cr)'!$C:$FB,119)</f>
        <v>0.7</v>
      </c>
      <c r="Q75" s="75">
        <f>VLOOKUP($A75,'Data Vlaue (Cr)'!$C:$FB,122)*100</f>
        <v>4.4799999999999995</v>
      </c>
      <c r="R75" s="75">
        <f>VLOOKUP($A75,'Data Vlaue (Cr)'!$C:$FB,125)</f>
        <v>0.44</v>
      </c>
      <c r="S75" s="75">
        <f>VLOOKUP($A75,'Data Vlaue (Cr)'!$C:$FB,128)*100</f>
        <v>-10.199999999999999</v>
      </c>
    </row>
    <row r="76" spans="1:19" x14ac:dyDescent="0.25">
      <c r="A76" s="96" t="str">
        <f>'Data Vlaue (Cr)'!C67</f>
        <v>GLENMARK</v>
      </c>
      <c r="B76" s="75">
        <f>VLOOKUP($A76,'Data Vlaue (Cr)'!$C:$FB,2)</f>
        <v>375</v>
      </c>
      <c r="C76" s="75">
        <f>VLOOKUP($A76,'Data Vlaue (Cr)'!$C:$FB,8)</f>
        <v>1812.7</v>
      </c>
      <c r="D76" s="75">
        <f>VLOOKUP($A76,'Data Vlaue (Cr)'!$C:$FB,4)</f>
        <v>1817.3</v>
      </c>
      <c r="E76" s="75">
        <f>VLOOKUP($A76,'Data Vlaue (Cr)'!$C:$FB,5)</f>
        <v>1817.7</v>
      </c>
      <c r="F76" s="75">
        <f t="shared" ref="F76:F139" si="6">D76-C76</f>
        <v>4.5999999999999091</v>
      </c>
      <c r="G76" s="75">
        <f t="shared" ref="G76:G139" si="7">(D76-E76)/D76*100</f>
        <v>-2.2010675177466073E-2</v>
      </c>
      <c r="H76" s="75">
        <f>VLOOKUP($A76,'Data Vlaue (Cr)'!$C:$FB,99)</f>
        <v>2507</v>
      </c>
      <c r="I76" s="75">
        <f>VLOOKUP($A76,'Data Vlaue (Cr)'!$C:$FB,100)</f>
        <v>2353</v>
      </c>
      <c r="J76" s="75">
        <f t="shared" ref="J76:J139" si="8">H76-I76</f>
        <v>154</v>
      </c>
      <c r="K76" s="75">
        <f t="shared" ref="K76:K139" si="9">J76/H76*100</f>
        <v>6.1428001595532509</v>
      </c>
      <c r="L76" s="75">
        <f>VLOOKUP($A76,'Data Vlaue (Cr)'!$C:$FB,67)</f>
        <v>2324</v>
      </c>
      <c r="M76" s="75">
        <f>VLOOKUP($A76,'Data Vlaue (Cr)'!$C:$FB,68)</f>
        <v>2337</v>
      </c>
      <c r="N76" s="75">
        <f t="shared" ref="N76:N139" si="10">L76-M76</f>
        <v>-13</v>
      </c>
      <c r="O76" s="75">
        <f t="shared" ref="O76:O139" si="11">N76/L76*100</f>
        <v>-0.55938037865748713</v>
      </c>
      <c r="P76" s="75">
        <f>VLOOKUP($A76,'Data Vlaue (Cr)'!$C:$FB,119)</f>
        <v>0.53</v>
      </c>
      <c r="Q76" s="75">
        <f>VLOOKUP($A76,'Data Vlaue (Cr)'!$C:$FB,122)*100</f>
        <v>0</v>
      </c>
      <c r="R76" s="75">
        <f>VLOOKUP($A76,'Data Vlaue (Cr)'!$C:$FB,125)</f>
        <v>0.26</v>
      </c>
      <c r="S76" s="75">
        <f>VLOOKUP($A76,'Data Vlaue (Cr)'!$C:$FB,128)*100</f>
        <v>-33.33</v>
      </c>
    </row>
    <row r="77" spans="1:19" x14ac:dyDescent="0.25">
      <c r="A77" s="96" t="str">
        <f>'Data Vlaue (Cr)'!C68</f>
        <v>GMRAIRPORT</v>
      </c>
      <c r="B77" s="75">
        <f>VLOOKUP($A77,'Data Vlaue (Cr)'!$C:$FB,2)</f>
        <v>6975</v>
      </c>
      <c r="C77" s="75">
        <f>VLOOKUP($A77,'Data Vlaue (Cr)'!$C:$FB,8)</f>
        <v>92.34</v>
      </c>
      <c r="D77" s="75">
        <f>VLOOKUP($A77,'Data Vlaue (Cr)'!$C:$FB,4)</f>
        <v>92.51</v>
      </c>
      <c r="E77" s="75">
        <f>VLOOKUP($A77,'Data Vlaue (Cr)'!$C:$FB,5)</f>
        <v>93.13</v>
      </c>
      <c r="F77" s="75">
        <f t="shared" si="6"/>
        <v>0.17000000000000171</v>
      </c>
      <c r="G77" s="75">
        <f t="shared" si="7"/>
        <v>-0.67019781645226495</v>
      </c>
      <c r="H77" s="75">
        <f>VLOOKUP($A77,'Data Vlaue (Cr)'!$C:$FB,99)</f>
        <v>3425</v>
      </c>
      <c r="I77" s="75">
        <f>VLOOKUP($A77,'Data Vlaue (Cr)'!$C:$FB,100)</f>
        <v>3328</v>
      </c>
      <c r="J77" s="75">
        <f t="shared" si="8"/>
        <v>97</v>
      </c>
      <c r="K77" s="75">
        <f t="shared" si="9"/>
        <v>2.832116788321168</v>
      </c>
      <c r="L77" s="75">
        <f>VLOOKUP($A77,'Data Vlaue (Cr)'!$C:$FB,67)</f>
        <v>1805</v>
      </c>
      <c r="M77" s="75">
        <f>VLOOKUP($A77,'Data Vlaue (Cr)'!$C:$FB,68)</f>
        <v>3313</v>
      </c>
      <c r="N77" s="75">
        <f t="shared" si="10"/>
        <v>-1508</v>
      </c>
      <c r="O77" s="75">
        <f t="shared" si="11"/>
        <v>-83.54570637119113</v>
      </c>
      <c r="P77" s="75">
        <f>VLOOKUP($A77,'Data Vlaue (Cr)'!$C:$FB,119)</f>
        <v>0.5</v>
      </c>
      <c r="Q77" s="75">
        <f>VLOOKUP($A77,'Data Vlaue (Cr)'!$C:$FB,122)*100</f>
        <v>6.38</v>
      </c>
      <c r="R77" s="75">
        <f>VLOOKUP($A77,'Data Vlaue (Cr)'!$C:$FB,125)</f>
        <v>0.42</v>
      </c>
      <c r="S77" s="75">
        <f>VLOOKUP($A77,'Data Vlaue (Cr)'!$C:$FB,128)*100</f>
        <v>16.669999999999998</v>
      </c>
    </row>
    <row r="78" spans="1:19" x14ac:dyDescent="0.25">
      <c r="A78" s="96" t="str">
        <f>'Data Vlaue (Cr)'!C69</f>
        <v>GODREJCP</v>
      </c>
      <c r="B78" s="75">
        <f>VLOOKUP($A78,'Data Vlaue (Cr)'!$C:$FB,2)</f>
        <v>500</v>
      </c>
      <c r="C78" s="75">
        <f>VLOOKUP($A78,'Data Vlaue (Cr)'!$C:$FB,8)</f>
        <v>1124.7</v>
      </c>
      <c r="D78" s="75">
        <f>VLOOKUP($A78,'Data Vlaue (Cr)'!$C:$FB,4)</f>
        <v>1128.0999999999999</v>
      </c>
      <c r="E78" s="75">
        <f>VLOOKUP($A78,'Data Vlaue (Cr)'!$C:$FB,5)</f>
        <v>1129.5</v>
      </c>
      <c r="F78" s="75">
        <f t="shared" si="6"/>
        <v>3.3999999999998636</v>
      </c>
      <c r="G78" s="75">
        <f t="shared" si="7"/>
        <v>-0.1241024731850094</v>
      </c>
      <c r="H78" s="75">
        <f>VLOOKUP($A78,'Data Vlaue (Cr)'!$C:$FB,99)</f>
        <v>2086</v>
      </c>
      <c r="I78" s="75">
        <f>VLOOKUP($A78,'Data Vlaue (Cr)'!$C:$FB,100)</f>
        <v>2071</v>
      </c>
      <c r="J78" s="75">
        <f t="shared" si="8"/>
        <v>15</v>
      </c>
      <c r="K78" s="75">
        <f t="shared" si="9"/>
        <v>0.7190795781399808</v>
      </c>
      <c r="L78" s="75">
        <f>VLOOKUP($A78,'Data Vlaue (Cr)'!$C:$FB,67)</f>
        <v>1341</v>
      </c>
      <c r="M78" s="75">
        <f>VLOOKUP($A78,'Data Vlaue (Cr)'!$C:$FB,68)</f>
        <v>1646</v>
      </c>
      <c r="N78" s="75">
        <f t="shared" si="10"/>
        <v>-305</v>
      </c>
      <c r="O78" s="75">
        <f t="shared" si="11"/>
        <v>-22.744220730797913</v>
      </c>
      <c r="P78" s="75">
        <f>VLOOKUP($A78,'Data Vlaue (Cr)'!$C:$FB,119)</f>
        <v>0.76</v>
      </c>
      <c r="Q78" s="75">
        <f>VLOOKUP($A78,'Data Vlaue (Cr)'!$C:$FB,122)*100</f>
        <v>8.57</v>
      </c>
      <c r="R78" s="75">
        <f>VLOOKUP($A78,'Data Vlaue (Cr)'!$C:$FB,125)</f>
        <v>0.5</v>
      </c>
      <c r="S78" s="75">
        <f>VLOOKUP($A78,'Data Vlaue (Cr)'!$C:$FB,128)*100</f>
        <v>-12.280000000000001</v>
      </c>
    </row>
    <row r="79" spans="1:19" x14ac:dyDescent="0.25">
      <c r="A79" s="96" t="str">
        <f>'Data Vlaue (Cr)'!C70</f>
        <v>GODREJPROP</v>
      </c>
      <c r="B79" s="75">
        <f>VLOOKUP($A79,'Data Vlaue (Cr)'!$C:$FB,2)</f>
        <v>275</v>
      </c>
      <c r="C79" s="75">
        <f>VLOOKUP($A79,'Data Vlaue (Cr)'!$C:$FB,8)</f>
        <v>2320.3000000000002</v>
      </c>
      <c r="D79" s="75">
        <f>VLOOKUP($A79,'Data Vlaue (Cr)'!$C:$FB,4)</f>
        <v>2318.1</v>
      </c>
      <c r="E79" s="75">
        <f>VLOOKUP($A79,'Data Vlaue (Cr)'!$C:$FB,5)</f>
        <v>2284.6</v>
      </c>
      <c r="F79" s="75">
        <f t="shared" si="6"/>
        <v>-2.2000000000002728</v>
      </c>
      <c r="G79" s="75">
        <f t="shared" si="7"/>
        <v>1.4451490444760797</v>
      </c>
      <c r="H79" s="75">
        <f>VLOOKUP($A79,'Data Vlaue (Cr)'!$C:$FB,99)</f>
        <v>3256</v>
      </c>
      <c r="I79" s="75">
        <f>VLOOKUP($A79,'Data Vlaue (Cr)'!$C:$FB,100)</f>
        <v>3313</v>
      </c>
      <c r="J79" s="75">
        <f t="shared" si="8"/>
        <v>-57</v>
      </c>
      <c r="K79" s="75">
        <f t="shared" si="9"/>
        <v>-1.7506142506142506</v>
      </c>
      <c r="L79" s="75">
        <f>VLOOKUP($A79,'Data Vlaue (Cr)'!$C:$FB,67)</f>
        <v>3902</v>
      </c>
      <c r="M79" s="75">
        <f>VLOOKUP($A79,'Data Vlaue (Cr)'!$C:$FB,68)</f>
        <v>3333</v>
      </c>
      <c r="N79" s="75">
        <f t="shared" si="10"/>
        <v>569</v>
      </c>
      <c r="O79" s="75">
        <f t="shared" si="11"/>
        <v>14.5822655048693</v>
      </c>
      <c r="P79" s="75">
        <f>VLOOKUP($A79,'Data Vlaue (Cr)'!$C:$FB,119)</f>
        <v>0.94</v>
      </c>
      <c r="Q79" s="75">
        <f>VLOOKUP($A79,'Data Vlaue (Cr)'!$C:$FB,122)*100</f>
        <v>-7.84</v>
      </c>
      <c r="R79" s="75">
        <f>VLOOKUP($A79,'Data Vlaue (Cr)'!$C:$FB,125)</f>
        <v>0.54</v>
      </c>
      <c r="S79" s="75">
        <f>VLOOKUP($A79,'Data Vlaue (Cr)'!$C:$FB,128)*100</f>
        <v>-33.33</v>
      </c>
    </row>
    <row r="80" spans="1:19" x14ac:dyDescent="0.25">
      <c r="A80" s="96" t="str">
        <f>'Data Vlaue (Cr)'!C71</f>
        <v>GRASIM</v>
      </c>
      <c r="B80" s="75">
        <f>VLOOKUP($A80,'Data Vlaue (Cr)'!$C:$FB,2)</f>
        <v>250</v>
      </c>
      <c r="C80" s="75">
        <f>VLOOKUP($A80,'Data Vlaue (Cr)'!$C:$FB,8)</f>
        <v>2923.9</v>
      </c>
      <c r="D80" s="75">
        <f>VLOOKUP($A80,'Data Vlaue (Cr)'!$C:$FB,4)</f>
        <v>2922.6</v>
      </c>
      <c r="E80" s="75">
        <f>VLOOKUP($A80,'Data Vlaue (Cr)'!$C:$FB,5)</f>
        <v>2841.8</v>
      </c>
      <c r="F80" s="75">
        <f t="shared" si="6"/>
        <v>-1.3000000000001819</v>
      </c>
      <c r="G80" s="75">
        <f t="shared" si="7"/>
        <v>2.7646616026825335</v>
      </c>
      <c r="H80" s="75">
        <f>VLOOKUP($A80,'Data Vlaue (Cr)'!$C:$FB,99)</f>
        <v>5574</v>
      </c>
      <c r="I80" s="75">
        <f>VLOOKUP($A80,'Data Vlaue (Cr)'!$C:$FB,100)</f>
        <v>5341</v>
      </c>
      <c r="J80" s="75">
        <f t="shared" si="8"/>
        <v>233</v>
      </c>
      <c r="K80" s="75">
        <f t="shared" si="9"/>
        <v>4.1801219949766777</v>
      </c>
      <c r="L80" s="75">
        <f>VLOOKUP($A80,'Data Vlaue (Cr)'!$C:$FB,67)</f>
        <v>5364</v>
      </c>
      <c r="M80" s="75">
        <f>VLOOKUP($A80,'Data Vlaue (Cr)'!$C:$FB,68)</f>
        <v>4927</v>
      </c>
      <c r="N80" s="75">
        <f t="shared" si="10"/>
        <v>437</v>
      </c>
      <c r="O80" s="75">
        <f t="shared" si="11"/>
        <v>8.1469052945563014</v>
      </c>
      <c r="P80" s="75">
        <f>VLOOKUP($A80,'Data Vlaue (Cr)'!$C:$FB,119)</f>
        <v>0.63</v>
      </c>
      <c r="Q80" s="75">
        <f>VLOOKUP($A80,'Data Vlaue (Cr)'!$C:$FB,122)*100</f>
        <v>5</v>
      </c>
      <c r="R80" s="75">
        <f>VLOOKUP($A80,'Data Vlaue (Cr)'!$C:$FB,125)</f>
        <v>0.36</v>
      </c>
      <c r="S80" s="75">
        <f>VLOOKUP($A80,'Data Vlaue (Cr)'!$C:$FB,128)*100</f>
        <v>-34.549999999999997</v>
      </c>
    </row>
    <row r="81" spans="1:19" x14ac:dyDescent="0.25">
      <c r="A81" s="96" t="str">
        <f>'Data Vlaue (Cr)'!C72</f>
        <v>HAL</v>
      </c>
      <c r="B81" s="75">
        <f>VLOOKUP($A81,'Data Vlaue (Cr)'!$C:$FB,2)</f>
        <v>150</v>
      </c>
      <c r="C81" s="75">
        <f>VLOOKUP($A81,'Data Vlaue (Cr)'!$C:$FB,8)</f>
        <v>4756.8</v>
      </c>
      <c r="D81" s="75">
        <f>VLOOKUP($A81,'Data Vlaue (Cr)'!$C:$FB,4)</f>
        <v>4763.5</v>
      </c>
      <c r="E81" s="75">
        <f>VLOOKUP($A81,'Data Vlaue (Cr)'!$C:$FB,5)</f>
        <v>4815.3999999999996</v>
      </c>
      <c r="F81" s="75">
        <f t="shared" si="6"/>
        <v>6.6999999999998181</v>
      </c>
      <c r="G81" s="75">
        <f t="shared" si="7"/>
        <v>-1.0895350057730584</v>
      </c>
      <c r="H81" s="75">
        <f>VLOOKUP($A81,'Data Vlaue (Cr)'!$C:$FB,99)</f>
        <v>8323</v>
      </c>
      <c r="I81" s="75">
        <f>VLOOKUP($A81,'Data Vlaue (Cr)'!$C:$FB,100)</f>
        <v>8394</v>
      </c>
      <c r="J81" s="75">
        <f t="shared" si="8"/>
        <v>-71</v>
      </c>
      <c r="K81" s="75">
        <f t="shared" si="9"/>
        <v>-0.85305779166166051</v>
      </c>
      <c r="L81" s="75">
        <f>VLOOKUP($A81,'Data Vlaue (Cr)'!$C:$FB,67)</f>
        <v>9455</v>
      </c>
      <c r="M81" s="75">
        <f>VLOOKUP($A81,'Data Vlaue (Cr)'!$C:$FB,68)</f>
        <v>10270</v>
      </c>
      <c r="N81" s="75">
        <f t="shared" si="10"/>
        <v>-815</v>
      </c>
      <c r="O81" s="75">
        <f t="shared" si="11"/>
        <v>-8.6197778952934954</v>
      </c>
      <c r="P81" s="75">
        <f>VLOOKUP($A81,'Data Vlaue (Cr)'!$C:$FB,119)</f>
        <v>0.52</v>
      </c>
      <c r="Q81" s="75">
        <f>VLOOKUP($A81,'Data Vlaue (Cr)'!$C:$FB,122)*100</f>
        <v>1.96</v>
      </c>
      <c r="R81" s="75">
        <f>VLOOKUP($A81,'Data Vlaue (Cr)'!$C:$FB,125)</f>
        <v>0.41</v>
      </c>
      <c r="S81" s="75">
        <f>VLOOKUP($A81,'Data Vlaue (Cr)'!$C:$FB,128)*100</f>
        <v>24.240000000000002</v>
      </c>
    </row>
    <row r="82" spans="1:19" x14ac:dyDescent="0.25">
      <c r="A82" s="96" t="str">
        <f>'Data Vlaue (Cr)'!C73</f>
        <v>HAVELLS</v>
      </c>
      <c r="B82" s="75">
        <f>VLOOKUP($A82,'Data Vlaue (Cr)'!$C:$FB,2)</f>
        <v>500</v>
      </c>
      <c r="C82" s="75">
        <f>VLOOKUP($A82,'Data Vlaue (Cr)'!$C:$FB,8)</f>
        <v>1492.6</v>
      </c>
      <c r="D82" s="75">
        <f>VLOOKUP($A82,'Data Vlaue (Cr)'!$C:$FB,4)</f>
        <v>1492.1</v>
      </c>
      <c r="E82" s="75">
        <f>VLOOKUP($A82,'Data Vlaue (Cr)'!$C:$FB,5)</f>
        <v>1495.1</v>
      </c>
      <c r="F82" s="75">
        <f t="shared" si="6"/>
        <v>-0.5</v>
      </c>
      <c r="G82" s="75">
        <f t="shared" si="7"/>
        <v>-0.20105891026070641</v>
      </c>
      <c r="H82" s="75">
        <f>VLOOKUP($A82,'Data Vlaue (Cr)'!$C:$FB,99)</f>
        <v>2121</v>
      </c>
      <c r="I82" s="75">
        <f>VLOOKUP($A82,'Data Vlaue (Cr)'!$C:$FB,100)</f>
        <v>2191</v>
      </c>
      <c r="J82" s="75">
        <f t="shared" si="8"/>
        <v>-70</v>
      </c>
      <c r="K82" s="75">
        <f t="shared" si="9"/>
        <v>-3.3003300330032999</v>
      </c>
      <c r="L82" s="75">
        <f>VLOOKUP($A82,'Data Vlaue (Cr)'!$C:$FB,67)</f>
        <v>1647</v>
      </c>
      <c r="M82" s="75">
        <f>VLOOKUP($A82,'Data Vlaue (Cr)'!$C:$FB,68)</f>
        <v>2301</v>
      </c>
      <c r="N82" s="75">
        <f t="shared" si="10"/>
        <v>-654</v>
      </c>
      <c r="O82" s="75">
        <f t="shared" si="11"/>
        <v>-39.708561020036434</v>
      </c>
      <c r="P82" s="75">
        <f>VLOOKUP($A82,'Data Vlaue (Cr)'!$C:$FB,119)</f>
        <v>0.64</v>
      </c>
      <c r="Q82" s="75">
        <f>VLOOKUP($A82,'Data Vlaue (Cr)'!$C:$FB,122)*100</f>
        <v>3.2300000000000004</v>
      </c>
      <c r="R82" s="75">
        <f>VLOOKUP($A82,'Data Vlaue (Cr)'!$C:$FB,125)</f>
        <v>0.82</v>
      </c>
      <c r="S82" s="75">
        <f>VLOOKUP($A82,'Data Vlaue (Cr)'!$C:$FB,128)*100</f>
        <v>70.83</v>
      </c>
    </row>
    <row r="83" spans="1:19" x14ac:dyDescent="0.25">
      <c r="A83" s="96" t="str">
        <f>'Data Vlaue (Cr)'!C74</f>
        <v>HCLTECH</v>
      </c>
      <c r="B83" s="75">
        <f>VLOOKUP($A83,'Data Vlaue (Cr)'!$C:$FB,2)</f>
        <v>350</v>
      </c>
      <c r="C83" s="75">
        <f>VLOOKUP($A83,'Data Vlaue (Cr)'!$C:$FB,8)</f>
        <v>1533.5</v>
      </c>
      <c r="D83" s="75">
        <f>VLOOKUP($A83,'Data Vlaue (Cr)'!$C:$FB,4)</f>
        <v>1535.4</v>
      </c>
      <c r="E83" s="75">
        <f>VLOOKUP($A83,'Data Vlaue (Cr)'!$C:$FB,5)</f>
        <v>1522.6</v>
      </c>
      <c r="F83" s="75">
        <f t="shared" si="6"/>
        <v>1.9000000000000909</v>
      </c>
      <c r="G83" s="75">
        <f t="shared" si="7"/>
        <v>0.83365898137294403</v>
      </c>
      <c r="H83" s="75">
        <f>VLOOKUP($A83,'Data Vlaue (Cr)'!$C:$FB,99)</f>
        <v>4684</v>
      </c>
      <c r="I83" s="75">
        <f>VLOOKUP($A83,'Data Vlaue (Cr)'!$C:$FB,100)</f>
        <v>4773</v>
      </c>
      <c r="J83" s="75">
        <f t="shared" si="8"/>
        <v>-89</v>
      </c>
      <c r="K83" s="75">
        <f t="shared" si="9"/>
        <v>-1.9000853970964986</v>
      </c>
      <c r="L83" s="75">
        <f>VLOOKUP($A83,'Data Vlaue (Cr)'!$C:$FB,67)</f>
        <v>4265</v>
      </c>
      <c r="M83" s="75">
        <f>VLOOKUP($A83,'Data Vlaue (Cr)'!$C:$FB,68)</f>
        <v>4953</v>
      </c>
      <c r="N83" s="75">
        <f t="shared" si="10"/>
        <v>-688</v>
      </c>
      <c r="O83" s="75">
        <f t="shared" si="11"/>
        <v>-16.131301289566235</v>
      </c>
      <c r="P83" s="75">
        <f>VLOOKUP($A83,'Data Vlaue (Cr)'!$C:$FB,119)</f>
        <v>0.67</v>
      </c>
      <c r="Q83" s="75">
        <f>VLOOKUP($A83,'Data Vlaue (Cr)'!$C:$FB,122)*100</f>
        <v>6.35</v>
      </c>
      <c r="R83" s="75">
        <f>VLOOKUP($A83,'Data Vlaue (Cr)'!$C:$FB,125)</f>
        <v>0.56000000000000005</v>
      </c>
      <c r="S83" s="75">
        <f>VLOOKUP($A83,'Data Vlaue (Cr)'!$C:$FB,128)*100</f>
        <v>-16.420000000000002</v>
      </c>
    </row>
    <row r="84" spans="1:19" x14ac:dyDescent="0.25">
      <c r="A84" s="96" t="str">
        <f>'Data Vlaue (Cr)'!C75</f>
        <v>HDFCAMC</v>
      </c>
      <c r="B84" s="75">
        <f>VLOOKUP($A84,'Data Vlaue (Cr)'!$C:$FB,2)</f>
        <v>150</v>
      </c>
      <c r="C84" s="75">
        <f>VLOOKUP($A84,'Data Vlaue (Cr)'!$C:$FB,8)</f>
        <v>5559</v>
      </c>
      <c r="D84" s="75">
        <f>VLOOKUP($A84,'Data Vlaue (Cr)'!$C:$FB,4)</f>
        <v>5570</v>
      </c>
      <c r="E84" s="75">
        <f>VLOOKUP($A84,'Data Vlaue (Cr)'!$C:$FB,5)</f>
        <v>5536</v>
      </c>
      <c r="F84" s="75">
        <f t="shared" si="6"/>
        <v>11</v>
      </c>
      <c r="G84" s="75">
        <f t="shared" si="7"/>
        <v>0.61041292639138234</v>
      </c>
      <c r="H84" s="75">
        <f>VLOOKUP($A84,'Data Vlaue (Cr)'!$C:$FB,99)</f>
        <v>2640</v>
      </c>
      <c r="I84" s="75">
        <f>VLOOKUP($A84,'Data Vlaue (Cr)'!$C:$FB,100)</f>
        <v>2874</v>
      </c>
      <c r="J84" s="75">
        <f t="shared" si="8"/>
        <v>-234</v>
      </c>
      <c r="K84" s="75">
        <f t="shared" si="9"/>
        <v>-8.8636363636363633</v>
      </c>
      <c r="L84" s="75">
        <f>VLOOKUP($A84,'Data Vlaue (Cr)'!$C:$FB,67)</f>
        <v>2507</v>
      </c>
      <c r="M84" s="75">
        <f>VLOOKUP($A84,'Data Vlaue (Cr)'!$C:$FB,68)</f>
        <v>4156</v>
      </c>
      <c r="N84" s="75">
        <f t="shared" si="10"/>
        <v>-1649</v>
      </c>
      <c r="O84" s="75">
        <f t="shared" si="11"/>
        <v>-65.775827682489023</v>
      </c>
      <c r="P84" s="75">
        <f>VLOOKUP($A84,'Data Vlaue (Cr)'!$C:$FB,119)</f>
        <v>0.53</v>
      </c>
      <c r="Q84" s="75">
        <f>VLOOKUP($A84,'Data Vlaue (Cr)'!$C:$FB,122)*100</f>
        <v>20.45</v>
      </c>
      <c r="R84" s="75">
        <f>VLOOKUP($A84,'Data Vlaue (Cr)'!$C:$FB,125)</f>
        <v>0.37</v>
      </c>
      <c r="S84" s="75">
        <f>VLOOKUP($A84,'Data Vlaue (Cr)'!$C:$FB,128)*100</f>
        <v>-13.950000000000001</v>
      </c>
    </row>
    <row r="85" spans="1:19" x14ac:dyDescent="0.25">
      <c r="A85" s="96" t="str">
        <f>'Data Vlaue (Cr)'!C76</f>
        <v>HDFCBANK</v>
      </c>
      <c r="B85" s="75">
        <f>VLOOKUP($A85,'Data Vlaue (Cr)'!$C:$FB,2)</f>
        <v>1100</v>
      </c>
      <c r="C85" s="75">
        <f>VLOOKUP($A85,'Data Vlaue (Cr)'!$C:$FB,8)</f>
        <v>1002.95</v>
      </c>
      <c r="D85" s="75">
        <f>VLOOKUP($A85,'Data Vlaue (Cr)'!$C:$FB,4)</f>
        <v>1004.3</v>
      </c>
      <c r="E85" s="75">
        <f>VLOOKUP($A85,'Data Vlaue (Cr)'!$C:$FB,5)</f>
        <v>994.15</v>
      </c>
      <c r="F85" s="75">
        <f t="shared" si="6"/>
        <v>1.3499999999999091</v>
      </c>
      <c r="G85" s="75">
        <f t="shared" si="7"/>
        <v>1.0106541869959154</v>
      </c>
      <c r="H85" s="75">
        <f>VLOOKUP($A85,'Data Vlaue (Cr)'!$C:$FB,99)</f>
        <v>27715</v>
      </c>
      <c r="I85" s="75">
        <f>VLOOKUP($A85,'Data Vlaue (Cr)'!$C:$FB,100)</f>
        <v>28416</v>
      </c>
      <c r="J85" s="75">
        <f t="shared" si="8"/>
        <v>-701</v>
      </c>
      <c r="K85" s="75">
        <f t="shared" si="9"/>
        <v>-2.5293162547357024</v>
      </c>
      <c r="L85" s="75">
        <f>VLOOKUP($A85,'Data Vlaue (Cr)'!$C:$FB,67)</f>
        <v>26061</v>
      </c>
      <c r="M85" s="75">
        <f>VLOOKUP($A85,'Data Vlaue (Cr)'!$C:$FB,68)</f>
        <v>32053</v>
      </c>
      <c r="N85" s="75">
        <f t="shared" si="10"/>
        <v>-5992</v>
      </c>
      <c r="O85" s="75">
        <f t="shared" si="11"/>
        <v>-22.992210582863283</v>
      </c>
      <c r="P85" s="75">
        <f>VLOOKUP($A85,'Data Vlaue (Cr)'!$C:$FB,119)</f>
        <v>0.94</v>
      </c>
      <c r="Q85" s="75">
        <f>VLOOKUP($A85,'Data Vlaue (Cr)'!$C:$FB,122)*100</f>
        <v>8.0500000000000007</v>
      </c>
      <c r="R85" s="75">
        <f>VLOOKUP($A85,'Data Vlaue (Cr)'!$C:$FB,125)</f>
        <v>0.66</v>
      </c>
      <c r="S85" s="75">
        <f>VLOOKUP($A85,'Data Vlaue (Cr)'!$C:$FB,128)*100</f>
        <v>-22.35</v>
      </c>
    </row>
    <row r="86" spans="1:19" x14ac:dyDescent="0.25">
      <c r="A86" s="96" t="str">
        <f>'Data Vlaue (Cr)'!C77</f>
        <v>HDFCLIFE</v>
      </c>
      <c r="B86" s="75">
        <f>VLOOKUP($A86,'Data Vlaue (Cr)'!$C:$FB,2)</f>
        <v>1100</v>
      </c>
      <c r="C86" s="75">
        <f>VLOOKUP($A86,'Data Vlaue (Cr)'!$C:$FB,8)</f>
        <v>737.25</v>
      </c>
      <c r="D86" s="75">
        <f>VLOOKUP($A86,'Data Vlaue (Cr)'!$C:$FB,4)</f>
        <v>739.3</v>
      </c>
      <c r="E86" s="75">
        <f>VLOOKUP($A86,'Data Vlaue (Cr)'!$C:$FB,5)</f>
        <v>735.8</v>
      </c>
      <c r="F86" s="75">
        <f t="shared" si="6"/>
        <v>2.0499999999999545</v>
      </c>
      <c r="G86" s="75">
        <f t="shared" si="7"/>
        <v>0.47342080346273507</v>
      </c>
      <c r="H86" s="75">
        <f>VLOOKUP($A86,'Data Vlaue (Cr)'!$C:$FB,99)</f>
        <v>3913</v>
      </c>
      <c r="I86" s="75">
        <f>VLOOKUP($A86,'Data Vlaue (Cr)'!$C:$FB,100)</f>
        <v>4038</v>
      </c>
      <c r="J86" s="75">
        <f t="shared" si="8"/>
        <v>-125</v>
      </c>
      <c r="K86" s="75">
        <f t="shared" si="9"/>
        <v>-3.1944799386659852</v>
      </c>
      <c r="L86" s="75">
        <f>VLOOKUP($A86,'Data Vlaue (Cr)'!$C:$FB,67)</f>
        <v>3902</v>
      </c>
      <c r="M86" s="75">
        <f>VLOOKUP($A86,'Data Vlaue (Cr)'!$C:$FB,68)</f>
        <v>3057</v>
      </c>
      <c r="N86" s="75">
        <f t="shared" si="10"/>
        <v>845</v>
      </c>
      <c r="O86" s="75">
        <f t="shared" si="11"/>
        <v>21.655561250640698</v>
      </c>
      <c r="P86" s="75">
        <f>VLOOKUP($A86,'Data Vlaue (Cr)'!$C:$FB,119)</f>
        <v>0.5</v>
      </c>
      <c r="Q86" s="75">
        <f>VLOOKUP($A86,'Data Vlaue (Cr)'!$C:$FB,122)*100</f>
        <v>-3.85</v>
      </c>
      <c r="R86" s="75">
        <f>VLOOKUP($A86,'Data Vlaue (Cr)'!$C:$FB,125)</f>
        <v>0.44</v>
      </c>
      <c r="S86" s="75">
        <f>VLOOKUP($A86,'Data Vlaue (Cr)'!$C:$FB,128)*100</f>
        <v>29.409999999999997</v>
      </c>
    </row>
    <row r="87" spans="1:19" x14ac:dyDescent="0.25">
      <c r="A87" s="96" t="str">
        <f>'Data Vlaue (Cr)'!C78</f>
        <v>HEROMOTOCO</v>
      </c>
      <c r="B87" s="75">
        <f>VLOOKUP($A87,'Data Vlaue (Cr)'!$C:$FB,2)</f>
        <v>150</v>
      </c>
      <c r="C87" s="75">
        <f>VLOOKUP($A87,'Data Vlaue (Cr)'!$C:$FB,8)</f>
        <v>5646.5</v>
      </c>
      <c r="D87" s="75">
        <f>VLOOKUP($A87,'Data Vlaue (Cr)'!$C:$FB,4)</f>
        <v>5650</v>
      </c>
      <c r="E87" s="75">
        <f>VLOOKUP($A87,'Data Vlaue (Cr)'!$C:$FB,5)</f>
        <v>5535</v>
      </c>
      <c r="F87" s="75">
        <f t="shared" si="6"/>
        <v>3.5</v>
      </c>
      <c r="G87" s="75">
        <f t="shared" si="7"/>
        <v>2.0353982300884956</v>
      </c>
      <c r="H87" s="75">
        <f>VLOOKUP($A87,'Data Vlaue (Cr)'!$C:$FB,99)</f>
        <v>4678</v>
      </c>
      <c r="I87" s="75">
        <f>VLOOKUP($A87,'Data Vlaue (Cr)'!$C:$FB,100)</f>
        <v>5001</v>
      </c>
      <c r="J87" s="75">
        <f t="shared" si="8"/>
        <v>-323</v>
      </c>
      <c r="K87" s="75">
        <f t="shared" si="9"/>
        <v>-6.9046601111586146</v>
      </c>
      <c r="L87" s="75">
        <f>VLOOKUP($A87,'Data Vlaue (Cr)'!$C:$FB,67)</f>
        <v>7485</v>
      </c>
      <c r="M87" s="75">
        <f>VLOOKUP($A87,'Data Vlaue (Cr)'!$C:$FB,68)</f>
        <v>6146</v>
      </c>
      <c r="N87" s="75">
        <f t="shared" si="10"/>
        <v>1339</v>
      </c>
      <c r="O87" s="75">
        <f t="shared" si="11"/>
        <v>17.889111556446224</v>
      </c>
      <c r="P87" s="75">
        <f>VLOOKUP($A87,'Data Vlaue (Cr)'!$C:$FB,119)</f>
        <v>0.78</v>
      </c>
      <c r="Q87" s="75">
        <f>VLOOKUP($A87,'Data Vlaue (Cr)'!$C:$FB,122)*100</f>
        <v>18.18</v>
      </c>
      <c r="R87" s="75">
        <f>VLOOKUP($A87,'Data Vlaue (Cr)'!$C:$FB,125)</f>
        <v>0.54</v>
      </c>
      <c r="S87" s="75">
        <f>VLOOKUP($A87,'Data Vlaue (Cr)'!$C:$FB,128)*100</f>
        <v>1.8900000000000001</v>
      </c>
    </row>
    <row r="88" spans="1:19" x14ac:dyDescent="0.25">
      <c r="A88" s="96" t="str">
        <f>'Data Vlaue (Cr)'!C79</f>
        <v>HFCL</v>
      </c>
      <c r="B88" s="75">
        <f>VLOOKUP($A88,'Data Vlaue (Cr)'!$C:$FB,2)</f>
        <v>6450</v>
      </c>
      <c r="C88" s="75">
        <f>VLOOKUP($A88,'Data Vlaue (Cr)'!$C:$FB,8)</f>
        <v>76.849999999999994</v>
      </c>
      <c r="D88" s="75">
        <f>VLOOKUP($A88,'Data Vlaue (Cr)'!$C:$FB,4)</f>
        <v>76.86</v>
      </c>
      <c r="E88" s="75">
        <f>VLOOKUP($A88,'Data Vlaue (Cr)'!$C:$FB,5)</f>
        <v>77.8</v>
      </c>
      <c r="F88" s="75">
        <f t="shared" si="6"/>
        <v>1.0000000000005116E-2</v>
      </c>
      <c r="G88" s="75">
        <f t="shared" si="7"/>
        <v>-1.2230028623471219</v>
      </c>
      <c r="H88" s="75">
        <f>VLOOKUP($A88,'Data Vlaue (Cr)'!$C:$FB,99)</f>
        <v>1688</v>
      </c>
      <c r="I88" s="75">
        <f>VLOOKUP($A88,'Data Vlaue (Cr)'!$C:$FB,100)</f>
        <v>1643</v>
      </c>
      <c r="J88" s="75">
        <f t="shared" si="8"/>
        <v>45</v>
      </c>
      <c r="K88" s="75">
        <f t="shared" si="9"/>
        <v>2.6658767772511851</v>
      </c>
      <c r="L88" s="75">
        <f>VLOOKUP($A88,'Data Vlaue (Cr)'!$C:$FB,67)</f>
        <v>1155</v>
      </c>
      <c r="M88" s="75">
        <f>VLOOKUP($A88,'Data Vlaue (Cr)'!$C:$FB,68)</f>
        <v>1386</v>
      </c>
      <c r="N88" s="75">
        <f t="shared" si="10"/>
        <v>-231</v>
      </c>
      <c r="O88" s="75">
        <f t="shared" si="11"/>
        <v>-20</v>
      </c>
      <c r="P88" s="75">
        <f>VLOOKUP($A88,'Data Vlaue (Cr)'!$C:$FB,119)</f>
        <v>0.49</v>
      </c>
      <c r="Q88" s="75">
        <f>VLOOKUP($A88,'Data Vlaue (Cr)'!$C:$FB,122)*100</f>
        <v>-3.92</v>
      </c>
      <c r="R88" s="75">
        <f>VLOOKUP($A88,'Data Vlaue (Cr)'!$C:$FB,125)</f>
        <v>0.33</v>
      </c>
      <c r="S88" s="75">
        <f>VLOOKUP($A88,'Data Vlaue (Cr)'!$C:$FB,128)*100</f>
        <v>-8.33</v>
      </c>
    </row>
    <row r="89" spans="1:19" x14ac:dyDescent="0.25">
      <c r="A89" s="96" t="str">
        <f>'Data Vlaue (Cr)'!C80</f>
        <v>HINDALCO</v>
      </c>
      <c r="B89" s="75">
        <f>VLOOKUP($A89,'Data Vlaue (Cr)'!$C:$FB,2)</f>
        <v>1400</v>
      </c>
      <c r="C89" s="75">
        <f>VLOOKUP($A89,'Data Vlaue (Cr)'!$C:$FB,8)</f>
        <v>840.85</v>
      </c>
      <c r="D89" s="75">
        <f>VLOOKUP($A89,'Data Vlaue (Cr)'!$C:$FB,4)</f>
        <v>840.8</v>
      </c>
      <c r="E89" s="75">
        <f>VLOOKUP($A89,'Data Vlaue (Cr)'!$C:$FB,5)</f>
        <v>822.65</v>
      </c>
      <c r="F89" s="75">
        <f t="shared" si="6"/>
        <v>-5.0000000000068212E-2</v>
      </c>
      <c r="G89" s="75">
        <f t="shared" si="7"/>
        <v>2.1586584205518529</v>
      </c>
      <c r="H89" s="75">
        <f>VLOOKUP($A89,'Data Vlaue (Cr)'!$C:$FB,99)</f>
        <v>8672</v>
      </c>
      <c r="I89" s="75">
        <f>VLOOKUP($A89,'Data Vlaue (Cr)'!$C:$FB,100)</f>
        <v>8568</v>
      </c>
      <c r="J89" s="75">
        <f t="shared" si="8"/>
        <v>104</v>
      </c>
      <c r="K89" s="75">
        <f t="shared" si="9"/>
        <v>1.1992619926199262</v>
      </c>
      <c r="L89" s="75">
        <f>VLOOKUP($A89,'Data Vlaue (Cr)'!$C:$FB,67)</f>
        <v>12843</v>
      </c>
      <c r="M89" s="75">
        <f>VLOOKUP($A89,'Data Vlaue (Cr)'!$C:$FB,68)</f>
        <v>23363</v>
      </c>
      <c r="N89" s="75">
        <f t="shared" si="10"/>
        <v>-10520</v>
      </c>
      <c r="O89" s="75">
        <f t="shared" si="11"/>
        <v>-81.912325780580858</v>
      </c>
      <c r="P89" s="75">
        <f>VLOOKUP($A89,'Data Vlaue (Cr)'!$C:$FB,119)</f>
        <v>1.06</v>
      </c>
      <c r="Q89" s="75">
        <f>VLOOKUP($A89,'Data Vlaue (Cr)'!$C:$FB,122)*100</f>
        <v>24.709999999999997</v>
      </c>
      <c r="R89" s="75">
        <f>VLOOKUP($A89,'Data Vlaue (Cr)'!$C:$FB,125)</f>
        <v>0.61</v>
      </c>
      <c r="S89" s="75">
        <f>VLOOKUP($A89,'Data Vlaue (Cr)'!$C:$FB,128)*100</f>
        <v>45.24</v>
      </c>
    </row>
    <row r="90" spans="1:19" x14ac:dyDescent="0.25">
      <c r="A90" s="96" t="str">
        <f>'Data Vlaue (Cr)'!C81</f>
        <v>HINDPETRO</v>
      </c>
      <c r="B90" s="75">
        <f>VLOOKUP($A90,'Data Vlaue (Cr)'!$C:$FB,2)</f>
        <v>2025</v>
      </c>
      <c r="C90" s="75">
        <f>VLOOKUP($A90,'Data Vlaue (Cr)'!$C:$FB,8)</f>
        <v>453.75</v>
      </c>
      <c r="D90" s="75">
        <f>VLOOKUP($A90,'Data Vlaue (Cr)'!$C:$FB,4)</f>
        <v>453.25</v>
      </c>
      <c r="E90" s="75">
        <f>VLOOKUP($A90,'Data Vlaue (Cr)'!$C:$FB,5)</f>
        <v>438.8</v>
      </c>
      <c r="F90" s="75">
        <f t="shared" si="6"/>
        <v>-0.5</v>
      </c>
      <c r="G90" s="75">
        <f t="shared" si="7"/>
        <v>3.1880860452289004</v>
      </c>
      <c r="H90" s="75">
        <f>VLOOKUP($A90,'Data Vlaue (Cr)'!$C:$FB,99)</f>
        <v>4080</v>
      </c>
      <c r="I90" s="75">
        <f>VLOOKUP($A90,'Data Vlaue (Cr)'!$C:$FB,100)</f>
        <v>3973</v>
      </c>
      <c r="J90" s="75">
        <f t="shared" si="8"/>
        <v>107</v>
      </c>
      <c r="K90" s="75">
        <f t="shared" si="9"/>
        <v>2.6225490196078431</v>
      </c>
      <c r="L90" s="75">
        <f>VLOOKUP($A90,'Data Vlaue (Cr)'!$C:$FB,67)</f>
        <v>5002</v>
      </c>
      <c r="M90" s="75">
        <f>VLOOKUP($A90,'Data Vlaue (Cr)'!$C:$FB,68)</f>
        <v>4632</v>
      </c>
      <c r="N90" s="75">
        <f t="shared" si="10"/>
        <v>370</v>
      </c>
      <c r="O90" s="75">
        <f t="shared" si="11"/>
        <v>7.3970411835265901</v>
      </c>
      <c r="P90" s="75">
        <f>VLOOKUP($A90,'Data Vlaue (Cr)'!$C:$FB,119)</f>
        <v>0.67</v>
      </c>
      <c r="Q90" s="75">
        <f>VLOOKUP($A90,'Data Vlaue (Cr)'!$C:$FB,122)*100</f>
        <v>-8.2199999999999989</v>
      </c>
      <c r="R90" s="75">
        <f>VLOOKUP($A90,'Data Vlaue (Cr)'!$C:$FB,125)</f>
        <v>0.51</v>
      </c>
      <c r="S90" s="75">
        <f>VLOOKUP($A90,'Data Vlaue (Cr)'!$C:$FB,128)*100</f>
        <v>-22.73</v>
      </c>
    </row>
    <row r="91" spans="1:19" x14ac:dyDescent="0.25">
      <c r="A91" s="96" t="str">
        <f>'Data Vlaue (Cr)'!C82</f>
        <v>HINDUNILVR</v>
      </c>
      <c r="B91" s="75">
        <f>VLOOKUP($A91,'Data Vlaue (Cr)'!$C:$FB,2)</f>
        <v>300</v>
      </c>
      <c r="C91" s="75">
        <f>VLOOKUP($A91,'Data Vlaue (Cr)'!$C:$FB,8)</f>
        <v>2511.8000000000002</v>
      </c>
      <c r="D91" s="75">
        <f>VLOOKUP($A91,'Data Vlaue (Cr)'!$C:$FB,4)</f>
        <v>2517.1999999999998</v>
      </c>
      <c r="E91" s="75">
        <f>VLOOKUP($A91,'Data Vlaue (Cr)'!$C:$FB,5)</f>
        <v>2513.8000000000002</v>
      </c>
      <c r="F91" s="75">
        <f t="shared" si="6"/>
        <v>5.3999999999996362</v>
      </c>
      <c r="G91" s="75">
        <f t="shared" si="7"/>
        <v>0.13507071349116623</v>
      </c>
      <c r="H91" s="75">
        <f>VLOOKUP($A91,'Data Vlaue (Cr)'!$C:$FB,99)</f>
        <v>8189</v>
      </c>
      <c r="I91" s="75">
        <f>VLOOKUP($A91,'Data Vlaue (Cr)'!$C:$FB,100)</f>
        <v>8552</v>
      </c>
      <c r="J91" s="75">
        <f t="shared" si="8"/>
        <v>-363</v>
      </c>
      <c r="K91" s="75">
        <f t="shared" si="9"/>
        <v>-4.432775674685554</v>
      </c>
      <c r="L91" s="75">
        <f>VLOOKUP($A91,'Data Vlaue (Cr)'!$C:$FB,67)</f>
        <v>8977</v>
      </c>
      <c r="M91" s="75">
        <f>VLOOKUP($A91,'Data Vlaue (Cr)'!$C:$FB,68)</f>
        <v>22269</v>
      </c>
      <c r="N91" s="75">
        <f t="shared" si="10"/>
        <v>-13292</v>
      </c>
      <c r="O91" s="75">
        <f t="shared" si="11"/>
        <v>-148.06728305670046</v>
      </c>
      <c r="P91" s="75">
        <f>VLOOKUP($A91,'Data Vlaue (Cr)'!$C:$FB,119)</f>
        <v>0.47</v>
      </c>
      <c r="Q91" s="75">
        <f>VLOOKUP($A91,'Data Vlaue (Cr)'!$C:$FB,122)*100</f>
        <v>6.8199999999999994</v>
      </c>
      <c r="R91" s="75">
        <f>VLOOKUP($A91,'Data Vlaue (Cr)'!$C:$FB,125)</f>
        <v>0.42</v>
      </c>
      <c r="S91" s="75">
        <f>VLOOKUP($A91,'Data Vlaue (Cr)'!$C:$FB,128)*100</f>
        <v>-26.32</v>
      </c>
    </row>
    <row r="92" spans="1:19" x14ac:dyDescent="0.25">
      <c r="A92" s="96" t="str">
        <f>'Data Vlaue (Cr)'!C83</f>
        <v>HINDZINC</v>
      </c>
      <c r="B92" s="75">
        <f>VLOOKUP($A92,'Data Vlaue (Cr)'!$C:$FB,2)</f>
        <v>1225</v>
      </c>
      <c r="C92" s="75">
        <f>VLOOKUP($A92,'Data Vlaue (Cr)'!$C:$FB,8)</f>
        <v>482.3</v>
      </c>
      <c r="D92" s="75">
        <f>VLOOKUP($A92,'Data Vlaue (Cr)'!$C:$FB,4)</f>
        <v>483.15</v>
      </c>
      <c r="E92" s="75">
        <f>VLOOKUP($A92,'Data Vlaue (Cr)'!$C:$FB,5)</f>
        <v>487.2</v>
      </c>
      <c r="F92" s="75">
        <f t="shared" si="6"/>
        <v>0.84999999999996589</v>
      </c>
      <c r="G92" s="75">
        <f t="shared" si="7"/>
        <v>-0.83824899099658734</v>
      </c>
      <c r="H92" s="75">
        <f>VLOOKUP($A92,'Data Vlaue (Cr)'!$C:$FB,99)</f>
        <v>4092</v>
      </c>
      <c r="I92" s="75">
        <f>VLOOKUP($A92,'Data Vlaue (Cr)'!$C:$FB,100)</f>
        <v>4207</v>
      </c>
      <c r="J92" s="75">
        <f t="shared" si="8"/>
        <v>-115</v>
      </c>
      <c r="K92" s="75">
        <f t="shared" si="9"/>
        <v>-2.810361681329423</v>
      </c>
      <c r="L92" s="75">
        <f>VLOOKUP($A92,'Data Vlaue (Cr)'!$C:$FB,67)</f>
        <v>2997</v>
      </c>
      <c r="M92" s="75">
        <f>VLOOKUP($A92,'Data Vlaue (Cr)'!$C:$FB,68)</f>
        <v>6319</v>
      </c>
      <c r="N92" s="75">
        <f t="shared" si="10"/>
        <v>-3322</v>
      </c>
      <c r="O92" s="75">
        <f t="shared" si="11"/>
        <v>-110.84417751084419</v>
      </c>
      <c r="P92" s="75">
        <f>VLOOKUP($A92,'Data Vlaue (Cr)'!$C:$FB,119)</f>
        <v>0.39</v>
      </c>
      <c r="Q92" s="75">
        <f>VLOOKUP($A92,'Data Vlaue (Cr)'!$C:$FB,122)*100</f>
        <v>0</v>
      </c>
      <c r="R92" s="75">
        <f>VLOOKUP($A92,'Data Vlaue (Cr)'!$C:$FB,125)</f>
        <v>0.28999999999999998</v>
      </c>
      <c r="S92" s="75">
        <f>VLOOKUP($A92,'Data Vlaue (Cr)'!$C:$FB,128)*100</f>
        <v>-9.379999999999999</v>
      </c>
    </row>
    <row r="93" spans="1:19" x14ac:dyDescent="0.25">
      <c r="A93" s="96" t="str">
        <f>'Data Vlaue (Cr)'!C84</f>
        <v>HUDCO</v>
      </c>
      <c r="B93" s="75">
        <f>VLOOKUP($A93,'Data Vlaue (Cr)'!$C:$FB,2)</f>
        <v>2775</v>
      </c>
      <c r="C93" s="75">
        <f>VLOOKUP($A93,'Data Vlaue (Cr)'!$C:$FB,8)</f>
        <v>227.01</v>
      </c>
      <c r="D93" s="75">
        <f>VLOOKUP($A93,'Data Vlaue (Cr)'!$C:$FB,4)</f>
        <v>227.44</v>
      </c>
      <c r="E93" s="75">
        <f>VLOOKUP($A93,'Data Vlaue (Cr)'!$C:$FB,5)</f>
        <v>226.96</v>
      </c>
      <c r="F93" s="75">
        <f t="shared" si="6"/>
        <v>0.43000000000000682</v>
      </c>
      <c r="G93" s="75">
        <f t="shared" si="7"/>
        <v>0.21104467112204967</v>
      </c>
      <c r="H93" s="75">
        <f>VLOOKUP($A93,'Data Vlaue (Cr)'!$C:$FB,99)</f>
        <v>1258</v>
      </c>
      <c r="I93" s="75">
        <f>VLOOKUP($A93,'Data Vlaue (Cr)'!$C:$FB,100)</f>
        <v>1247</v>
      </c>
      <c r="J93" s="75">
        <f t="shared" si="8"/>
        <v>11</v>
      </c>
      <c r="K93" s="75">
        <f t="shared" si="9"/>
        <v>0.87440381558028613</v>
      </c>
      <c r="L93" s="75">
        <f>VLOOKUP($A93,'Data Vlaue (Cr)'!$C:$FB,67)</f>
        <v>1007</v>
      </c>
      <c r="M93" s="75">
        <f>VLOOKUP($A93,'Data Vlaue (Cr)'!$C:$FB,68)</f>
        <v>924</v>
      </c>
      <c r="N93" s="75">
        <f t="shared" si="10"/>
        <v>83</v>
      </c>
      <c r="O93" s="75">
        <f t="shared" si="11"/>
        <v>8.2423038728897708</v>
      </c>
      <c r="P93" s="75">
        <f>VLOOKUP($A93,'Data Vlaue (Cr)'!$C:$FB,119)</f>
        <v>0.53</v>
      </c>
      <c r="Q93" s="75">
        <f>VLOOKUP($A93,'Data Vlaue (Cr)'!$C:$FB,122)*100</f>
        <v>0</v>
      </c>
      <c r="R93" s="75">
        <f>VLOOKUP($A93,'Data Vlaue (Cr)'!$C:$FB,125)</f>
        <v>0.41</v>
      </c>
      <c r="S93" s="75">
        <f>VLOOKUP($A93,'Data Vlaue (Cr)'!$C:$FB,128)*100</f>
        <v>0</v>
      </c>
    </row>
    <row r="94" spans="1:19" x14ac:dyDescent="0.25">
      <c r="A94" s="96" t="str">
        <f>'Data Vlaue (Cr)'!C85</f>
        <v>ICICIBANK</v>
      </c>
      <c r="B94" s="75">
        <f>VLOOKUP($A94,'Data Vlaue (Cr)'!$C:$FB,2)</f>
        <v>700</v>
      </c>
      <c r="C94" s="75">
        <f>VLOOKUP($A94,'Data Vlaue (Cr)'!$C:$FB,8)</f>
        <v>1377.6</v>
      </c>
      <c r="D94" s="75">
        <f>VLOOKUP($A94,'Data Vlaue (Cr)'!$C:$FB,4)</f>
        <v>1378</v>
      </c>
      <c r="E94" s="75">
        <f>VLOOKUP($A94,'Data Vlaue (Cr)'!$C:$FB,5)</f>
        <v>1378</v>
      </c>
      <c r="F94" s="75">
        <f t="shared" si="6"/>
        <v>0.40000000000009095</v>
      </c>
      <c r="G94" s="75">
        <f t="shared" si="7"/>
        <v>0</v>
      </c>
      <c r="H94" s="75">
        <f>VLOOKUP($A94,'Data Vlaue (Cr)'!$C:$FB,99)</f>
        <v>24832</v>
      </c>
      <c r="I94" s="75">
        <f>VLOOKUP($A94,'Data Vlaue (Cr)'!$C:$FB,100)</f>
        <v>25392</v>
      </c>
      <c r="J94" s="75">
        <f t="shared" si="8"/>
        <v>-560</v>
      </c>
      <c r="K94" s="75">
        <f t="shared" si="9"/>
        <v>-2.2551546391752577</v>
      </c>
      <c r="L94" s="75">
        <f>VLOOKUP($A94,'Data Vlaue (Cr)'!$C:$FB,67)</f>
        <v>18903</v>
      </c>
      <c r="M94" s="75">
        <f>VLOOKUP($A94,'Data Vlaue (Cr)'!$C:$FB,68)</f>
        <v>28157</v>
      </c>
      <c r="N94" s="75">
        <f t="shared" si="10"/>
        <v>-9254</v>
      </c>
      <c r="O94" s="75">
        <f t="shared" si="11"/>
        <v>-48.955192297518913</v>
      </c>
      <c r="P94" s="75">
        <f>VLOOKUP($A94,'Data Vlaue (Cr)'!$C:$FB,119)</f>
        <v>0.56999999999999995</v>
      </c>
      <c r="Q94" s="75">
        <f>VLOOKUP($A94,'Data Vlaue (Cr)'!$C:$FB,122)*100</f>
        <v>9.6199999999999992</v>
      </c>
      <c r="R94" s="75">
        <f>VLOOKUP($A94,'Data Vlaue (Cr)'!$C:$FB,125)</f>
        <v>0.56999999999999995</v>
      </c>
      <c r="S94" s="75">
        <f>VLOOKUP($A94,'Data Vlaue (Cr)'!$C:$FB,128)*100</f>
        <v>5.56</v>
      </c>
    </row>
    <row r="95" spans="1:19" x14ac:dyDescent="0.25">
      <c r="A95" s="96" t="str">
        <f>'Data Vlaue (Cr)'!C86</f>
        <v>ICICIGI</v>
      </c>
      <c r="B95" s="75">
        <f>VLOOKUP($A95,'Data Vlaue (Cr)'!$C:$FB,2)</f>
        <v>325</v>
      </c>
      <c r="C95" s="75">
        <f>VLOOKUP($A95,'Data Vlaue (Cr)'!$C:$FB,8)</f>
        <v>1986.4</v>
      </c>
      <c r="D95" s="75">
        <f>VLOOKUP($A95,'Data Vlaue (Cr)'!$C:$FB,4)</f>
        <v>1989.3</v>
      </c>
      <c r="E95" s="75">
        <f>VLOOKUP($A95,'Data Vlaue (Cr)'!$C:$FB,5)</f>
        <v>1992.1</v>
      </c>
      <c r="F95" s="75">
        <f t="shared" si="6"/>
        <v>2.8999999999998636</v>
      </c>
      <c r="G95" s="75">
        <f t="shared" si="7"/>
        <v>-0.14075302870356179</v>
      </c>
      <c r="H95" s="75">
        <f>VLOOKUP($A95,'Data Vlaue (Cr)'!$C:$FB,99)</f>
        <v>1897</v>
      </c>
      <c r="I95" s="75">
        <f>VLOOKUP($A95,'Data Vlaue (Cr)'!$C:$FB,100)</f>
        <v>1975</v>
      </c>
      <c r="J95" s="75">
        <f t="shared" si="8"/>
        <v>-78</v>
      </c>
      <c r="K95" s="75">
        <f t="shared" si="9"/>
        <v>-4.1117554032683179</v>
      </c>
      <c r="L95" s="75">
        <f>VLOOKUP($A95,'Data Vlaue (Cr)'!$C:$FB,67)</f>
        <v>1265</v>
      </c>
      <c r="M95" s="75">
        <f>VLOOKUP($A95,'Data Vlaue (Cr)'!$C:$FB,68)</f>
        <v>2027</v>
      </c>
      <c r="N95" s="75">
        <f t="shared" si="10"/>
        <v>-762</v>
      </c>
      <c r="O95" s="75">
        <f t="shared" si="11"/>
        <v>-60.237154150197625</v>
      </c>
      <c r="P95" s="75">
        <f>VLOOKUP($A95,'Data Vlaue (Cr)'!$C:$FB,119)</f>
        <v>1.2</v>
      </c>
      <c r="Q95" s="75">
        <f>VLOOKUP($A95,'Data Vlaue (Cr)'!$C:$FB,122)*100</f>
        <v>-4.7600000000000007</v>
      </c>
      <c r="R95" s="75">
        <f>VLOOKUP($A95,'Data Vlaue (Cr)'!$C:$FB,125)</f>
        <v>0.8</v>
      </c>
      <c r="S95" s="75">
        <f>VLOOKUP($A95,'Data Vlaue (Cr)'!$C:$FB,128)*100</f>
        <v>-38.46</v>
      </c>
    </row>
    <row r="96" spans="1:19" x14ac:dyDescent="0.25">
      <c r="A96" s="96" t="str">
        <f>'Data Vlaue (Cr)'!C87</f>
        <v>ICICIPRULI</v>
      </c>
      <c r="B96" s="75">
        <f>VLOOKUP($A96,'Data Vlaue (Cr)'!$C:$FB,2)</f>
        <v>925</v>
      </c>
      <c r="C96" s="75">
        <f>VLOOKUP($A96,'Data Vlaue (Cr)'!$C:$FB,8)</f>
        <v>600.75</v>
      </c>
      <c r="D96" s="75">
        <f>VLOOKUP($A96,'Data Vlaue (Cr)'!$C:$FB,4)</f>
        <v>601.6</v>
      </c>
      <c r="E96" s="75">
        <f>VLOOKUP($A96,'Data Vlaue (Cr)'!$C:$FB,5)</f>
        <v>601.5</v>
      </c>
      <c r="F96" s="75">
        <f t="shared" si="6"/>
        <v>0.85000000000002274</v>
      </c>
      <c r="G96" s="75">
        <f t="shared" si="7"/>
        <v>1.6622340425535693E-2</v>
      </c>
      <c r="H96" s="75">
        <f>VLOOKUP($A96,'Data Vlaue (Cr)'!$C:$FB,99)</f>
        <v>1205</v>
      </c>
      <c r="I96" s="75">
        <f>VLOOKUP($A96,'Data Vlaue (Cr)'!$C:$FB,100)</f>
        <v>1207</v>
      </c>
      <c r="J96" s="75">
        <f t="shared" si="8"/>
        <v>-2</v>
      </c>
      <c r="K96" s="75">
        <f t="shared" si="9"/>
        <v>-0.16597510373443983</v>
      </c>
      <c r="L96" s="75">
        <f>VLOOKUP($A96,'Data Vlaue (Cr)'!$C:$FB,67)</f>
        <v>891</v>
      </c>
      <c r="M96" s="75">
        <f>VLOOKUP($A96,'Data Vlaue (Cr)'!$C:$FB,68)</f>
        <v>899</v>
      </c>
      <c r="N96" s="75">
        <f t="shared" si="10"/>
        <v>-8</v>
      </c>
      <c r="O96" s="75">
        <f t="shared" si="11"/>
        <v>-0.89786756453423133</v>
      </c>
      <c r="P96" s="75">
        <f>VLOOKUP($A96,'Data Vlaue (Cr)'!$C:$FB,119)</f>
        <v>0.59</v>
      </c>
      <c r="Q96" s="75">
        <f>VLOOKUP($A96,'Data Vlaue (Cr)'!$C:$FB,122)*100</f>
        <v>-1.67</v>
      </c>
      <c r="R96" s="75">
        <f>VLOOKUP($A96,'Data Vlaue (Cr)'!$C:$FB,125)</f>
        <v>0.36</v>
      </c>
      <c r="S96" s="75">
        <f>VLOOKUP($A96,'Data Vlaue (Cr)'!$C:$FB,128)*100</f>
        <v>-41.94</v>
      </c>
    </row>
    <row r="97" spans="1:19" x14ac:dyDescent="0.25">
      <c r="A97" s="96" t="str">
        <f>'Data Vlaue (Cr)'!C88</f>
        <v>IDEA</v>
      </c>
      <c r="B97" s="75">
        <f>VLOOKUP($A97,'Data Vlaue (Cr)'!$C:$FB,2)</f>
        <v>40000</v>
      </c>
      <c r="C97" s="75">
        <f>VLOOKUP($A97,'Data Vlaue (Cr)'!$C:$FB,8)</f>
        <v>9.9700000000000006</v>
      </c>
      <c r="D97" s="75">
        <f>VLOOKUP($A97,'Data Vlaue (Cr)'!$C:$FB,4)</f>
        <v>9.99</v>
      </c>
      <c r="E97" s="75">
        <f>VLOOKUP($A97,'Data Vlaue (Cr)'!$C:$FB,5)</f>
        <v>9.64</v>
      </c>
      <c r="F97" s="75">
        <f t="shared" si="6"/>
        <v>1.9999999999999574E-2</v>
      </c>
      <c r="G97" s="75">
        <f t="shared" si="7"/>
        <v>3.5035035035035</v>
      </c>
      <c r="H97" s="75">
        <f>VLOOKUP($A97,'Data Vlaue (Cr)'!$C:$FB,99)</f>
        <v>10691</v>
      </c>
      <c r="I97" s="75">
        <f>VLOOKUP($A97,'Data Vlaue (Cr)'!$C:$FB,100)</f>
        <v>10295</v>
      </c>
      <c r="J97" s="75">
        <f t="shared" si="8"/>
        <v>396</v>
      </c>
      <c r="K97" s="75">
        <f t="shared" si="9"/>
        <v>3.7040501356280986</v>
      </c>
      <c r="L97" s="75">
        <f>VLOOKUP($A97,'Data Vlaue (Cr)'!$C:$FB,67)</f>
        <v>9608</v>
      </c>
      <c r="M97" s="75">
        <f>VLOOKUP($A97,'Data Vlaue (Cr)'!$C:$FB,68)</f>
        <v>3777</v>
      </c>
      <c r="N97" s="75">
        <f t="shared" si="10"/>
        <v>5831</v>
      </c>
      <c r="O97" s="75">
        <f t="shared" si="11"/>
        <v>60.689009159034136</v>
      </c>
      <c r="P97" s="75">
        <f>VLOOKUP($A97,'Data Vlaue (Cr)'!$C:$FB,119)</f>
        <v>0.78</v>
      </c>
      <c r="Q97" s="75">
        <f>VLOOKUP($A97,'Data Vlaue (Cr)'!$C:$FB,122)*100</f>
        <v>13.04</v>
      </c>
      <c r="R97" s="75">
        <f>VLOOKUP($A97,'Data Vlaue (Cr)'!$C:$FB,125)</f>
        <v>0.3</v>
      </c>
      <c r="S97" s="75">
        <f>VLOOKUP($A97,'Data Vlaue (Cr)'!$C:$FB,128)*100</f>
        <v>-21.05</v>
      </c>
    </row>
    <row r="98" spans="1:19" x14ac:dyDescent="0.25">
      <c r="A98" s="96" t="str">
        <f>'Data Vlaue (Cr)'!C89</f>
        <v>IDFCFIRSTB</v>
      </c>
      <c r="B98" s="75">
        <f>VLOOKUP($A98,'Data Vlaue (Cr)'!$C:$FB,2)</f>
        <v>9275</v>
      </c>
      <c r="C98" s="75">
        <f>VLOOKUP($A98,'Data Vlaue (Cr)'!$C:$FB,8)</f>
        <v>78.03</v>
      </c>
      <c r="D98" s="75">
        <f>VLOOKUP($A98,'Data Vlaue (Cr)'!$C:$FB,4)</f>
        <v>78.13</v>
      </c>
      <c r="E98" s="75">
        <f>VLOOKUP($A98,'Data Vlaue (Cr)'!$C:$FB,5)</f>
        <v>78.239999999999995</v>
      </c>
      <c r="F98" s="75">
        <f t="shared" si="6"/>
        <v>9.9999999999994316E-2</v>
      </c>
      <c r="G98" s="75">
        <f t="shared" si="7"/>
        <v>-0.14079098937667917</v>
      </c>
      <c r="H98" s="75">
        <f>VLOOKUP($A98,'Data Vlaue (Cr)'!$C:$FB,99)</f>
        <v>5372</v>
      </c>
      <c r="I98" s="75">
        <f>VLOOKUP($A98,'Data Vlaue (Cr)'!$C:$FB,100)</f>
        <v>5364</v>
      </c>
      <c r="J98" s="75">
        <f t="shared" si="8"/>
        <v>8</v>
      </c>
      <c r="K98" s="75">
        <f t="shared" si="9"/>
        <v>0.14892032762472077</v>
      </c>
      <c r="L98" s="75">
        <f>VLOOKUP($A98,'Data Vlaue (Cr)'!$C:$FB,67)</f>
        <v>3259</v>
      </c>
      <c r="M98" s="75">
        <f>VLOOKUP($A98,'Data Vlaue (Cr)'!$C:$FB,68)</f>
        <v>3820</v>
      </c>
      <c r="N98" s="75">
        <f t="shared" si="10"/>
        <v>-561</v>
      </c>
      <c r="O98" s="75">
        <f t="shared" si="11"/>
        <v>-17.213869285056767</v>
      </c>
      <c r="P98" s="75">
        <f>VLOOKUP($A98,'Data Vlaue (Cr)'!$C:$FB,119)</f>
        <v>0.97</v>
      </c>
      <c r="Q98" s="75">
        <f>VLOOKUP($A98,'Data Vlaue (Cr)'!$C:$FB,122)*100</f>
        <v>2.11</v>
      </c>
      <c r="R98" s="75">
        <f>VLOOKUP($A98,'Data Vlaue (Cr)'!$C:$FB,125)</f>
        <v>0.56000000000000005</v>
      </c>
      <c r="S98" s="75">
        <f>VLOOKUP($A98,'Data Vlaue (Cr)'!$C:$FB,128)*100</f>
        <v>14.29</v>
      </c>
    </row>
    <row r="99" spans="1:19" x14ac:dyDescent="0.25">
      <c r="A99" s="96" t="str">
        <f>'Data Vlaue (Cr)'!C90</f>
        <v>IEX</v>
      </c>
      <c r="B99" s="75">
        <f>VLOOKUP($A99,'Data Vlaue (Cr)'!$C:$FB,2)</f>
        <v>3750</v>
      </c>
      <c r="C99" s="75">
        <f>VLOOKUP($A99,'Data Vlaue (Cr)'!$C:$FB,8)</f>
        <v>147.13999999999999</v>
      </c>
      <c r="D99" s="75">
        <f>VLOOKUP($A99,'Data Vlaue (Cr)'!$C:$FB,4)</f>
        <v>147.16</v>
      </c>
      <c r="E99" s="75">
        <f>VLOOKUP($A99,'Data Vlaue (Cr)'!$C:$FB,5)</f>
        <v>147.38</v>
      </c>
      <c r="F99" s="75">
        <f t="shared" si="6"/>
        <v>2.0000000000010232E-2</v>
      </c>
      <c r="G99" s="75">
        <f t="shared" si="7"/>
        <v>-0.1494971459635763</v>
      </c>
      <c r="H99" s="75">
        <f>VLOOKUP($A99,'Data Vlaue (Cr)'!$C:$FB,99)</f>
        <v>2051</v>
      </c>
      <c r="I99" s="75">
        <f>VLOOKUP($A99,'Data Vlaue (Cr)'!$C:$FB,100)</f>
        <v>1964</v>
      </c>
      <c r="J99" s="75">
        <f t="shared" si="8"/>
        <v>87</v>
      </c>
      <c r="K99" s="75">
        <f t="shared" si="9"/>
        <v>4.2418332520721602</v>
      </c>
      <c r="L99" s="75">
        <f>VLOOKUP($A99,'Data Vlaue (Cr)'!$C:$FB,67)</f>
        <v>1754</v>
      </c>
      <c r="M99" s="75">
        <f>VLOOKUP($A99,'Data Vlaue (Cr)'!$C:$FB,68)</f>
        <v>3216</v>
      </c>
      <c r="N99" s="75">
        <f t="shared" si="10"/>
        <v>-1462</v>
      </c>
      <c r="O99" s="75">
        <f t="shared" si="11"/>
        <v>-83.352337514253136</v>
      </c>
      <c r="P99" s="75">
        <f>VLOOKUP($A99,'Data Vlaue (Cr)'!$C:$FB,119)</f>
        <v>0.7</v>
      </c>
      <c r="Q99" s="75">
        <f>VLOOKUP($A99,'Data Vlaue (Cr)'!$C:$FB,122)*100</f>
        <v>-9.09</v>
      </c>
      <c r="R99" s="75">
        <f>VLOOKUP($A99,'Data Vlaue (Cr)'!$C:$FB,125)</f>
        <v>0.4</v>
      </c>
      <c r="S99" s="75">
        <f>VLOOKUP($A99,'Data Vlaue (Cr)'!$C:$FB,128)*100</f>
        <v>-6.98</v>
      </c>
    </row>
    <row r="100" spans="1:19" x14ac:dyDescent="0.25">
      <c r="A100" s="96" t="str">
        <f>'Data Vlaue (Cr)'!C91</f>
        <v>IGL</v>
      </c>
      <c r="B100" s="75">
        <f>VLOOKUP($A100,'Data Vlaue (Cr)'!$C:$FB,2)</f>
        <v>2750</v>
      </c>
      <c r="C100" s="75">
        <f>VLOOKUP($A100,'Data Vlaue (Cr)'!$C:$FB,8)</f>
        <v>213.47</v>
      </c>
      <c r="D100" s="75">
        <f>VLOOKUP($A100,'Data Vlaue (Cr)'!$C:$FB,4)</f>
        <v>213.88</v>
      </c>
      <c r="E100" s="75">
        <f>VLOOKUP($A100,'Data Vlaue (Cr)'!$C:$FB,5)</f>
        <v>211.56</v>
      </c>
      <c r="F100" s="75">
        <f t="shared" si="6"/>
        <v>0.40999999999999659</v>
      </c>
      <c r="G100" s="75">
        <f t="shared" si="7"/>
        <v>1.0847204039648368</v>
      </c>
      <c r="H100" s="75">
        <f>VLOOKUP($A100,'Data Vlaue (Cr)'!$C:$FB,99)</f>
        <v>1026</v>
      </c>
      <c r="I100" s="75">
        <f>VLOOKUP($A100,'Data Vlaue (Cr)'!$C:$FB,100)</f>
        <v>1063</v>
      </c>
      <c r="J100" s="75">
        <f t="shared" si="8"/>
        <v>-37</v>
      </c>
      <c r="K100" s="75">
        <f t="shared" si="9"/>
        <v>-3.6062378167641325</v>
      </c>
      <c r="L100" s="75">
        <f>VLOOKUP($A100,'Data Vlaue (Cr)'!$C:$FB,67)</f>
        <v>746</v>
      </c>
      <c r="M100" s="75">
        <f>VLOOKUP($A100,'Data Vlaue (Cr)'!$C:$FB,68)</f>
        <v>758</v>
      </c>
      <c r="N100" s="75">
        <f t="shared" si="10"/>
        <v>-12</v>
      </c>
      <c r="O100" s="75">
        <f t="shared" si="11"/>
        <v>-1.6085790884718498</v>
      </c>
      <c r="P100" s="75">
        <f>VLOOKUP($A100,'Data Vlaue (Cr)'!$C:$FB,119)</f>
        <v>0.53</v>
      </c>
      <c r="Q100" s="75">
        <f>VLOOKUP($A100,'Data Vlaue (Cr)'!$C:$FB,122)*100</f>
        <v>1.92</v>
      </c>
      <c r="R100" s="75">
        <f>VLOOKUP($A100,'Data Vlaue (Cr)'!$C:$FB,125)</f>
        <v>0.34</v>
      </c>
      <c r="S100" s="75">
        <f>VLOOKUP($A100,'Data Vlaue (Cr)'!$C:$FB,128)*100</f>
        <v>-15</v>
      </c>
    </row>
    <row r="101" spans="1:19" x14ac:dyDescent="0.25">
      <c r="A101" s="96" t="str">
        <f>'Data Vlaue (Cr)'!C92</f>
        <v>IIFL</v>
      </c>
      <c r="B101" s="75">
        <f>VLOOKUP($A101,'Data Vlaue (Cr)'!$C:$FB,2)</f>
        <v>1650</v>
      </c>
      <c r="C101" s="75">
        <f>VLOOKUP($A101,'Data Vlaue (Cr)'!$C:$FB,8)</f>
        <v>505.35</v>
      </c>
      <c r="D101" s="75">
        <f>VLOOKUP($A101,'Data Vlaue (Cr)'!$C:$FB,4)</f>
        <v>505.75</v>
      </c>
      <c r="E101" s="75">
        <f>VLOOKUP($A101,'Data Vlaue (Cr)'!$C:$FB,5)</f>
        <v>490.25</v>
      </c>
      <c r="F101" s="75">
        <f t="shared" si="6"/>
        <v>0.39999999999997726</v>
      </c>
      <c r="G101" s="75">
        <f t="shared" si="7"/>
        <v>3.0647553138902621</v>
      </c>
      <c r="H101" s="75">
        <f>VLOOKUP($A101,'Data Vlaue (Cr)'!$C:$FB,99)</f>
        <v>1221</v>
      </c>
      <c r="I101" s="75">
        <f>VLOOKUP($A101,'Data Vlaue (Cr)'!$C:$FB,100)</f>
        <v>1158</v>
      </c>
      <c r="J101" s="75">
        <f t="shared" si="8"/>
        <v>63</v>
      </c>
      <c r="K101" s="75">
        <f t="shared" si="9"/>
        <v>5.1597051597051591</v>
      </c>
      <c r="L101" s="75">
        <f>VLOOKUP($A101,'Data Vlaue (Cr)'!$C:$FB,67)</f>
        <v>1529</v>
      </c>
      <c r="M101" s="75">
        <f>VLOOKUP($A101,'Data Vlaue (Cr)'!$C:$FB,68)</f>
        <v>874</v>
      </c>
      <c r="N101" s="75">
        <f t="shared" si="10"/>
        <v>655</v>
      </c>
      <c r="O101" s="75">
        <f t="shared" si="11"/>
        <v>42.838456507521258</v>
      </c>
      <c r="P101" s="75">
        <f>VLOOKUP($A101,'Data Vlaue (Cr)'!$C:$FB,119)</f>
        <v>0.61</v>
      </c>
      <c r="Q101" s="75">
        <f>VLOOKUP($A101,'Data Vlaue (Cr)'!$C:$FB,122)*100</f>
        <v>-10.290000000000001</v>
      </c>
      <c r="R101" s="75">
        <f>VLOOKUP($A101,'Data Vlaue (Cr)'!$C:$FB,125)</f>
        <v>0.34</v>
      </c>
      <c r="S101" s="75">
        <f>VLOOKUP($A101,'Data Vlaue (Cr)'!$C:$FB,128)*100</f>
        <v>-34.619999999999997</v>
      </c>
    </row>
    <row r="102" spans="1:19" x14ac:dyDescent="0.25">
      <c r="A102" s="96" t="str">
        <f>'Data Vlaue (Cr)'!C93</f>
        <v>INDHOTEL</v>
      </c>
      <c r="B102" s="75">
        <f>VLOOKUP($A102,'Data Vlaue (Cr)'!$C:$FB,2)</f>
        <v>1000</v>
      </c>
      <c r="C102" s="75">
        <f>VLOOKUP($A102,'Data Vlaue (Cr)'!$C:$FB,8)</f>
        <v>746.55</v>
      </c>
      <c r="D102" s="75">
        <f>VLOOKUP($A102,'Data Vlaue (Cr)'!$C:$FB,4)</f>
        <v>746.45</v>
      </c>
      <c r="E102" s="75">
        <f>VLOOKUP($A102,'Data Vlaue (Cr)'!$C:$FB,5)</f>
        <v>735</v>
      </c>
      <c r="F102" s="75">
        <f t="shared" si="6"/>
        <v>-9.9999999999909051E-2</v>
      </c>
      <c r="G102" s="75">
        <f t="shared" si="7"/>
        <v>1.5339272556768766</v>
      </c>
      <c r="H102" s="75">
        <f>VLOOKUP($A102,'Data Vlaue (Cr)'!$C:$FB,99)</f>
        <v>3264</v>
      </c>
      <c r="I102" s="75">
        <f>VLOOKUP($A102,'Data Vlaue (Cr)'!$C:$FB,100)</f>
        <v>3536</v>
      </c>
      <c r="J102" s="75">
        <f t="shared" si="8"/>
        <v>-272</v>
      </c>
      <c r="K102" s="75">
        <f t="shared" si="9"/>
        <v>-8.3333333333333321</v>
      </c>
      <c r="L102" s="75">
        <f>VLOOKUP($A102,'Data Vlaue (Cr)'!$C:$FB,67)</f>
        <v>3393</v>
      </c>
      <c r="M102" s="75">
        <f>VLOOKUP($A102,'Data Vlaue (Cr)'!$C:$FB,68)</f>
        <v>2688</v>
      </c>
      <c r="N102" s="75">
        <f t="shared" si="10"/>
        <v>705</v>
      </c>
      <c r="O102" s="75">
        <f t="shared" si="11"/>
        <v>20.778072502210435</v>
      </c>
      <c r="P102" s="75">
        <f>VLOOKUP($A102,'Data Vlaue (Cr)'!$C:$FB,119)</f>
        <v>0.76</v>
      </c>
      <c r="Q102" s="75">
        <f>VLOOKUP($A102,'Data Vlaue (Cr)'!$C:$FB,122)*100</f>
        <v>26.669999999999998</v>
      </c>
      <c r="R102" s="75">
        <f>VLOOKUP($A102,'Data Vlaue (Cr)'!$C:$FB,125)</f>
        <v>0.62</v>
      </c>
      <c r="S102" s="75">
        <f>VLOOKUP($A102,'Data Vlaue (Cr)'!$C:$FB,128)*100</f>
        <v>24</v>
      </c>
    </row>
    <row r="103" spans="1:19" x14ac:dyDescent="0.25">
      <c r="A103" s="96" t="str">
        <f>'Data Vlaue (Cr)'!C94</f>
        <v>INDIANB</v>
      </c>
      <c r="B103" s="75">
        <f>VLOOKUP($A103,'Data Vlaue (Cr)'!$C:$FB,2)</f>
        <v>1000</v>
      </c>
      <c r="C103" s="75">
        <f>VLOOKUP($A103,'Data Vlaue (Cr)'!$C:$FB,8)</f>
        <v>825.85</v>
      </c>
      <c r="D103" s="75">
        <f>VLOOKUP($A103,'Data Vlaue (Cr)'!$C:$FB,4)</f>
        <v>829.9</v>
      </c>
      <c r="E103" s="75">
        <f>VLOOKUP($A103,'Data Vlaue (Cr)'!$C:$FB,5)</f>
        <v>820.05</v>
      </c>
      <c r="F103" s="75">
        <f t="shared" si="6"/>
        <v>4.0499999999999545</v>
      </c>
      <c r="G103" s="75">
        <f t="shared" si="7"/>
        <v>1.1868899867453937</v>
      </c>
      <c r="H103" s="75">
        <f>VLOOKUP($A103,'Data Vlaue (Cr)'!$C:$FB,99)</f>
        <v>1466</v>
      </c>
      <c r="I103" s="75">
        <f>VLOOKUP($A103,'Data Vlaue (Cr)'!$C:$FB,100)</f>
        <v>1511</v>
      </c>
      <c r="J103" s="75">
        <f t="shared" si="8"/>
        <v>-45</v>
      </c>
      <c r="K103" s="75">
        <f t="shared" si="9"/>
        <v>-3.0695770804911322</v>
      </c>
      <c r="L103" s="75">
        <f>VLOOKUP($A103,'Data Vlaue (Cr)'!$C:$FB,67)</f>
        <v>1720</v>
      </c>
      <c r="M103" s="75">
        <f>VLOOKUP($A103,'Data Vlaue (Cr)'!$C:$FB,68)</f>
        <v>1941</v>
      </c>
      <c r="N103" s="75">
        <f t="shared" si="10"/>
        <v>-221</v>
      </c>
      <c r="O103" s="75">
        <f t="shared" si="11"/>
        <v>-12.848837209302324</v>
      </c>
      <c r="P103" s="75">
        <f>VLOOKUP($A103,'Data Vlaue (Cr)'!$C:$FB,119)</f>
        <v>1.19</v>
      </c>
      <c r="Q103" s="75">
        <f>VLOOKUP($A103,'Data Vlaue (Cr)'!$C:$FB,122)*100</f>
        <v>8.18</v>
      </c>
      <c r="R103" s="75">
        <f>VLOOKUP($A103,'Data Vlaue (Cr)'!$C:$FB,125)</f>
        <v>0.61</v>
      </c>
      <c r="S103" s="75">
        <f>VLOOKUP($A103,'Data Vlaue (Cr)'!$C:$FB,128)*100</f>
        <v>-4.6899999999999995</v>
      </c>
    </row>
    <row r="104" spans="1:19" x14ac:dyDescent="0.25">
      <c r="A104" s="96" t="str">
        <f>'Data Vlaue (Cr)'!C95</f>
        <v>INDIAVIX</v>
      </c>
      <c r="B104" s="75">
        <f>VLOOKUP($A104,'Data Vlaue (Cr)'!$C:$FB,2)</f>
        <v>1</v>
      </c>
      <c r="C104" s="75">
        <f>VLOOKUP($A104,'Data Vlaue (Cr)'!$C:$FB,8)</f>
        <v>11.86</v>
      </c>
      <c r="D104" s="75">
        <f>VLOOKUP($A104,'Data Vlaue (Cr)'!$C:$FB,4)</f>
        <v>11.86</v>
      </c>
      <c r="E104" s="75">
        <f>VLOOKUP($A104,'Data Vlaue (Cr)'!$C:$FB,5)</f>
        <v>11.59</v>
      </c>
      <c r="F104" s="75">
        <f t="shared" si="6"/>
        <v>0</v>
      </c>
      <c r="G104" s="75">
        <f t="shared" si="7"/>
        <v>2.2765598650927452</v>
      </c>
      <c r="H104" s="75">
        <f>VLOOKUP($A104,'Data Vlaue (Cr)'!$C:$FB,99)</f>
        <v>0</v>
      </c>
      <c r="I104" s="75">
        <f>VLOOKUP($A104,'Data Vlaue (Cr)'!$C:$FB,100)</f>
        <v>0</v>
      </c>
      <c r="J104" s="75">
        <f t="shared" si="8"/>
        <v>0</v>
      </c>
      <c r="K104" s="75" t="e">
        <f t="shared" si="9"/>
        <v>#DIV/0!</v>
      </c>
      <c r="L104" s="75">
        <f>VLOOKUP($A104,'Data Vlaue (Cr)'!$C:$FB,67)</f>
        <v>0</v>
      </c>
      <c r="M104" s="75">
        <f>VLOOKUP($A104,'Data Vlaue (Cr)'!$C:$FB,68)</f>
        <v>0</v>
      </c>
      <c r="N104" s="75">
        <f t="shared" si="10"/>
        <v>0</v>
      </c>
      <c r="O104" s="75" t="e">
        <f t="shared" si="11"/>
        <v>#DIV/0!</v>
      </c>
      <c r="P104" s="75">
        <f>VLOOKUP($A104,'Data Vlaue (Cr)'!$C:$FB,119)</f>
        <v>0</v>
      </c>
      <c r="Q104" s="75">
        <f>VLOOKUP($A104,'Data Vlaue (Cr)'!$C:$FB,122)*100</f>
        <v>0</v>
      </c>
      <c r="R104" s="75">
        <f>VLOOKUP($A104,'Data Vlaue (Cr)'!$C:$FB,125)</f>
        <v>0</v>
      </c>
      <c r="S104" s="75">
        <f>VLOOKUP($A104,'Data Vlaue (Cr)'!$C:$FB,128)*100</f>
        <v>0</v>
      </c>
    </row>
    <row r="105" spans="1:19" x14ac:dyDescent="0.25">
      <c r="A105" s="96" t="str">
        <f>'Data Vlaue (Cr)'!C96</f>
        <v>INDIGO</v>
      </c>
      <c r="B105" s="75">
        <f>VLOOKUP($A105,'Data Vlaue (Cr)'!$C:$FB,2)</f>
        <v>150</v>
      </c>
      <c r="C105" s="75">
        <f>VLOOKUP($A105,'Data Vlaue (Cr)'!$C:$FB,8)</f>
        <v>5835</v>
      </c>
      <c r="D105" s="75">
        <f>VLOOKUP($A105,'Data Vlaue (Cr)'!$C:$FB,4)</f>
        <v>5836.5</v>
      </c>
      <c r="E105" s="75">
        <f>VLOOKUP($A105,'Data Vlaue (Cr)'!$C:$FB,5)</f>
        <v>5765</v>
      </c>
      <c r="F105" s="75">
        <f t="shared" si="6"/>
        <v>1.5</v>
      </c>
      <c r="G105" s="75">
        <f t="shared" si="7"/>
        <v>1.2250492589737001</v>
      </c>
      <c r="H105" s="75">
        <f>VLOOKUP($A105,'Data Vlaue (Cr)'!$C:$FB,99)</f>
        <v>6778</v>
      </c>
      <c r="I105" s="75">
        <f>VLOOKUP($A105,'Data Vlaue (Cr)'!$C:$FB,100)</f>
        <v>6861</v>
      </c>
      <c r="J105" s="75">
        <f t="shared" si="8"/>
        <v>-83</v>
      </c>
      <c r="K105" s="75">
        <f t="shared" si="9"/>
        <v>-1.2245500147536146</v>
      </c>
      <c r="L105" s="75">
        <f>VLOOKUP($A105,'Data Vlaue (Cr)'!$C:$FB,67)</f>
        <v>8637</v>
      </c>
      <c r="M105" s="75">
        <f>VLOOKUP($A105,'Data Vlaue (Cr)'!$C:$FB,68)</f>
        <v>8869</v>
      </c>
      <c r="N105" s="75">
        <f t="shared" si="10"/>
        <v>-232</v>
      </c>
      <c r="O105" s="75">
        <f t="shared" si="11"/>
        <v>-2.6861178649994208</v>
      </c>
      <c r="P105" s="75">
        <f>VLOOKUP($A105,'Data Vlaue (Cr)'!$C:$FB,119)</f>
        <v>0.91</v>
      </c>
      <c r="Q105" s="75">
        <f>VLOOKUP($A105,'Data Vlaue (Cr)'!$C:$FB,122)*100</f>
        <v>18.18</v>
      </c>
      <c r="R105" s="75">
        <f>VLOOKUP($A105,'Data Vlaue (Cr)'!$C:$FB,125)</f>
        <v>0.73</v>
      </c>
      <c r="S105" s="75">
        <f>VLOOKUP($A105,'Data Vlaue (Cr)'!$C:$FB,128)*100</f>
        <v>14.06</v>
      </c>
    </row>
    <row r="106" spans="1:19" x14ac:dyDescent="0.25">
      <c r="A106" s="96" t="str">
        <f>'Data Vlaue (Cr)'!C97</f>
        <v>INDUSINDBK</v>
      </c>
      <c r="B106" s="75">
        <f>VLOOKUP($A106,'Data Vlaue (Cr)'!$C:$FB,2)</f>
        <v>700</v>
      </c>
      <c r="C106" s="75">
        <f>VLOOKUP($A106,'Data Vlaue (Cr)'!$C:$FB,8)</f>
        <v>770.05</v>
      </c>
      <c r="D106" s="75">
        <f>VLOOKUP($A106,'Data Vlaue (Cr)'!$C:$FB,4)</f>
        <v>770</v>
      </c>
      <c r="E106" s="75">
        <f>VLOOKUP($A106,'Data Vlaue (Cr)'!$C:$FB,5)</f>
        <v>754.4</v>
      </c>
      <c r="F106" s="75">
        <f t="shared" si="6"/>
        <v>-4.9999999999954525E-2</v>
      </c>
      <c r="G106" s="75">
        <f t="shared" si="7"/>
        <v>2.0259740259740289</v>
      </c>
      <c r="H106" s="75">
        <f>VLOOKUP($A106,'Data Vlaue (Cr)'!$C:$FB,99)</f>
        <v>7151</v>
      </c>
      <c r="I106" s="75">
        <f>VLOOKUP($A106,'Data Vlaue (Cr)'!$C:$FB,100)</f>
        <v>7132</v>
      </c>
      <c r="J106" s="75">
        <f t="shared" si="8"/>
        <v>19</v>
      </c>
      <c r="K106" s="75">
        <f t="shared" si="9"/>
        <v>0.26569710529995805</v>
      </c>
      <c r="L106" s="75">
        <f>VLOOKUP($A106,'Data Vlaue (Cr)'!$C:$FB,67)</f>
        <v>6252</v>
      </c>
      <c r="M106" s="75">
        <f>VLOOKUP($A106,'Data Vlaue (Cr)'!$C:$FB,68)</f>
        <v>4809</v>
      </c>
      <c r="N106" s="75">
        <f t="shared" si="10"/>
        <v>1443</v>
      </c>
      <c r="O106" s="75">
        <f t="shared" si="11"/>
        <v>23.080614203454893</v>
      </c>
      <c r="P106" s="75">
        <f>VLOOKUP($A106,'Data Vlaue (Cr)'!$C:$FB,119)</f>
        <v>0.8</v>
      </c>
      <c r="Q106" s="75">
        <f>VLOOKUP($A106,'Data Vlaue (Cr)'!$C:$FB,122)*100</f>
        <v>9.59</v>
      </c>
      <c r="R106" s="75">
        <f>VLOOKUP($A106,'Data Vlaue (Cr)'!$C:$FB,125)</f>
        <v>0.6</v>
      </c>
      <c r="S106" s="75">
        <f>VLOOKUP($A106,'Data Vlaue (Cr)'!$C:$FB,128)*100</f>
        <v>-17.810000000000002</v>
      </c>
    </row>
    <row r="107" spans="1:19" x14ac:dyDescent="0.25">
      <c r="A107" s="96" t="str">
        <f>'Data Vlaue (Cr)'!C98</f>
        <v>INDUSTOWER</v>
      </c>
      <c r="B107" s="75">
        <f>VLOOKUP($A107,'Data Vlaue (Cr)'!$C:$FB,2)</f>
        <v>1700</v>
      </c>
      <c r="C107" s="75">
        <f>VLOOKUP($A107,'Data Vlaue (Cr)'!$C:$FB,8)</f>
        <v>371.3</v>
      </c>
      <c r="D107" s="75">
        <f>VLOOKUP($A107,'Data Vlaue (Cr)'!$C:$FB,4)</f>
        <v>372.05</v>
      </c>
      <c r="E107" s="75">
        <f>VLOOKUP($A107,'Data Vlaue (Cr)'!$C:$FB,5)</f>
        <v>362.2</v>
      </c>
      <c r="F107" s="75">
        <f t="shared" si="6"/>
        <v>0.75</v>
      </c>
      <c r="G107" s="75">
        <f t="shared" si="7"/>
        <v>2.6474936164494078</v>
      </c>
      <c r="H107" s="75">
        <f>VLOOKUP($A107,'Data Vlaue (Cr)'!$C:$FB,99)</f>
        <v>5750</v>
      </c>
      <c r="I107" s="75">
        <f>VLOOKUP($A107,'Data Vlaue (Cr)'!$C:$FB,100)</f>
        <v>4907</v>
      </c>
      <c r="J107" s="75">
        <f t="shared" si="8"/>
        <v>843</v>
      </c>
      <c r="K107" s="75">
        <f t="shared" si="9"/>
        <v>14.660869565217391</v>
      </c>
      <c r="L107" s="75">
        <f>VLOOKUP($A107,'Data Vlaue (Cr)'!$C:$FB,67)</f>
        <v>14561</v>
      </c>
      <c r="M107" s="75">
        <f>VLOOKUP($A107,'Data Vlaue (Cr)'!$C:$FB,68)</f>
        <v>3550</v>
      </c>
      <c r="N107" s="75">
        <f t="shared" si="10"/>
        <v>11011</v>
      </c>
      <c r="O107" s="75">
        <f t="shared" si="11"/>
        <v>75.619806331982701</v>
      </c>
      <c r="P107" s="75">
        <f>VLOOKUP($A107,'Data Vlaue (Cr)'!$C:$FB,119)</f>
        <v>0.78</v>
      </c>
      <c r="Q107" s="75">
        <f>VLOOKUP($A107,'Data Vlaue (Cr)'!$C:$FB,122)*100</f>
        <v>8.33</v>
      </c>
      <c r="R107" s="75">
        <f>VLOOKUP($A107,'Data Vlaue (Cr)'!$C:$FB,125)</f>
        <v>0.44</v>
      </c>
      <c r="S107" s="75">
        <f>VLOOKUP($A107,'Data Vlaue (Cr)'!$C:$FB,128)*100</f>
        <v>12.82</v>
      </c>
    </row>
    <row r="108" spans="1:19" x14ac:dyDescent="0.25">
      <c r="A108" s="96" t="str">
        <f>'Data Vlaue (Cr)'!C99</f>
        <v>INFY</v>
      </c>
      <c r="B108" s="75">
        <f>VLOOKUP($A108,'Data Vlaue (Cr)'!$C:$FB,2)</f>
        <v>400</v>
      </c>
      <c r="C108" s="75">
        <f>VLOOKUP($A108,'Data Vlaue (Cr)'!$C:$FB,8)</f>
        <v>1504.5</v>
      </c>
      <c r="D108" s="75">
        <f>VLOOKUP($A108,'Data Vlaue (Cr)'!$C:$FB,4)</f>
        <v>1505.4</v>
      </c>
      <c r="E108" s="75">
        <f>VLOOKUP($A108,'Data Vlaue (Cr)'!$C:$FB,5)</f>
        <v>1501.3</v>
      </c>
      <c r="F108" s="75">
        <f t="shared" si="6"/>
        <v>0.90000000000009095</v>
      </c>
      <c r="G108" s="75">
        <f t="shared" si="7"/>
        <v>0.27235286302644718</v>
      </c>
      <c r="H108" s="75">
        <f>VLOOKUP($A108,'Data Vlaue (Cr)'!$C:$FB,99)</f>
        <v>19770</v>
      </c>
      <c r="I108" s="75">
        <f>VLOOKUP($A108,'Data Vlaue (Cr)'!$C:$FB,100)</f>
        <v>20536</v>
      </c>
      <c r="J108" s="75">
        <f t="shared" si="8"/>
        <v>-766</v>
      </c>
      <c r="K108" s="75">
        <f t="shared" si="9"/>
        <v>-3.8745574102175011</v>
      </c>
      <c r="L108" s="75">
        <f>VLOOKUP($A108,'Data Vlaue (Cr)'!$C:$FB,67)</f>
        <v>18535</v>
      </c>
      <c r="M108" s="75">
        <f>VLOOKUP($A108,'Data Vlaue (Cr)'!$C:$FB,68)</f>
        <v>23199</v>
      </c>
      <c r="N108" s="75">
        <f t="shared" si="10"/>
        <v>-4664</v>
      </c>
      <c r="O108" s="75">
        <f t="shared" si="11"/>
        <v>-25.163204747774483</v>
      </c>
      <c r="P108" s="75">
        <f>VLOOKUP($A108,'Data Vlaue (Cr)'!$C:$FB,119)</f>
        <v>0.42</v>
      </c>
      <c r="Q108" s="75">
        <f>VLOOKUP($A108,'Data Vlaue (Cr)'!$C:$FB,122)*100</f>
        <v>-2.33</v>
      </c>
      <c r="R108" s="75">
        <f>VLOOKUP($A108,'Data Vlaue (Cr)'!$C:$FB,125)</f>
        <v>0.44</v>
      </c>
      <c r="S108" s="75">
        <f>VLOOKUP($A108,'Data Vlaue (Cr)'!$C:$FB,128)*100</f>
        <v>0</v>
      </c>
    </row>
    <row r="109" spans="1:19" x14ac:dyDescent="0.25">
      <c r="A109" s="96" t="str">
        <f>'Data Vlaue (Cr)'!C100</f>
        <v>INOXWIND</v>
      </c>
      <c r="B109" s="75">
        <f>VLOOKUP($A109,'Data Vlaue (Cr)'!$C:$FB,2)</f>
        <v>3272</v>
      </c>
      <c r="C109" s="75">
        <f>VLOOKUP($A109,'Data Vlaue (Cr)'!$C:$FB,8)</f>
        <v>153.1</v>
      </c>
      <c r="D109" s="75">
        <f>VLOOKUP($A109,'Data Vlaue (Cr)'!$C:$FB,4)</f>
        <v>153.22</v>
      </c>
      <c r="E109" s="75">
        <f>VLOOKUP($A109,'Data Vlaue (Cr)'!$C:$FB,5)</f>
        <v>153.85</v>
      </c>
      <c r="F109" s="75">
        <f t="shared" si="6"/>
        <v>0.12000000000000455</v>
      </c>
      <c r="G109" s="75">
        <f t="shared" si="7"/>
        <v>-0.41117347604751042</v>
      </c>
      <c r="H109" s="75">
        <f>VLOOKUP($A109,'Data Vlaue (Cr)'!$C:$FB,99)</f>
        <v>1385</v>
      </c>
      <c r="I109" s="75">
        <f>VLOOKUP($A109,'Data Vlaue (Cr)'!$C:$FB,100)</f>
        <v>1427</v>
      </c>
      <c r="J109" s="75">
        <f t="shared" si="8"/>
        <v>-42</v>
      </c>
      <c r="K109" s="75">
        <f t="shared" si="9"/>
        <v>-3.0324909747292419</v>
      </c>
      <c r="L109" s="75">
        <f>VLOOKUP($A109,'Data Vlaue (Cr)'!$C:$FB,67)</f>
        <v>932</v>
      </c>
      <c r="M109" s="75">
        <f>VLOOKUP($A109,'Data Vlaue (Cr)'!$C:$FB,68)</f>
        <v>1934</v>
      </c>
      <c r="N109" s="75">
        <f t="shared" si="10"/>
        <v>-1002</v>
      </c>
      <c r="O109" s="75">
        <f t="shared" si="11"/>
        <v>-107.51072961373391</v>
      </c>
      <c r="P109" s="75">
        <f>VLOOKUP($A109,'Data Vlaue (Cr)'!$C:$FB,119)</f>
        <v>0.6</v>
      </c>
      <c r="Q109" s="75">
        <f>VLOOKUP($A109,'Data Vlaue (Cr)'!$C:$FB,122)*100</f>
        <v>3.45</v>
      </c>
      <c r="R109" s="75">
        <f>VLOOKUP($A109,'Data Vlaue (Cr)'!$C:$FB,125)</f>
        <v>0.33</v>
      </c>
      <c r="S109" s="75">
        <f>VLOOKUP($A109,'Data Vlaue (Cr)'!$C:$FB,128)*100</f>
        <v>-23.26</v>
      </c>
    </row>
    <row r="110" spans="1:19" x14ac:dyDescent="0.25">
      <c r="A110" s="96" t="str">
        <f>'Data Vlaue (Cr)'!C101</f>
        <v>IOC</v>
      </c>
      <c r="B110" s="75">
        <f>VLOOKUP($A110,'Data Vlaue (Cr)'!$C:$FB,2)</f>
        <v>4875</v>
      </c>
      <c r="C110" s="75">
        <f>VLOOKUP($A110,'Data Vlaue (Cr)'!$C:$FB,8)</f>
        <v>155.19999999999999</v>
      </c>
      <c r="D110" s="75">
        <f>VLOOKUP($A110,'Data Vlaue (Cr)'!$C:$FB,4)</f>
        <v>155.16</v>
      </c>
      <c r="E110" s="75">
        <f>VLOOKUP($A110,'Data Vlaue (Cr)'!$C:$FB,5)</f>
        <v>150.37</v>
      </c>
      <c r="F110" s="75">
        <f t="shared" si="6"/>
        <v>-3.9999999999992042E-2</v>
      </c>
      <c r="G110" s="75">
        <f t="shared" si="7"/>
        <v>3.0871358597576646</v>
      </c>
      <c r="H110" s="75">
        <f>VLOOKUP($A110,'Data Vlaue (Cr)'!$C:$FB,99)</f>
        <v>3630</v>
      </c>
      <c r="I110" s="75">
        <f>VLOOKUP($A110,'Data Vlaue (Cr)'!$C:$FB,100)</f>
        <v>3440</v>
      </c>
      <c r="J110" s="75">
        <f t="shared" si="8"/>
        <v>190</v>
      </c>
      <c r="K110" s="75">
        <f t="shared" si="9"/>
        <v>5.2341597796143251</v>
      </c>
      <c r="L110" s="75">
        <f>VLOOKUP($A110,'Data Vlaue (Cr)'!$C:$FB,67)</f>
        <v>4889</v>
      </c>
      <c r="M110" s="75">
        <f>VLOOKUP($A110,'Data Vlaue (Cr)'!$C:$FB,68)</f>
        <v>2917</v>
      </c>
      <c r="N110" s="75">
        <f t="shared" si="10"/>
        <v>1972</v>
      </c>
      <c r="O110" s="75">
        <f t="shared" si="11"/>
        <v>40.335446921660875</v>
      </c>
      <c r="P110" s="75">
        <f>VLOOKUP($A110,'Data Vlaue (Cr)'!$C:$FB,119)</f>
        <v>0.69</v>
      </c>
      <c r="Q110" s="75">
        <f>VLOOKUP($A110,'Data Vlaue (Cr)'!$C:$FB,122)*100</f>
        <v>1.47</v>
      </c>
      <c r="R110" s="75">
        <f>VLOOKUP($A110,'Data Vlaue (Cr)'!$C:$FB,125)</f>
        <v>0.38</v>
      </c>
      <c r="S110" s="75">
        <f>VLOOKUP($A110,'Data Vlaue (Cr)'!$C:$FB,128)*100</f>
        <v>-26.919999999999998</v>
      </c>
    </row>
    <row r="111" spans="1:19" x14ac:dyDescent="0.25">
      <c r="A111" s="96" t="str">
        <f>'Data Vlaue (Cr)'!C102</f>
        <v>IRCTC</v>
      </c>
      <c r="B111" s="75">
        <f>VLOOKUP($A111,'Data Vlaue (Cr)'!$C:$FB,2)</f>
        <v>875</v>
      </c>
      <c r="C111" s="75">
        <f>VLOOKUP($A111,'Data Vlaue (Cr)'!$C:$FB,8)</f>
        <v>724.1</v>
      </c>
      <c r="D111" s="75">
        <f>VLOOKUP($A111,'Data Vlaue (Cr)'!$C:$FB,4)</f>
        <v>723.35</v>
      </c>
      <c r="E111" s="75">
        <f>VLOOKUP($A111,'Data Vlaue (Cr)'!$C:$FB,5)</f>
        <v>716.55</v>
      </c>
      <c r="F111" s="75">
        <f t="shared" si="6"/>
        <v>-0.75</v>
      </c>
      <c r="G111" s="75">
        <f t="shared" si="7"/>
        <v>0.94007050528790592</v>
      </c>
      <c r="H111" s="75">
        <f>VLOOKUP($A111,'Data Vlaue (Cr)'!$C:$FB,99)</f>
        <v>2210</v>
      </c>
      <c r="I111" s="75">
        <f>VLOOKUP($A111,'Data Vlaue (Cr)'!$C:$FB,100)</f>
        <v>2200</v>
      </c>
      <c r="J111" s="75">
        <f t="shared" si="8"/>
        <v>10</v>
      </c>
      <c r="K111" s="75">
        <f t="shared" si="9"/>
        <v>0.45248868778280549</v>
      </c>
      <c r="L111" s="75">
        <f>VLOOKUP($A111,'Data Vlaue (Cr)'!$C:$FB,67)</f>
        <v>1597</v>
      </c>
      <c r="M111" s="75">
        <f>VLOOKUP($A111,'Data Vlaue (Cr)'!$C:$FB,68)</f>
        <v>2636</v>
      </c>
      <c r="N111" s="75">
        <f t="shared" si="10"/>
        <v>-1039</v>
      </c>
      <c r="O111" s="75">
        <f t="shared" si="11"/>
        <v>-65.059486537257357</v>
      </c>
      <c r="P111" s="75">
        <f>VLOOKUP($A111,'Data Vlaue (Cr)'!$C:$FB,119)</f>
        <v>0.6</v>
      </c>
      <c r="Q111" s="75">
        <f>VLOOKUP($A111,'Data Vlaue (Cr)'!$C:$FB,122)*100</f>
        <v>7.1400000000000006</v>
      </c>
      <c r="R111" s="75">
        <f>VLOOKUP($A111,'Data Vlaue (Cr)'!$C:$FB,125)</f>
        <v>0.47</v>
      </c>
      <c r="S111" s="75">
        <f>VLOOKUP($A111,'Data Vlaue (Cr)'!$C:$FB,128)*100</f>
        <v>62.07</v>
      </c>
    </row>
    <row r="112" spans="1:19" x14ac:dyDescent="0.25">
      <c r="A112" s="96" t="str">
        <f>'Data Vlaue (Cr)'!C103</f>
        <v>IREDA</v>
      </c>
      <c r="B112" s="75">
        <f>VLOOKUP($A112,'Data Vlaue (Cr)'!$C:$FB,2)</f>
        <v>3450</v>
      </c>
      <c r="C112" s="75">
        <f>VLOOKUP($A112,'Data Vlaue (Cr)'!$C:$FB,8)</f>
        <v>153.37</v>
      </c>
      <c r="D112" s="75">
        <f>VLOOKUP($A112,'Data Vlaue (Cr)'!$C:$FB,4)</f>
        <v>153.79</v>
      </c>
      <c r="E112" s="75">
        <f>VLOOKUP($A112,'Data Vlaue (Cr)'!$C:$FB,5)</f>
        <v>153.86000000000001</v>
      </c>
      <c r="F112" s="75">
        <f t="shared" si="6"/>
        <v>0.41999999999998749</v>
      </c>
      <c r="G112" s="75">
        <f t="shared" si="7"/>
        <v>-4.5516613563964886E-2</v>
      </c>
      <c r="H112" s="75">
        <f>VLOOKUP($A112,'Data Vlaue (Cr)'!$C:$FB,99)</f>
        <v>1354</v>
      </c>
      <c r="I112" s="75">
        <f>VLOOKUP($A112,'Data Vlaue (Cr)'!$C:$FB,100)</f>
        <v>1517</v>
      </c>
      <c r="J112" s="75">
        <f t="shared" si="8"/>
        <v>-163</v>
      </c>
      <c r="K112" s="75">
        <f t="shared" si="9"/>
        <v>-12.038404726735598</v>
      </c>
      <c r="L112" s="75">
        <f>VLOOKUP($A112,'Data Vlaue (Cr)'!$C:$FB,67)</f>
        <v>1308</v>
      </c>
      <c r="M112" s="75">
        <f>VLOOKUP($A112,'Data Vlaue (Cr)'!$C:$FB,68)</f>
        <v>1303</v>
      </c>
      <c r="N112" s="75">
        <f t="shared" si="10"/>
        <v>5</v>
      </c>
      <c r="O112" s="75">
        <f t="shared" si="11"/>
        <v>0.38226299694189603</v>
      </c>
      <c r="P112" s="75">
        <f>VLOOKUP($A112,'Data Vlaue (Cr)'!$C:$FB,119)</f>
        <v>0.52</v>
      </c>
      <c r="Q112" s="75">
        <f>VLOOKUP($A112,'Data Vlaue (Cr)'!$C:$FB,122)*100</f>
        <v>10.639999999999999</v>
      </c>
      <c r="R112" s="75">
        <f>VLOOKUP($A112,'Data Vlaue (Cr)'!$C:$FB,125)</f>
        <v>0.34</v>
      </c>
      <c r="S112" s="75">
        <f>VLOOKUP($A112,'Data Vlaue (Cr)'!$C:$FB,128)*100</f>
        <v>0</v>
      </c>
    </row>
    <row r="113" spans="1:19" x14ac:dyDescent="0.25">
      <c r="A113" s="96" t="str">
        <f>'Data Vlaue (Cr)'!C104</f>
        <v>IRFC</v>
      </c>
      <c r="B113" s="75">
        <f>VLOOKUP($A113,'Data Vlaue (Cr)'!$C:$FB,2)</f>
        <v>4250</v>
      </c>
      <c r="C113" s="75">
        <f>VLOOKUP($A113,'Data Vlaue (Cr)'!$C:$FB,8)</f>
        <v>123.45</v>
      </c>
      <c r="D113" s="75">
        <f>VLOOKUP($A113,'Data Vlaue (Cr)'!$C:$FB,4)</f>
        <v>123.66</v>
      </c>
      <c r="E113" s="75">
        <f>VLOOKUP($A113,'Data Vlaue (Cr)'!$C:$FB,5)</f>
        <v>123.62</v>
      </c>
      <c r="F113" s="75">
        <f t="shared" si="6"/>
        <v>0.20999999999999375</v>
      </c>
      <c r="G113" s="75">
        <f t="shared" si="7"/>
        <v>3.2346757237580501E-2</v>
      </c>
      <c r="H113" s="75">
        <f>VLOOKUP($A113,'Data Vlaue (Cr)'!$C:$FB,99)</f>
        <v>1223</v>
      </c>
      <c r="I113" s="75">
        <f>VLOOKUP($A113,'Data Vlaue (Cr)'!$C:$FB,100)</f>
        <v>1252</v>
      </c>
      <c r="J113" s="75">
        <f t="shared" si="8"/>
        <v>-29</v>
      </c>
      <c r="K113" s="75">
        <f t="shared" si="9"/>
        <v>-2.3712183156173343</v>
      </c>
      <c r="L113" s="75">
        <f>VLOOKUP($A113,'Data Vlaue (Cr)'!$C:$FB,67)</f>
        <v>700</v>
      </c>
      <c r="M113" s="75">
        <f>VLOOKUP($A113,'Data Vlaue (Cr)'!$C:$FB,68)</f>
        <v>721</v>
      </c>
      <c r="N113" s="75">
        <f t="shared" si="10"/>
        <v>-21</v>
      </c>
      <c r="O113" s="75">
        <f t="shared" si="11"/>
        <v>-3</v>
      </c>
      <c r="P113" s="75">
        <f>VLOOKUP($A113,'Data Vlaue (Cr)'!$C:$FB,119)</f>
        <v>0.47</v>
      </c>
      <c r="Q113" s="75">
        <f>VLOOKUP($A113,'Data Vlaue (Cr)'!$C:$FB,122)*100</f>
        <v>2.17</v>
      </c>
      <c r="R113" s="75">
        <f>VLOOKUP($A113,'Data Vlaue (Cr)'!$C:$FB,125)</f>
        <v>0.56999999999999995</v>
      </c>
      <c r="S113" s="75">
        <f>VLOOKUP($A113,'Data Vlaue (Cr)'!$C:$FB,128)*100</f>
        <v>46.150000000000006</v>
      </c>
    </row>
    <row r="114" spans="1:19" x14ac:dyDescent="0.25">
      <c r="A114" s="96" t="str">
        <f>'Data Vlaue (Cr)'!C105</f>
        <v>ITC</v>
      </c>
      <c r="B114" s="75">
        <f>VLOOKUP($A114,'Data Vlaue (Cr)'!$C:$FB,2)</f>
        <v>1600</v>
      </c>
      <c r="C114" s="75">
        <f>VLOOKUP($A114,'Data Vlaue (Cr)'!$C:$FB,8)</f>
        <v>420.65</v>
      </c>
      <c r="D114" s="75">
        <f>VLOOKUP($A114,'Data Vlaue (Cr)'!$C:$FB,4)</f>
        <v>420.7</v>
      </c>
      <c r="E114" s="75">
        <f>VLOOKUP($A114,'Data Vlaue (Cr)'!$C:$FB,5)</f>
        <v>417.35</v>
      </c>
      <c r="F114" s="75">
        <f t="shared" si="6"/>
        <v>5.0000000000011369E-2</v>
      </c>
      <c r="G114" s="75">
        <f t="shared" si="7"/>
        <v>0.79629189446160353</v>
      </c>
      <c r="H114" s="75">
        <f>VLOOKUP($A114,'Data Vlaue (Cr)'!$C:$FB,99)</f>
        <v>9748</v>
      </c>
      <c r="I114" s="75">
        <f>VLOOKUP($A114,'Data Vlaue (Cr)'!$C:$FB,100)</f>
        <v>9652</v>
      </c>
      <c r="J114" s="75">
        <f t="shared" si="8"/>
        <v>96</v>
      </c>
      <c r="K114" s="75">
        <f t="shared" si="9"/>
        <v>0.98481739844070582</v>
      </c>
      <c r="L114" s="75">
        <f>VLOOKUP($A114,'Data Vlaue (Cr)'!$C:$FB,67)</f>
        <v>9998</v>
      </c>
      <c r="M114" s="75">
        <f>VLOOKUP($A114,'Data Vlaue (Cr)'!$C:$FB,68)</f>
        <v>7821</v>
      </c>
      <c r="N114" s="75">
        <f t="shared" si="10"/>
        <v>2177</v>
      </c>
      <c r="O114" s="75">
        <f t="shared" si="11"/>
        <v>21.774354870974193</v>
      </c>
      <c r="P114" s="75">
        <f>VLOOKUP($A114,'Data Vlaue (Cr)'!$C:$FB,119)</f>
        <v>0.9</v>
      </c>
      <c r="Q114" s="75">
        <f>VLOOKUP($A114,'Data Vlaue (Cr)'!$C:$FB,122)*100</f>
        <v>9.76</v>
      </c>
      <c r="R114" s="75">
        <f>VLOOKUP($A114,'Data Vlaue (Cr)'!$C:$FB,125)</f>
        <v>0.68</v>
      </c>
      <c r="S114" s="75">
        <f>VLOOKUP($A114,'Data Vlaue (Cr)'!$C:$FB,128)*100</f>
        <v>1.49</v>
      </c>
    </row>
    <row r="115" spans="1:19" x14ac:dyDescent="0.25">
      <c r="A115" s="96" t="str">
        <f>'Data Vlaue (Cr)'!C106</f>
        <v>JINDALSTEL</v>
      </c>
      <c r="B115" s="75">
        <f>VLOOKUP($A115,'Data Vlaue (Cr)'!$C:$FB,2)</f>
        <v>625</v>
      </c>
      <c r="C115" s="75">
        <f>VLOOKUP($A115,'Data Vlaue (Cr)'!$C:$FB,8)</f>
        <v>1034.3</v>
      </c>
      <c r="D115" s="75">
        <f>VLOOKUP($A115,'Data Vlaue (Cr)'!$C:$FB,4)</f>
        <v>1033.8</v>
      </c>
      <c r="E115" s="75">
        <f>VLOOKUP($A115,'Data Vlaue (Cr)'!$C:$FB,5)</f>
        <v>1007.5</v>
      </c>
      <c r="F115" s="75">
        <f t="shared" si="6"/>
        <v>-0.5</v>
      </c>
      <c r="G115" s="75">
        <f t="shared" si="7"/>
        <v>2.5440123815051221</v>
      </c>
      <c r="H115" s="75">
        <f>VLOOKUP($A115,'Data Vlaue (Cr)'!$C:$FB,99)</f>
        <v>2513</v>
      </c>
      <c r="I115" s="75">
        <f>VLOOKUP($A115,'Data Vlaue (Cr)'!$C:$FB,100)</f>
        <v>2679</v>
      </c>
      <c r="J115" s="75">
        <f t="shared" si="8"/>
        <v>-166</v>
      </c>
      <c r="K115" s="75">
        <f t="shared" si="9"/>
        <v>-6.6056506167926781</v>
      </c>
      <c r="L115" s="75">
        <f>VLOOKUP($A115,'Data Vlaue (Cr)'!$C:$FB,67)</f>
        <v>2959</v>
      </c>
      <c r="M115" s="75">
        <f>VLOOKUP($A115,'Data Vlaue (Cr)'!$C:$FB,68)</f>
        <v>2758</v>
      </c>
      <c r="N115" s="75">
        <f t="shared" si="10"/>
        <v>201</v>
      </c>
      <c r="O115" s="75">
        <f t="shared" si="11"/>
        <v>6.7928354173707337</v>
      </c>
      <c r="P115" s="75">
        <f>VLOOKUP($A115,'Data Vlaue (Cr)'!$C:$FB,119)</f>
        <v>0.6</v>
      </c>
      <c r="Q115" s="75">
        <f>VLOOKUP($A115,'Data Vlaue (Cr)'!$C:$FB,122)*100</f>
        <v>22.45</v>
      </c>
      <c r="R115" s="75">
        <f>VLOOKUP($A115,'Data Vlaue (Cr)'!$C:$FB,125)</f>
        <v>0.47</v>
      </c>
      <c r="S115" s="75">
        <f>VLOOKUP($A115,'Data Vlaue (Cr)'!$C:$FB,128)*100</f>
        <v>34.29</v>
      </c>
    </row>
    <row r="116" spans="1:19" x14ac:dyDescent="0.25">
      <c r="A116" s="96" t="str">
        <f>'Data Vlaue (Cr)'!C107</f>
        <v>JIOFIN</v>
      </c>
      <c r="B116" s="75">
        <f>VLOOKUP($A116,'Data Vlaue (Cr)'!$C:$FB,2)</f>
        <v>2350</v>
      </c>
      <c r="C116" s="75">
        <f>VLOOKUP($A116,'Data Vlaue (Cr)'!$C:$FB,8)</f>
        <v>305.55</v>
      </c>
      <c r="D116" s="75">
        <f>VLOOKUP($A116,'Data Vlaue (Cr)'!$C:$FB,4)</f>
        <v>305.85000000000002</v>
      </c>
      <c r="E116" s="75">
        <f>VLOOKUP($A116,'Data Vlaue (Cr)'!$C:$FB,5)</f>
        <v>305.75</v>
      </c>
      <c r="F116" s="75">
        <f t="shared" si="6"/>
        <v>0.30000000000001137</v>
      </c>
      <c r="G116" s="75">
        <f t="shared" si="7"/>
        <v>3.2695765898323598E-2</v>
      </c>
      <c r="H116" s="75">
        <f>VLOOKUP($A116,'Data Vlaue (Cr)'!$C:$FB,99)</f>
        <v>8380</v>
      </c>
      <c r="I116" s="75">
        <f>VLOOKUP($A116,'Data Vlaue (Cr)'!$C:$FB,100)</f>
        <v>8270</v>
      </c>
      <c r="J116" s="75">
        <f t="shared" si="8"/>
        <v>110</v>
      </c>
      <c r="K116" s="75">
        <f t="shared" si="9"/>
        <v>1.3126491646778042</v>
      </c>
      <c r="L116" s="75">
        <f>VLOOKUP($A116,'Data Vlaue (Cr)'!$C:$FB,67)</f>
        <v>5046</v>
      </c>
      <c r="M116" s="75">
        <f>VLOOKUP($A116,'Data Vlaue (Cr)'!$C:$FB,68)</f>
        <v>5509</v>
      </c>
      <c r="N116" s="75">
        <f t="shared" si="10"/>
        <v>-463</v>
      </c>
      <c r="O116" s="75">
        <f t="shared" si="11"/>
        <v>-9.1755846214823613</v>
      </c>
      <c r="P116" s="75">
        <f>VLOOKUP($A116,'Data Vlaue (Cr)'!$C:$FB,119)</f>
        <v>0.55000000000000004</v>
      </c>
      <c r="Q116" s="75">
        <f>VLOOKUP($A116,'Data Vlaue (Cr)'!$C:$FB,122)*100</f>
        <v>1.8499999999999999</v>
      </c>
      <c r="R116" s="75">
        <f>VLOOKUP($A116,'Data Vlaue (Cr)'!$C:$FB,125)</f>
        <v>0.52</v>
      </c>
      <c r="S116" s="75">
        <f>VLOOKUP($A116,'Data Vlaue (Cr)'!$C:$FB,128)*100</f>
        <v>23.810000000000002</v>
      </c>
    </row>
    <row r="117" spans="1:19" x14ac:dyDescent="0.25">
      <c r="A117" s="96" t="str">
        <f>'Data Vlaue (Cr)'!C108</f>
        <v>JSWENERGY</v>
      </c>
      <c r="B117" s="75">
        <f>VLOOKUP($A117,'Data Vlaue (Cr)'!$C:$FB,2)</f>
        <v>1000</v>
      </c>
      <c r="C117" s="75">
        <f>VLOOKUP($A117,'Data Vlaue (Cr)'!$C:$FB,8)</f>
        <v>529.35</v>
      </c>
      <c r="D117" s="75">
        <f>VLOOKUP($A117,'Data Vlaue (Cr)'!$C:$FB,4)</f>
        <v>529.75</v>
      </c>
      <c r="E117" s="75">
        <f>VLOOKUP($A117,'Data Vlaue (Cr)'!$C:$FB,5)</f>
        <v>530.65</v>
      </c>
      <c r="F117" s="75">
        <f t="shared" si="6"/>
        <v>0.39999999999997726</v>
      </c>
      <c r="G117" s="75">
        <f t="shared" si="7"/>
        <v>-0.16989145823501223</v>
      </c>
      <c r="H117" s="75">
        <f>VLOOKUP($A117,'Data Vlaue (Cr)'!$C:$FB,99)</f>
        <v>3062</v>
      </c>
      <c r="I117" s="75">
        <f>VLOOKUP($A117,'Data Vlaue (Cr)'!$C:$FB,100)</f>
        <v>2971</v>
      </c>
      <c r="J117" s="75">
        <f t="shared" si="8"/>
        <v>91</v>
      </c>
      <c r="K117" s="75">
        <f t="shared" si="9"/>
        <v>2.9719137818419337</v>
      </c>
      <c r="L117" s="75">
        <f>VLOOKUP($A117,'Data Vlaue (Cr)'!$C:$FB,67)</f>
        <v>2401</v>
      </c>
      <c r="M117" s="75">
        <f>VLOOKUP($A117,'Data Vlaue (Cr)'!$C:$FB,68)</f>
        <v>3232</v>
      </c>
      <c r="N117" s="75">
        <f t="shared" si="10"/>
        <v>-831</v>
      </c>
      <c r="O117" s="75">
        <f t="shared" si="11"/>
        <v>-34.610578925447733</v>
      </c>
      <c r="P117" s="75">
        <f>VLOOKUP($A117,'Data Vlaue (Cr)'!$C:$FB,119)</f>
        <v>0.37</v>
      </c>
      <c r="Q117" s="75">
        <f>VLOOKUP($A117,'Data Vlaue (Cr)'!$C:$FB,122)*100</f>
        <v>8.82</v>
      </c>
      <c r="R117" s="75">
        <f>VLOOKUP($A117,'Data Vlaue (Cr)'!$C:$FB,125)</f>
        <v>0.41</v>
      </c>
      <c r="S117" s="75">
        <f>VLOOKUP($A117,'Data Vlaue (Cr)'!$C:$FB,128)*100</f>
        <v>32.26</v>
      </c>
    </row>
    <row r="118" spans="1:19" x14ac:dyDescent="0.25">
      <c r="A118" s="96" t="str">
        <f>'Data Vlaue (Cr)'!C109</f>
        <v>JSWSTEEL</v>
      </c>
      <c r="B118" s="75">
        <f>VLOOKUP($A118,'Data Vlaue (Cr)'!$C:$FB,2)</f>
        <v>675</v>
      </c>
      <c r="C118" s="75">
        <f>VLOOKUP($A118,'Data Vlaue (Cr)'!$C:$FB,8)</f>
        <v>1150.5999999999999</v>
      </c>
      <c r="D118" s="75">
        <f>VLOOKUP($A118,'Data Vlaue (Cr)'!$C:$FB,4)</f>
        <v>1149.2</v>
      </c>
      <c r="E118" s="75">
        <f>VLOOKUP($A118,'Data Vlaue (Cr)'!$C:$FB,5)</f>
        <v>1142.4000000000001</v>
      </c>
      <c r="F118" s="75">
        <f t="shared" si="6"/>
        <v>-1.3999999999998636</v>
      </c>
      <c r="G118" s="75">
        <f t="shared" si="7"/>
        <v>0.59171597633135697</v>
      </c>
      <c r="H118" s="75">
        <f>VLOOKUP($A118,'Data Vlaue (Cr)'!$C:$FB,99)</f>
        <v>7190</v>
      </c>
      <c r="I118" s="75">
        <f>VLOOKUP($A118,'Data Vlaue (Cr)'!$C:$FB,100)</f>
        <v>7165</v>
      </c>
      <c r="J118" s="75">
        <f t="shared" si="8"/>
        <v>25</v>
      </c>
      <c r="K118" s="75">
        <f t="shared" si="9"/>
        <v>0.34770514603616137</v>
      </c>
      <c r="L118" s="75">
        <f>VLOOKUP($A118,'Data Vlaue (Cr)'!$C:$FB,67)</f>
        <v>4428</v>
      </c>
      <c r="M118" s="75">
        <f>VLOOKUP($A118,'Data Vlaue (Cr)'!$C:$FB,68)</f>
        <v>5479</v>
      </c>
      <c r="N118" s="75">
        <f t="shared" si="10"/>
        <v>-1051</v>
      </c>
      <c r="O118" s="75">
        <f t="shared" si="11"/>
        <v>-23.735320686540199</v>
      </c>
      <c r="P118" s="75">
        <f>VLOOKUP($A118,'Data Vlaue (Cr)'!$C:$FB,119)</f>
        <v>0.59</v>
      </c>
      <c r="Q118" s="75">
        <f>VLOOKUP($A118,'Data Vlaue (Cr)'!$C:$FB,122)*100</f>
        <v>5.36</v>
      </c>
      <c r="R118" s="75">
        <f>VLOOKUP($A118,'Data Vlaue (Cr)'!$C:$FB,125)</f>
        <v>0.52</v>
      </c>
      <c r="S118" s="75">
        <f>VLOOKUP($A118,'Data Vlaue (Cr)'!$C:$FB,128)*100</f>
        <v>1.96</v>
      </c>
    </row>
    <row r="119" spans="1:19" x14ac:dyDescent="0.25">
      <c r="A119" s="96" t="str">
        <f>'Data Vlaue (Cr)'!C110</f>
        <v>JUBLFOOD</v>
      </c>
      <c r="B119" s="75">
        <f>VLOOKUP($A119,'Data Vlaue (Cr)'!$C:$FB,2)</f>
        <v>1250</v>
      </c>
      <c r="C119" s="75">
        <f>VLOOKUP($A119,'Data Vlaue (Cr)'!$C:$FB,8)</f>
        <v>595.70000000000005</v>
      </c>
      <c r="D119" s="75">
        <f>VLOOKUP($A119,'Data Vlaue (Cr)'!$C:$FB,4)</f>
        <v>595.4</v>
      </c>
      <c r="E119" s="75">
        <f>VLOOKUP($A119,'Data Vlaue (Cr)'!$C:$FB,5)</f>
        <v>590.29999999999995</v>
      </c>
      <c r="F119" s="75">
        <f t="shared" si="6"/>
        <v>-0.30000000000006821</v>
      </c>
      <c r="G119" s="75">
        <f t="shared" si="7"/>
        <v>0.85656701377225775</v>
      </c>
      <c r="H119" s="75">
        <f>VLOOKUP($A119,'Data Vlaue (Cr)'!$C:$FB,99)</f>
        <v>2136</v>
      </c>
      <c r="I119" s="75">
        <f>VLOOKUP($A119,'Data Vlaue (Cr)'!$C:$FB,100)</f>
        <v>2290</v>
      </c>
      <c r="J119" s="75">
        <f t="shared" si="8"/>
        <v>-154</v>
      </c>
      <c r="K119" s="75">
        <f t="shared" si="9"/>
        <v>-7.2097378277153554</v>
      </c>
      <c r="L119" s="75">
        <f>VLOOKUP($A119,'Data Vlaue (Cr)'!$C:$FB,67)</f>
        <v>1768</v>
      </c>
      <c r="M119" s="75">
        <f>VLOOKUP($A119,'Data Vlaue (Cr)'!$C:$FB,68)</f>
        <v>1761</v>
      </c>
      <c r="N119" s="75">
        <f t="shared" si="10"/>
        <v>7</v>
      </c>
      <c r="O119" s="75">
        <f t="shared" si="11"/>
        <v>0.39592760180995473</v>
      </c>
      <c r="P119" s="75">
        <f>VLOOKUP($A119,'Data Vlaue (Cr)'!$C:$FB,119)</f>
        <v>0.59</v>
      </c>
      <c r="Q119" s="75">
        <f>VLOOKUP($A119,'Data Vlaue (Cr)'!$C:$FB,122)*100</f>
        <v>11.32</v>
      </c>
      <c r="R119" s="75">
        <f>VLOOKUP($A119,'Data Vlaue (Cr)'!$C:$FB,125)</f>
        <v>0.44</v>
      </c>
      <c r="S119" s="75">
        <f>VLOOKUP($A119,'Data Vlaue (Cr)'!$C:$FB,128)*100</f>
        <v>-12</v>
      </c>
    </row>
    <row r="120" spans="1:19" x14ac:dyDescent="0.25">
      <c r="A120" s="96" t="str">
        <f>'Data Vlaue (Cr)'!C111</f>
        <v>KALYANKJIL</v>
      </c>
      <c r="B120" s="75">
        <f>VLOOKUP($A120,'Data Vlaue (Cr)'!$C:$FB,2)</f>
        <v>1175</v>
      </c>
      <c r="C120" s="75">
        <f>VLOOKUP($A120,'Data Vlaue (Cr)'!$C:$FB,8)</f>
        <v>505.85</v>
      </c>
      <c r="D120" s="75">
        <f>VLOOKUP($A120,'Data Vlaue (Cr)'!$C:$FB,4)</f>
        <v>506.7</v>
      </c>
      <c r="E120" s="75">
        <f>VLOOKUP($A120,'Data Vlaue (Cr)'!$C:$FB,5)</f>
        <v>494.8</v>
      </c>
      <c r="F120" s="75">
        <f t="shared" si="6"/>
        <v>0.84999999999996589</v>
      </c>
      <c r="G120" s="75">
        <f t="shared" si="7"/>
        <v>2.3485297019932858</v>
      </c>
      <c r="H120" s="75">
        <f>VLOOKUP($A120,'Data Vlaue (Cr)'!$C:$FB,99)</f>
        <v>2427</v>
      </c>
      <c r="I120" s="75">
        <f>VLOOKUP($A120,'Data Vlaue (Cr)'!$C:$FB,100)</f>
        <v>2574</v>
      </c>
      <c r="J120" s="75">
        <f t="shared" si="8"/>
        <v>-147</v>
      </c>
      <c r="K120" s="75">
        <f t="shared" si="9"/>
        <v>-6.0568603213844252</v>
      </c>
      <c r="L120" s="75">
        <f>VLOOKUP($A120,'Data Vlaue (Cr)'!$C:$FB,67)</f>
        <v>2765</v>
      </c>
      <c r="M120" s="75">
        <f>VLOOKUP($A120,'Data Vlaue (Cr)'!$C:$FB,68)</f>
        <v>1969</v>
      </c>
      <c r="N120" s="75">
        <f t="shared" si="10"/>
        <v>796</v>
      </c>
      <c r="O120" s="75">
        <f t="shared" si="11"/>
        <v>28.788426763110309</v>
      </c>
      <c r="P120" s="75">
        <f>VLOOKUP($A120,'Data Vlaue (Cr)'!$C:$FB,119)</f>
        <v>0.75</v>
      </c>
      <c r="Q120" s="75">
        <f>VLOOKUP($A120,'Data Vlaue (Cr)'!$C:$FB,122)*100</f>
        <v>22.95</v>
      </c>
      <c r="R120" s="75">
        <f>VLOOKUP($A120,'Data Vlaue (Cr)'!$C:$FB,125)</f>
        <v>0.43</v>
      </c>
      <c r="S120" s="75">
        <f>VLOOKUP($A120,'Data Vlaue (Cr)'!$C:$FB,128)*100</f>
        <v>13.16</v>
      </c>
    </row>
    <row r="121" spans="1:19" x14ac:dyDescent="0.25">
      <c r="A121" s="96" t="str">
        <f>'Data Vlaue (Cr)'!C112</f>
        <v>KAYNES</v>
      </c>
      <c r="B121" s="75">
        <f>VLOOKUP($A121,'Data Vlaue (Cr)'!$C:$FB,2)</f>
        <v>100</v>
      </c>
      <c r="C121" s="75">
        <f>VLOOKUP($A121,'Data Vlaue (Cr)'!$C:$FB,8)</f>
        <v>6737.5</v>
      </c>
      <c r="D121" s="75">
        <f>VLOOKUP($A121,'Data Vlaue (Cr)'!$C:$FB,4)</f>
        <v>6733.5</v>
      </c>
      <c r="E121" s="75">
        <f>VLOOKUP($A121,'Data Vlaue (Cr)'!$C:$FB,5)</f>
        <v>6690</v>
      </c>
      <c r="F121" s="75">
        <f t="shared" si="6"/>
        <v>-4</v>
      </c>
      <c r="G121" s="75">
        <f t="shared" si="7"/>
        <v>0.64602361327689906</v>
      </c>
      <c r="H121" s="75">
        <f>VLOOKUP($A121,'Data Vlaue (Cr)'!$C:$FB,99)</f>
        <v>2456</v>
      </c>
      <c r="I121" s="75">
        <f>VLOOKUP($A121,'Data Vlaue (Cr)'!$C:$FB,100)</f>
        <v>2760</v>
      </c>
      <c r="J121" s="75">
        <f t="shared" si="8"/>
        <v>-304</v>
      </c>
      <c r="K121" s="75">
        <f t="shared" si="9"/>
        <v>-12.37785016286645</v>
      </c>
      <c r="L121" s="75">
        <f>VLOOKUP($A121,'Data Vlaue (Cr)'!$C:$FB,67)</f>
        <v>2707</v>
      </c>
      <c r="M121" s="75">
        <f>VLOOKUP($A121,'Data Vlaue (Cr)'!$C:$FB,68)</f>
        <v>3820</v>
      </c>
      <c r="N121" s="75">
        <f t="shared" si="10"/>
        <v>-1113</v>
      </c>
      <c r="O121" s="75">
        <f t="shared" si="11"/>
        <v>-41.115626154414478</v>
      </c>
      <c r="P121" s="75">
        <f>VLOOKUP($A121,'Data Vlaue (Cr)'!$C:$FB,119)</f>
        <v>0.41</v>
      </c>
      <c r="Q121" s="75">
        <f>VLOOKUP($A121,'Data Vlaue (Cr)'!$C:$FB,122)*100</f>
        <v>0</v>
      </c>
      <c r="R121" s="75">
        <f>VLOOKUP($A121,'Data Vlaue (Cr)'!$C:$FB,125)</f>
        <v>0.34</v>
      </c>
      <c r="S121" s="75">
        <f>VLOOKUP($A121,'Data Vlaue (Cr)'!$C:$FB,128)*100</f>
        <v>-5.56</v>
      </c>
    </row>
    <row r="122" spans="1:19" x14ac:dyDescent="0.25">
      <c r="A122" s="96" t="str">
        <f>'Data Vlaue (Cr)'!C113</f>
        <v>KEI</v>
      </c>
      <c r="B122" s="75">
        <f>VLOOKUP($A122,'Data Vlaue (Cr)'!$C:$FB,2)</f>
        <v>175</v>
      </c>
      <c r="C122" s="75">
        <f>VLOOKUP($A122,'Data Vlaue (Cr)'!$C:$FB,8)</f>
        <v>4084.8</v>
      </c>
      <c r="D122" s="75">
        <f>VLOOKUP($A122,'Data Vlaue (Cr)'!$C:$FB,4)</f>
        <v>4095.7</v>
      </c>
      <c r="E122" s="75">
        <f>VLOOKUP($A122,'Data Vlaue (Cr)'!$C:$FB,5)</f>
        <v>4138.8999999999996</v>
      </c>
      <c r="F122" s="75">
        <f t="shared" si="6"/>
        <v>10.899999999999636</v>
      </c>
      <c r="G122" s="75">
        <f t="shared" si="7"/>
        <v>-1.0547647532778235</v>
      </c>
      <c r="H122" s="75">
        <f>VLOOKUP($A122,'Data Vlaue (Cr)'!$C:$FB,99)</f>
        <v>1258</v>
      </c>
      <c r="I122" s="75">
        <f>VLOOKUP($A122,'Data Vlaue (Cr)'!$C:$FB,100)</f>
        <v>1457</v>
      </c>
      <c r="J122" s="75">
        <f t="shared" si="8"/>
        <v>-199</v>
      </c>
      <c r="K122" s="75">
        <f t="shared" si="9"/>
        <v>-15.818759936406995</v>
      </c>
      <c r="L122" s="75">
        <f>VLOOKUP($A122,'Data Vlaue (Cr)'!$C:$FB,67)</f>
        <v>1590</v>
      </c>
      <c r="M122" s="75">
        <f>VLOOKUP($A122,'Data Vlaue (Cr)'!$C:$FB,68)</f>
        <v>1846</v>
      </c>
      <c r="N122" s="75">
        <f t="shared" si="10"/>
        <v>-256</v>
      </c>
      <c r="O122" s="75">
        <f t="shared" si="11"/>
        <v>-16.10062893081761</v>
      </c>
      <c r="P122" s="75">
        <f>VLOOKUP($A122,'Data Vlaue (Cr)'!$C:$FB,119)</f>
        <v>0.37</v>
      </c>
      <c r="Q122" s="75">
        <f>VLOOKUP($A122,'Data Vlaue (Cr)'!$C:$FB,122)*100</f>
        <v>-5.13</v>
      </c>
      <c r="R122" s="75">
        <f>VLOOKUP($A122,'Data Vlaue (Cr)'!$C:$FB,125)</f>
        <v>0.26</v>
      </c>
      <c r="S122" s="75">
        <f>VLOOKUP($A122,'Data Vlaue (Cr)'!$C:$FB,128)*100</f>
        <v>-45.83</v>
      </c>
    </row>
    <row r="123" spans="1:19" x14ac:dyDescent="0.25">
      <c r="A123" s="96" t="str">
        <f>'Data Vlaue (Cr)'!C114</f>
        <v>KFINTECH</v>
      </c>
      <c r="B123" s="75">
        <f>VLOOKUP($A123,'Data Vlaue (Cr)'!$C:$FB,2)</f>
        <v>450</v>
      </c>
      <c r="C123" s="75">
        <f>VLOOKUP($A123,'Data Vlaue (Cr)'!$C:$FB,8)</f>
        <v>1168.9000000000001</v>
      </c>
      <c r="D123" s="75">
        <f>VLOOKUP($A123,'Data Vlaue (Cr)'!$C:$FB,4)</f>
        <v>1167.4000000000001</v>
      </c>
      <c r="E123" s="75">
        <f>VLOOKUP($A123,'Data Vlaue (Cr)'!$C:$FB,5)</f>
        <v>1151.3</v>
      </c>
      <c r="F123" s="75">
        <f t="shared" si="6"/>
        <v>-1.5</v>
      </c>
      <c r="G123" s="75">
        <f t="shared" si="7"/>
        <v>1.3791331163268918</v>
      </c>
      <c r="H123" s="75">
        <f>VLOOKUP($A123,'Data Vlaue (Cr)'!$C:$FB,99)</f>
        <v>928</v>
      </c>
      <c r="I123" s="75">
        <f>VLOOKUP($A123,'Data Vlaue (Cr)'!$C:$FB,100)</f>
        <v>835</v>
      </c>
      <c r="J123" s="75">
        <f t="shared" si="8"/>
        <v>93</v>
      </c>
      <c r="K123" s="75">
        <f t="shared" si="9"/>
        <v>10.021551724137931</v>
      </c>
      <c r="L123" s="75">
        <f>VLOOKUP($A123,'Data Vlaue (Cr)'!$C:$FB,67)</f>
        <v>2188</v>
      </c>
      <c r="M123" s="75">
        <f>VLOOKUP($A123,'Data Vlaue (Cr)'!$C:$FB,68)</f>
        <v>1028</v>
      </c>
      <c r="N123" s="75">
        <f t="shared" si="10"/>
        <v>1160</v>
      </c>
      <c r="O123" s="75">
        <f t="shared" si="11"/>
        <v>53.016453382084094</v>
      </c>
      <c r="P123" s="75">
        <f>VLOOKUP($A123,'Data Vlaue (Cr)'!$C:$FB,119)</f>
        <v>0.63</v>
      </c>
      <c r="Q123" s="75">
        <f>VLOOKUP($A123,'Data Vlaue (Cr)'!$C:$FB,122)*100</f>
        <v>-12.5</v>
      </c>
      <c r="R123" s="75">
        <f>VLOOKUP($A123,'Data Vlaue (Cr)'!$C:$FB,125)</f>
        <v>0.37</v>
      </c>
      <c r="S123" s="75">
        <f>VLOOKUP($A123,'Data Vlaue (Cr)'!$C:$FB,128)*100</f>
        <v>-2.63</v>
      </c>
    </row>
    <row r="124" spans="1:19" x14ac:dyDescent="0.25">
      <c r="A124" s="96" t="str">
        <f>'Data Vlaue (Cr)'!C115</f>
        <v>KOTAKBANK</v>
      </c>
      <c r="B124" s="75">
        <f>VLOOKUP($A124,'Data Vlaue (Cr)'!$C:$FB,2)</f>
        <v>400</v>
      </c>
      <c r="C124" s="75">
        <f>VLOOKUP($A124,'Data Vlaue (Cr)'!$C:$FB,8)</f>
        <v>2148.6</v>
      </c>
      <c r="D124" s="75">
        <f>VLOOKUP($A124,'Data Vlaue (Cr)'!$C:$FB,4)</f>
        <v>2151.1</v>
      </c>
      <c r="E124" s="75">
        <f>VLOOKUP($A124,'Data Vlaue (Cr)'!$C:$FB,5)</f>
        <v>2189.1</v>
      </c>
      <c r="F124" s="75">
        <f t="shared" si="6"/>
        <v>2.5</v>
      </c>
      <c r="G124" s="75">
        <f t="shared" si="7"/>
        <v>-1.7665380502998467</v>
      </c>
      <c r="H124" s="75">
        <f>VLOOKUP($A124,'Data Vlaue (Cr)'!$C:$FB,99)</f>
        <v>11348</v>
      </c>
      <c r="I124" s="75">
        <f>VLOOKUP($A124,'Data Vlaue (Cr)'!$C:$FB,100)</f>
        <v>11443</v>
      </c>
      <c r="J124" s="75">
        <f t="shared" si="8"/>
        <v>-95</v>
      </c>
      <c r="K124" s="75">
        <f t="shared" si="9"/>
        <v>-0.83715192104335567</v>
      </c>
      <c r="L124" s="75">
        <f>VLOOKUP($A124,'Data Vlaue (Cr)'!$C:$FB,67)</f>
        <v>23879</v>
      </c>
      <c r="M124" s="75">
        <f>VLOOKUP($A124,'Data Vlaue (Cr)'!$C:$FB,68)</f>
        <v>19064</v>
      </c>
      <c r="N124" s="75">
        <f t="shared" si="10"/>
        <v>4815</v>
      </c>
      <c r="O124" s="75">
        <f t="shared" si="11"/>
        <v>20.164160978265421</v>
      </c>
      <c r="P124" s="75">
        <f>VLOOKUP($A124,'Data Vlaue (Cr)'!$C:$FB,119)</f>
        <v>0.83</v>
      </c>
      <c r="Q124" s="75">
        <f>VLOOKUP($A124,'Data Vlaue (Cr)'!$C:$FB,122)*100</f>
        <v>-20.190000000000001</v>
      </c>
      <c r="R124" s="75">
        <f>VLOOKUP($A124,'Data Vlaue (Cr)'!$C:$FB,125)</f>
        <v>0.7</v>
      </c>
      <c r="S124" s="75">
        <f>VLOOKUP($A124,'Data Vlaue (Cr)'!$C:$FB,128)*100</f>
        <v>-5.41</v>
      </c>
    </row>
    <row r="125" spans="1:19" x14ac:dyDescent="0.25">
      <c r="A125" s="96" t="str">
        <f>'Data Vlaue (Cr)'!C116</f>
        <v>KPITTECH</v>
      </c>
      <c r="B125" s="75">
        <f>VLOOKUP($A125,'Data Vlaue (Cr)'!$C:$FB,2)</f>
        <v>400</v>
      </c>
      <c r="C125" s="75">
        <f>VLOOKUP($A125,'Data Vlaue (Cr)'!$C:$FB,8)</f>
        <v>1207</v>
      </c>
      <c r="D125" s="75">
        <f>VLOOKUP($A125,'Data Vlaue (Cr)'!$C:$FB,4)</f>
        <v>1209.5999999999999</v>
      </c>
      <c r="E125" s="75">
        <f>VLOOKUP($A125,'Data Vlaue (Cr)'!$C:$FB,5)</f>
        <v>1177.9000000000001</v>
      </c>
      <c r="F125" s="75">
        <f t="shared" si="6"/>
        <v>2.5999999999999091</v>
      </c>
      <c r="G125" s="75">
        <f t="shared" si="7"/>
        <v>2.620701058201043</v>
      </c>
      <c r="H125" s="75">
        <f>VLOOKUP($A125,'Data Vlaue (Cr)'!$C:$FB,99)</f>
        <v>921</v>
      </c>
      <c r="I125" s="75">
        <f>VLOOKUP($A125,'Data Vlaue (Cr)'!$C:$FB,100)</f>
        <v>1030</v>
      </c>
      <c r="J125" s="75">
        <f t="shared" si="8"/>
        <v>-109</v>
      </c>
      <c r="K125" s="75">
        <f t="shared" si="9"/>
        <v>-11.834961997828447</v>
      </c>
      <c r="L125" s="75">
        <f>VLOOKUP($A125,'Data Vlaue (Cr)'!$C:$FB,67)</f>
        <v>1911</v>
      </c>
      <c r="M125" s="75">
        <f>VLOOKUP($A125,'Data Vlaue (Cr)'!$C:$FB,68)</f>
        <v>1399</v>
      </c>
      <c r="N125" s="75">
        <f t="shared" si="10"/>
        <v>512</v>
      </c>
      <c r="O125" s="75">
        <f t="shared" si="11"/>
        <v>26.792255363683935</v>
      </c>
      <c r="P125" s="75">
        <f>VLOOKUP($A125,'Data Vlaue (Cr)'!$C:$FB,119)</f>
        <v>0.78</v>
      </c>
      <c r="Q125" s="75">
        <f>VLOOKUP($A125,'Data Vlaue (Cr)'!$C:$FB,122)*100</f>
        <v>47.17</v>
      </c>
      <c r="R125" s="75">
        <f>VLOOKUP($A125,'Data Vlaue (Cr)'!$C:$FB,125)</f>
        <v>0.35</v>
      </c>
      <c r="S125" s="75">
        <f>VLOOKUP($A125,'Data Vlaue (Cr)'!$C:$FB,128)*100</f>
        <v>-23.91</v>
      </c>
    </row>
    <row r="126" spans="1:19" x14ac:dyDescent="0.25">
      <c r="A126" s="96" t="str">
        <f>'Data Vlaue (Cr)'!C117</f>
        <v>LAURUSLABS</v>
      </c>
      <c r="B126" s="75">
        <f>VLOOKUP($A126,'Data Vlaue (Cr)'!$C:$FB,2)</f>
        <v>1700</v>
      </c>
      <c r="C126" s="75">
        <f>VLOOKUP($A126,'Data Vlaue (Cr)'!$C:$FB,8)</f>
        <v>940.15</v>
      </c>
      <c r="D126" s="75">
        <f>VLOOKUP($A126,'Data Vlaue (Cr)'!$C:$FB,4)</f>
        <v>939.5</v>
      </c>
      <c r="E126" s="75">
        <f>VLOOKUP($A126,'Data Vlaue (Cr)'!$C:$FB,5)</f>
        <v>926.05</v>
      </c>
      <c r="F126" s="75">
        <f t="shared" si="6"/>
        <v>-0.64999999999997726</v>
      </c>
      <c r="G126" s="75">
        <f t="shared" si="7"/>
        <v>1.4316125598722773</v>
      </c>
      <c r="H126" s="75">
        <f>VLOOKUP($A126,'Data Vlaue (Cr)'!$C:$FB,99)</f>
        <v>5246</v>
      </c>
      <c r="I126" s="75">
        <f>VLOOKUP($A126,'Data Vlaue (Cr)'!$C:$FB,100)</f>
        <v>5773</v>
      </c>
      <c r="J126" s="75">
        <f t="shared" si="8"/>
        <v>-527</v>
      </c>
      <c r="K126" s="75">
        <f t="shared" si="9"/>
        <v>-10.045749142203583</v>
      </c>
      <c r="L126" s="75">
        <f>VLOOKUP($A126,'Data Vlaue (Cr)'!$C:$FB,67)</f>
        <v>14924</v>
      </c>
      <c r="M126" s="75">
        <f>VLOOKUP($A126,'Data Vlaue (Cr)'!$C:$FB,68)</f>
        <v>29244</v>
      </c>
      <c r="N126" s="75">
        <f t="shared" si="10"/>
        <v>-14320</v>
      </c>
      <c r="O126" s="75">
        <f t="shared" si="11"/>
        <v>-95.952827660144735</v>
      </c>
      <c r="P126" s="75">
        <f>VLOOKUP($A126,'Data Vlaue (Cr)'!$C:$FB,119)</f>
        <v>0.71</v>
      </c>
      <c r="Q126" s="75">
        <f>VLOOKUP($A126,'Data Vlaue (Cr)'!$C:$FB,122)*100</f>
        <v>14.52</v>
      </c>
      <c r="R126" s="75">
        <f>VLOOKUP($A126,'Data Vlaue (Cr)'!$C:$FB,125)</f>
        <v>0.39</v>
      </c>
      <c r="S126" s="75">
        <f>VLOOKUP($A126,'Data Vlaue (Cr)'!$C:$FB,128)*100</f>
        <v>-15.22</v>
      </c>
    </row>
    <row r="127" spans="1:19" x14ac:dyDescent="0.25">
      <c r="A127" s="96" t="str">
        <f>'Data Vlaue (Cr)'!C118</f>
        <v>LICHSGFIN</v>
      </c>
      <c r="B127" s="75">
        <f>VLOOKUP($A127,'Data Vlaue (Cr)'!$C:$FB,2)</f>
        <v>1000</v>
      </c>
      <c r="C127" s="75">
        <f>VLOOKUP($A127,'Data Vlaue (Cr)'!$C:$FB,8)</f>
        <v>584.35</v>
      </c>
      <c r="D127" s="75">
        <f>VLOOKUP($A127,'Data Vlaue (Cr)'!$C:$FB,4)</f>
        <v>585.1</v>
      </c>
      <c r="E127" s="75">
        <f>VLOOKUP($A127,'Data Vlaue (Cr)'!$C:$FB,5)</f>
        <v>579.70000000000005</v>
      </c>
      <c r="F127" s="75">
        <f t="shared" si="6"/>
        <v>0.75</v>
      </c>
      <c r="G127" s="75">
        <f t="shared" si="7"/>
        <v>0.92291915911809563</v>
      </c>
      <c r="H127" s="75">
        <f>VLOOKUP($A127,'Data Vlaue (Cr)'!$C:$FB,99)</f>
        <v>2802</v>
      </c>
      <c r="I127" s="75">
        <f>VLOOKUP($A127,'Data Vlaue (Cr)'!$C:$FB,100)</f>
        <v>2795</v>
      </c>
      <c r="J127" s="75">
        <f t="shared" si="8"/>
        <v>7</v>
      </c>
      <c r="K127" s="75">
        <f t="shared" si="9"/>
        <v>0.24982155603140616</v>
      </c>
      <c r="L127" s="75">
        <f>VLOOKUP($A127,'Data Vlaue (Cr)'!$C:$FB,67)</f>
        <v>2608</v>
      </c>
      <c r="M127" s="75">
        <f>VLOOKUP($A127,'Data Vlaue (Cr)'!$C:$FB,68)</f>
        <v>1841</v>
      </c>
      <c r="N127" s="75">
        <f t="shared" si="10"/>
        <v>767</v>
      </c>
      <c r="O127" s="75">
        <f t="shared" si="11"/>
        <v>29.409509202453986</v>
      </c>
      <c r="P127" s="75">
        <f>VLOOKUP($A127,'Data Vlaue (Cr)'!$C:$FB,119)</f>
        <v>0.8</v>
      </c>
      <c r="Q127" s="75">
        <f>VLOOKUP($A127,'Data Vlaue (Cr)'!$C:$FB,122)*100</f>
        <v>12.68</v>
      </c>
      <c r="R127" s="75">
        <f>VLOOKUP($A127,'Data Vlaue (Cr)'!$C:$FB,125)</f>
        <v>0.56000000000000005</v>
      </c>
      <c r="S127" s="75">
        <f>VLOOKUP($A127,'Data Vlaue (Cr)'!$C:$FB,128)*100</f>
        <v>43.59</v>
      </c>
    </row>
    <row r="128" spans="1:19" x14ac:dyDescent="0.25">
      <c r="A128" s="96" t="str">
        <f>'Data Vlaue (Cr)'!C119</f>
        <v>LICI</v>
      </c>
      <c r="B128" s="75">
        <f>VLOOKUP($A128,'Data Vlaue (Cr)'!$C:$FB,2)</f>
        <v>700</v>
      </c>
      <c r="C128" s="75">
        <f>VLOOKUP($A128,'Data Vlaue (Cr)'!$C:$FB,8)</f>
        <v>897.65</v>
      </c>
      <c r="D128" s="75">
        <f>VLOOKUP($A128,'Data Vlaue (Cr)'!$C:$FB,4)</f>
        <v>898.75</v>
      </c>
      <c r="E128" s="75">
        <f>VLOOKUP($A128,'Data Vlaue (Cr)'!$C:$FB,5)</f>
        <v>890.6</v>
      </c>
      <c r="F128" s="75">
        <f t="shared" si="6"/>
        <v>1.1000000000000227</v>
      </c>
      <c r="G128" s="75">
        <f t="shared" si="7"/>
        <v>0.90681502086230625</v>
      </c>
      <c r="H128" s="75">
        <f>VLOOKUP($A128,'Data Vlaue (Cr)'!$C:$FB,99)</f>
        <v>1304</v>
      </c>
      <c r="I128" s="75">
        <f>VLOOKUP($A128,'Data Vlaue (Cr)'!$C:$FB,100)</f>
        <v>1385</v>
      </c>
      <c r="J128" s="75">
        <f t="shared" si="8"/>
        <v>-81</v>
      </c>
      <c r="K128" s="75">
        <f t="shared" si="9"/>
        <v>-6.2116564417177917</v>
      </c>
      <c r="L128" s="75">
        <f>VLOOKUP($A128,'Data Vlaue (Cr)'!$C:$FB,67)</f>
        <v>1269</v>
      </c>
      <c r="M128" s="75">
        <f>VLOOKUP($A128,'Data Vlaue (Cr)'!$C:$FB,68)</f>
        <v>1230</v>
      </c>
      <c r="N128" s="75">
        <f t="shared" si="10"/>
        <v>39</v>
      </c>
      <c r="O128" s="75">
        <f t="shared" si="11"/>
        <v>3.0732860520094563</v>
      </c>
      <c r="P128" s="75">
        <f>VLOOKUP($A128,'Data Vlaue (Cr)'!$C:$FB,119)</f>
        <v>0.54</v>
      </c>
      <c r="Q128" s="75">
        <f>VLOOKUP($A128,'Data Vlaue (Cr)'!$C:$FB,122)*100</f>
        <v>8</v>
      </c>
      <c r="R128" s="75">
        <f>VLOOKUP($A128,'Data Vlaue (Cr)'!$C:$FB,125)</f>
        <v>0.79</v>
      </c>
      <c r="S128" s="75">
        <f>VLOOKUP($A128,'Data Vlaue (Cr)'!$C:$FB,128)*100</f>
        <v>46.300000000000004</v>
      </c>
    </row>
    <row r="129" spans="1:19" x14ac:dyDescent="0.25">
      <c r="A129" s="96" t="str">
        <f>'Data Vlaue (Cr)'!C120</f>
        <v>LODHA</v>
      </c>
      <c r="B129" s="75">
        <f>VLOOKUP($A129,'Data Vlaue (Cr)'!$C:$FB,2)</f>
        <v>450</v>
      </c>
      <c r="C129" s="75">
        <f>VLOOKUP($A129,'Data Vlaue (Cr)'!$C:$FB,8)</f>
        <v>1177</v>
      </c>
      <c r="D129" s="75">
        <f>VLOOKUP($A129,'Data Vlaue (Cr)'!$C:$FB,4)</f>
        <v>1176.5999999999999</v>
      </c>
      <c r="E129" s="75">
        <f>VLOOKUP($A129,'Data Vlaue (Cr)'!$C:$FB,5)</f>
        <v>1171.4000000000001</v>
      </c>
      <c r="F129" s="75">
        <f t="shared" si="6"/>
        <v>-0.40000000000009095</v>
      </c>
      <c r="G129" s="75">
        <f t="shared" si="7"/>
        <v>0.44195138534759637</v>
      </c>
      <c r="H129" s="75">
        <f>VLOOKUP($A129,'Data Vlaue (Cr)'!$C:$FB,99)</f>
        <v>1961</v>
      </c>
      <c r="I129" s="75">
        <f>VLOOKUP($A129,'Data Vlaue (Cr)'!$C:$FB,100)</f>
        <v>1965</v>
      </c>
      <c r="J129" s="75">
        <f t="shared" si="8"/>
        <v>-4</v>
      </c>
      <c r="K129" s="75">
        <f t="shared" si="9"/>
        <v>-0.20397756246812851</v>
      </c>
      <c r="L129" s="75">
        <f>VLOOKUP($A129,'Data Vlaue (Cr)'!$C:$FB,67)</f>
        <v>2049</v>
      </c>
      <c r="M129" s="75">
        <f>VLOOKUP($A129,'Data Vlaue (Cr)'!$C:$FB,68)</f>
        <v>1623</v>
      </c>
      <c r="N129" s="75">
        <f t="shared" si="10"/>
        <v>426</v>
      </c>
      <c r="O129" s="75">
        <f t="shared" si="11"/>
        <v>20.790629575402637</v>
      </c>
      <c r="P129" s="75">
        <f>VLOOKUP($A129,'Data Vlaue (Cr)'!$C:$FB,119)</f>
        <v>0.57999999999999996</v>
      </c>
      <c r="Q129" s="75">
        <f>VLOOKUP($A129,'Data Vlaue (Cr)'!$C:$FB,122)*100</f>
        <v>5.45</v>
      </c>
      <c r="R129" s="75">
        <f>VLOOKUP($A129,'Data Vlaue (Cr)'!$C:$FB,125)</f>
        <v>0.76</v>
      </c>
      <c r="S129" s="75">
        <f>VLOOKUP($A129,'Data Vlaue (Cr)'!$C:$FB,128)*100</f>
        <v>123.53</v>
      </c>
    </row>
    <row r="130" spans="1:19" x14ac:dyDescent="0.25">
      <c r="A130" s="96" t="str">
        <f>'Data Vlaue (Cr)'!C121</f>
        <v>LT</v>
      </c>
      <c r="B130" s="75">
        <f>VLOOKUP($A130,'Data Vlaue (Cr)'!$C:$FB,2)</f>
        <v>175</v>
      </c>
      <c r="C130" s="75">
        <f>VLOOKUP($A130,'Data Vlaue (Cr)'!$C:$FB,8)</f>
        <v>3923.8</v>
      </c>
      <c r="D130" s="75">
        <f>VLOOKUP($A130,'Data Vlaue (Cr)'!$C:$FB,4)</f>
        <v>3926.8</v>
      </c>
      <c r="E130" s="75">
        <f>VLOOKUP($A130,'Data Vlaue (Cr)'!$C:$FB,5)</f>
        <v>3908.5</v>
      </c>
      <c r="F130" s="75">
        <f t="shared" si="6"/>
        <v>3</v>
      </c>
      <c r="G130" s="75">
        <f t="shared" si="7"/>
        <v>0.46602831822349444</v>
      </c>
      <c r="H130" s="75">
        <f>VLOOKUP($A130,'Data Vlaue (Cr)'!$C:$FB,99)</f>
        <v>12424</v>
      </c>
      <c r="I130" s="75">
        <f>VLOOKUP($A130,'Data Vlaue (Cr)'!$C:$FB,100)</f>
        <v>12296</v>
      </c>
      <c r="J130" s="75">
        <f t="shared" si="8"/>
        <v>128</v>
      </c>
      <c r="K130" s="75">
        <f t="shared" si="9"/>
        <v>1.0302640051513201</v>
      </c>
      <c r="L130" s="75">
        <f>VLOOKUP($A130,'Data Vlaue (Cr)'!$C:$FB,67)</f>
        <v>7932</v>
      </c>
      <c r="M130" s="75">
        <f>VLOOKUP($A130,'Data Vlaue (Cr)'!$C:$FB,68)</f>
        <v>8754</v>
      </c>
      <c r="N130" s="75">
        <f t="shared" si="10"/>
        <v>-822</v>
      </c>
      <c r="O130" s="75">
        <f t="shared" si="11"/>
        <v>-10.363086232980333</v>
      </c>
      <c r="P130" s="75">
        <f>VLOOKUP($A130,'Data Vlaue (Cr)'!$C:$FB,119)</f>
        <v>0.65</v>
      </c>
      <c r="Q130" s="75">
        <f>VLOOKUP($A130,'Data Vlaue (Cr)'!$C:$FB,122)*100</f>
        <v>0</v>
      </c>
      <c r="R130" s="75">
        <f>VLOOKUP($A130,'Data Vlaue (Cr)'!$C:$FB,125)</f>
        <v>0.61</v>
      </c>
      <c r="S130" s="75">
        <f>VLOOKUP($A130,'Data Vlaue (Cr)'!$C:$FB,128)*100</f>
        <v>-8.9599999999999991</v>
      </c>
    </row>
    <row r="131" spans="1:19" x14ac:dyDescent="0.25">
      <c r="A131" s="96" t="str">
        <f>'Data Vlaue (Cr)'!C122</f>
        <v>LTF</v>
      </c>
      <c r="B131" s="75">
        <f>VLOOKUP($A131,'Data Vlaue (Cr)'!$C:$FB,2)</f>
        <v>4462</v>
      </c>
      <c r="C131" s="75">
        <f>VLOOKUP($A131,'Data Vlaue (Cr)'!$C:$FB,8)</f>
        <v>267.14999999999998</v>
      </c>
      <c r="D131" s="75">
        <f>VLOOKUP($A131,'Data Vlaue (Cr)'!$C:$FB,4)</f>
        <v>267.45999999999998</v>
      </c>
      <c r="E131" s="75">
        <f>VLOOKUP($A131,'Data Vlaue (Cr)'!$C:$FB,5)</f>
        <v>267.43</v>
      </c>
      <c r="F131" s="75">
        <f t="shared" si="6"/>
        <v>0.31000000000000227</v>
      </c>
      <c r="G131" s="75">
        <f t="shared" si="7"/>
        <v>1.1216630524180333E-2</v>
      </c>
      <c r="H131" s="75">
        <f>VLOOKUP($A131,'Data Vlaue (Cr)'!$C:$FB,99)</f>
        <v>2805</v>
      </c>
      <c r="I131" s="75">
        <f>VLOOKUP($A131,'Data Vlaue (Cr)'!$C:$FB,100)</f>
        <v>2887</v>
      </c>
      <c r="J131" s="75">
        <f t="shared" si="8"/>
        <v>-82</v>
      </c>
      <c r="K131" s="75">
        <f t="shared" si="9"/>
        <v>-2.9233511586452763</v>
      </c>
      <c r="L131" s="75">
        <f>VLOOKUP($A131,'Data Vlaue (Cr)'!$C:$FB,67)</f>
        <v>2500</v>
      </c>
      <c r="M131" s="75">
        <f>VLOOKUP($A131,'Data Vlaue (Cr)'!$C:$FB,68)</f>
        <v>2862</v>
      </c>
      <c r="N131" s="75">
        <f t="shared" si="10"/>
        <v>-362</v>
      </c>
      <c r="O131" s="75">
        <f t="shared" si="11"/>
        <v>-14.48</v>
      </c>
      <c r="P131" s="75">
        <f>VLOOKUP($A131,'Data Vlaue (Cr)'!$C:$FB,119)</f>
        <v>0.93</v>
      </c>
      <c r="Q131" s="75">
        <f>VLOOKUP($A131,'Data Vlaue (Cr)'!$C:$FB,122)*100</f>
        <v>2.1999999999999997</v>
      </c>
      <c r="R131" s="75">
        <f>VLOOKUP($A131,'Data Vlaue (Cr)'!$C:$FB,125)</f>
        <v>0.8</v>
      </c>
      <c r="S131" s="75">
        <f>VLOOKUP($A131,'Data Vlaue (Cr)'!$C:$FB,128)*100</f>
        <v>50.94</v>
      </c>
    </row>
    <row r="132" spans="1:19" x14ac:dyDescent="0.25">
      <c r="A132" s="96" t="str">
        <f>'Data Vlaue (Cr)'!C123</f>
        <v>LTIM</v>
      </c>
      <c r="B132" s="75">
        <f>VLOOKUP($A132,'Data Vlaue (Cr)'!$C:$FB,2)</f>
        <v>150</v>
      </c>
      <c r="C132" s="75">
        <f>VLOOKUP($A132,'Data Vlaue (Cr)'!$C:$FB,8)</f>
        <v>5640</v>
      </c>
      <c r="D132" s="75">
        <f>VLOOKUP($A132,'Data Vlaue (Cr)'!$C:$FB,4)</f>
        <v>5639.5</v>
      </c>
      <c r="E132" s="75">
        <f>VLOOKUP($A132,'Data Vlaue (Cr)'!$C:$FB,5)</f>
        <v>5547.5</v>
      </c>
      <c r="F132" s="75">
        <f t="shared" si="6"/>
        <v>-0.5</v>
      </c>
      <c r="G132" s="75">
        <f t="shared" si="7"/>
        <v>1.6313502970121467</v>
      </c>
      <c r="H132" s="75">
        <f>VLOOKUP($A132,'Data Vlaue (Cr)'!$C:$FB,99)</f>
        <v>2834</v>
      </c>
      <c r="I132" s="75">
        <f>VLOOKUP($A132,'Data Vlaue (Cr)'!$C:$FB,100)</f>
        <v>3198</v>
      </c>
      <c r="J132" s="75">
        <f t="shared" si="8"/>
        <v>-364</v>
      </c>
      <c r="K132" s="75">
        <f t="shared" si="9"/>
        <v>-12.844036697247708</v>
      </c>
      <c r="L132" s="75">
        <f>VLOOKUP($A132,'Data Vlaue (Cr)'!$C:$FB,67)</f>
        <v>3037</v>
      </c>
      <c r="M132" s="75">
        <f>VLOOKUP($A132,'Data Vlaue (Cr)'!$C:$FB,68)</f>
        <v>4349</v>
      </c>
      <c r="N132" s="75">
        <f t="shared" si="10"/>
        <v>-1312</v>
      </c>
      <c r="O132" s="75">
        <f t="shared" si="11"/>
        <v>-43.200526835693118</v>
      </c>
      <c r="P132" s="75">
        <f>VLOOKUP($A132,'Data Vlaue (Cr)'!$C:$FB,119)</f>
        <v>0.71</v>
      </c>
      <c r="Q132" s="75">
        <f>VLOOKUP($A132,'Data Vlaue (Cr)'!$C:$FB,122)*100</f>
        <v>20.34</v>
      </c>
      <c r="R132" s="75">
        <f>VLOOKUP($A132,'Data Vlaue (Cr)'!$C:$FB,125)</f>
        <v>0.64</v>
      </c>
      <c r="S132" s="75">
        <f>VLOOKUP($A132,'Data Vlaue (Cr)'!$C:$FB,128)*100</f>
        <v>18.52</v>
      </c>
    </row>
    <row r="133" spans="1:19" x14ac:dyDescent="0.25">
      <c r="A133" s="96" t="str">
        <f>'Data Vlaue (Cr)'!C124</f>
        <v>LUPIN</v>
      </c>
      <c r="B133" s="75">
        <f>VLOOKUP($A133,'Data Vlaue (Cr)'!$C:$FB,2)</f>
        <v>425</v>
      </c>
      <c r="C133" s="75">
        <f>VLOOKUP($A133,'Data Vlaue (Cr)'!$C:$FB,8)</f>
        <v>1922.9</v>
      </c>
      <c r="D133" s="75">
        <f>VLOOKUP($A133,'Data Vlaue (Cr)'!$C:$FB,4)</f>
        <v>1924.7</v>
      </c>
      <c r="E133" s="75">
        <f>VLOOKUP($A133,'Data Vlaue (Cr)'!$C:$FB,5)</f>
        <v>1930.7</v>
      </c>
      <c r="F133" s="75">
        <f t="shared" si="6"/>
        <v>1.7999999999999545</v>
      </c>
      <c r="G133" s="75">
        <f t="shared" si="7"/>
        <v>-0.31173689406141214</v>
      </c>
      <c r="H133" s="75">
        <f>VLOOKUP($A133,'Data Vlaue (Cr)'!$C:$FB,99)</f>
        <v>3353</v>
      </c>
      <c r="I133" s="75">
        <f>VLOOKUP($A133,'Data Vlaue (Cr)'!$C:$FB,100)</f>
        <v>3387</v>
      </c>
      <c r="J133" s="75">
        <f t="shared" si="8"/>
        <v>-34</v>
      </c>
      <c r="K133" s="75">
        <f t="shared" si="9"/>
        <v>-1.0140172979421413</v>
      </c>
      <c r="L133" s="75">
        <f>VLOOKUP($A133,'Data Vlaue (Cr)'!$C:$FB,67)</f>
        <v>2087</v>
      </c>
      <c r="M133" s="75">
        <f>VLOOKUP($A133,'Data Vlaue (Cr)'!$C:$FB,68)</f>
        <v>3144</v>
      </c>
      <c r="N133" s="75">
        <f t="shared" si="10"/>
        <v>-1057</v>
      </c>
      <c r="O133" s="75">
        <f t="shared" si="11"/>
        <v>-50.646861523718258</v>
      </c>
      <c r="P133" s="75">
        <f>VLOOKUP($A133,'Data Vlaue (Cr)'!$C:$FB,119)</f>
        <v>0.62</v>
      </c>
      <c r="Q133" s="75">
        <f>VLOOKUP($A133,'Data Vlaue (Cr)'!$C:$FB,122)*100</f>
        <v>1.6400000000000001</v>
      </c>
      <c r="R133" s="75">
        <f>VLOOKUP($A133,'Data Vlaue (Cr)'!$C:$FB,125)</f>
        <v>0.54</v>
      </c>
      <c r="S133" s="75">
        <f>VLOOKUP($A133,'Data Vlaue (Cr)'!$C:$FB,128)*100</f>
        <v>22.73</v>
      </c>
    </row>
    <row r="134" spans="1:19" x14ac:dyDescent="0.25">
      <c r="A134" s="96" t="str">
        <f>'Data Vlaue (Cr)'!C125</f>
        <v>M&amp;M</v>
      </c>
      <c r="B134" s="75">
        <f>VLOOKUP($A134,'Data Vlaue (Cr)'!$C:$FB,2)</f>
        <v>200</v>
      </c>
      <c r="C134" s="75">
        <f>VLOOKUP($A134,'Data Vlaue (Cr)'!$C:$FB,8)</f>
        <v>3611.6</v>
      </c>
      <c r="D134" s="75">
        <f>VLOOKUP($A134,'Data Vlaue (Cr)'!$C:$FB,4)</f>
        <v>3615.6</v>
      </c>
      <c r="E134" s="75">
        <f>VLOOKUP($A134,'Data Vlaue (Cr)'!$C:$FB,5)</f>
        <v>3620.1</v>
      </c>
      <c r="F134" s="75">
        <f t="shared" si="6"/>
        <v>4</v>
      </c>
      <c r="G134" s="75">
        <f t="shared" si="7"/>
        <v>-0.12446067042814471</v>
      </c>
      <c r="H134" s="75">
        <f>VLOOKUP($A134,'Data Vlaue (Cr)'!$C:$FB,99)</f>
        <v>9848</v>
      </c>
      <c r="I134" s="75">
        <f>VLOOKUP($A134,'Data Vlaue (Cr)'!$C:$FB,100)</f>
        <v>9997</v>
      </c>
      <c r="J134" s="75">
        <f t="shared" si="8"/>
        <v>-149</v>
      </c>
      <c r="K134" s="75">
        <f t="shared" si="9"/>
        <v>-1.5129975629569457</v>
      </c>
      <c r="L134" s="75">
        <f>VLOOKUP($A134,'Data Vlaue (Cr)'!$C:$FB,67)</f>
        <v>7349</v>
      </c>
      <c r="M134" s="75">
        <f>VLOOKUP($A134,'Data Vlaue (Cr)'!$C:$FB,68)</f>
        <v>7927</v>
      </c>
      <c r="N134" s="75">
        <f t="shared" si="10"/>
        <v>-578</v>
      </c>
      <c r="O134" s="75">
        <f t="shared" si="11"/>
        <v>-7.8650156483875353</v>
      </c>
      <c r="P134" s="75">
        <f>VLOOKUP($A134,'Data Vlaue (Cr)'!$C:$FB,119)</f>
        <v>0.76</v>
      </c>
      <c r="Q134" s="75">
        <f>VLOOKUP($A134,'Data Vlaue (Cr)'!$C:$FB,122)*100</f>
        <v>2.7</v>
      </c>
      <c r="R134" s="75">
        <f>VLOOKUP($A134,'Data Vlaue (Cr)'!$C:$FB,125)</f>
        <v>0.79</v>
      </c>
      <c r="S134" s="75">
        <f>VLOOKUP($A134,'Data Vlaue (Cr)'!$C:$FB,128)*100</f>
        <v>19.7</v>
      </c>
    </row>
    <row r="135" spans="1:19" x14ac:dyDescent="0.25">
      <c r="A135" s="96" t="str">
        <f>'Data Vlaue (Cr)'!C126</f>
        <v>MANAPPURAM</v>
      </c>
      <c r="B135" s="75">
        <f>VLOOKUP($A135,'Data Vlaue (Cr)'!$C:$FB,2)</f>
        <v>3000</v>
      </c>
      <c r="C135" s="75">
        <f>VLOOKUP($A135,'Data Vlaue (Cr)'!$C:$FB,8)</f>
        <v>276.39999999999998</v>
      </c>
      <c r="D135" s="75">
        <f>VLOOKUP($A135,'Data Vlaue (Cr)'!$C:$FB,4)</f>
        <v>276.05</v>
      </c>
      <c r="E135" s="75">
        <f>VLOOKUP($A135,'Data Vlaue (Cr)'!$C:$FB,5)</f>
        <v>279.8</v>
      </c>
      <c r="F135" s="75">
        <f t="shared" si="6"/>
        <v>-0.34999999999996589</v>
      </c>
      <c r="G135" s="75">
        <f t="shared" si="7"/>
        <v>-1.3584495562398116</v>
      </c>
      <c r="H135" s="75">
        <f>VLOOKUP($A135,'Data Vlaue (Cr)'!$C:$FB,99)</f>
        <v>1488</v>
      </c>
      <c r="I135" s="75">
        <f>VLOOKUP($A135,'Data Vlaue (Cr)'!$C:$FB,100)</f>
        <v>1512</v>
      </c>
      <c r="J135" s="75">
        <f t="shared" si="8"/>
        <v>-24</v>
      </c>
      <c r="K135" s="75">
        <f t="shared" si="9"/>
        <v>-1.6129032258064515</v>
      </c>
      <c r="L135" s="75">
        <f>VLOOKUP($A135,'Data Vlaue (Cr)'!$C:$FB,67)</f>
        <v>1223</v>
      </c>
      <c r="M135" s="75">
        <f>VLOOKUP($A135,'Data Vlaue (Cr)'!$C:$FB,68)</f>
        <v>1406</v>
      </c>
      <c r="N135" s="75">
        <f t="shared" si="10"/>
        <v>-183</v>
      </c>
      <c r="O135" s="75">
        <f t="shared" si="11"/>
        <v>-14.963205233033525</v>
      </c>
      <c r="P135" s="75">
        <f>VLOOKUP($A135,'Data Vlaue (Cr)'!$C:$FB,119)</f>
        <v>0.55000000000000004</v>
      </c>
      <c r="Q135" s="75">
        <f>VLOOKUP($A135,'Data Vlaue (Cr)'!$C:$FB,122)*100</f>
        <v>-5.17</v>
      </c>
      <c r="R135" s="75">
        <f>VLOOKUP($A135,'Data Vlaue (Cr)'!$C:$FB,125)</f>
        <v>0.69</v>
      </c>
      <c r="S135" s="75">
        <f>VLOOKUP($A135,'Data Vlaue (Cr)'!$C:$FB,128)*100</f>
        <v>2.9899999999999998</v>
      </c>
    </row>
    <row r="136" spans="1:19" x14ac:dyDescent="0.25">
      <c r="A136" s="96" t="str">
        <f>'Data Vlaue (Cr)'!C127</f>
        <v>MANKIND</v>
      </c>
      <c r="B136" s="75">
        <f>VLOOKUP($A136,'Data Vlaue (Cr)'!$C:$FB,2)</f>
        <v>225</v>
      </c>
      <c r="C136" s="75">
        <f>VLOOKUP($A136,'Data Vlaue (Cr)'!$C:$FB,8)</f>
        <v>2416.6999999999998</v>
      </c>
      <c r="D136" s="75">
        <f>VLOOKUP($A136,'Data Vlaue (Cr)'!$C:$FB,4)</f>
        <v>2417.3000000000002</v>
      </c>
      <c r="E136" s="75">
        <f>VLOOKUP($A136,'Data Vlaue (Cr)'!$C:$FB,5)</f>
        <v>2427.1999999999998</v>
      </c>
      <c r="F136" s="75">
        <f t="shared" si="6"/>
        <v>0.6000000000003638</v>
      </c>
      <c r="G136" s="75">
        <f t="shared" si="7"/>
        <v>-0.40954784263432903</v>
      </c>
      <c r="H136" s="75">
        <f>VLOOKUP($A136,'Data Vlaue (Cr)'!$C:$FB,99)</f>
        <v>697</v>
      </c>
      <c r="I136" s="75">
        <f>VLOOKUP($A136,'Data Vlaue (Cr)'!$C:$FB,100)</f>
        <v>751</v>
      </c>
      <c r="J136" s="75">
        <f t="shared" si="8"/>
        <v>-54</v>
      </c>
      <c r="K136" s="75">
        <f t="shared" si="9"/>
        <v>-7.747489239598278</v>
      </c>
      <c r="L136" s="75">
        <f>VLOOKUP($A136,'Data Vlaue (Cr)'!$C:$FB,67)</f>
        <v>530</v>
      </c>
      <c r="M136" s="75">
        <f>VLOOKUP($A136,'Data Vlaue (Cr)'!$C:$FB,68)</f>
        <v>724</v>
      </c>
      <c r="N136" s="75">
        <f t="shared" si="10"/>
        <v>-194</v>
      </c>
      <c r="O136" s="75">
        <f t="shared" si="11"/>
        <v>-36.60377358490566</v>
      </c>
      <c r="P136" s="75">
        <f>VLOOKUP($A136,'Data Vlaue (Cr)'!$C:$FB,119)</f>
        <v>0.46</v>
      </c>
      <c r="Q136" s="75">
        <f>VLOOKUP($A136,'Data Vlaue (Cr)'!$C:$FB,122)*100</f>
        <v>9.5200000000000014</v>
      </c>
      <c r="R136" s="75">
        <f>VLOOKUP($A136,'Data Vlaue (Cr)'!$C:$FB,125)</f>
        <v>0.26</v>
      </c>
      <c r="S136" s="75">
        <f>VLOOKUP($A136,'Data Vlaue (Cr)'!$C:$FB,128)*100</f>
        <v>-36.590000000000003</v>
      </c>
    </row>
    <row r="137" spans="1:19" x14ac:dyDescent="0.25">
      <c r="A137" s="96" t="str">
        <f>'Data Vlaue (Cr)'!C128</f>
        <v>MARICO</v>
      </c>
      <c r="B137" s="75">
        <f>VLOOKUP($A137,'Data Vlaue (Cr)'!$C:$FB,2)</f>
        <v>1200</v>
      </c>
      <c r="C137" s="75">
        <f>VLOOKUP($A137,'Data Vlaue (Cr)'!$C:$FB,8)</f>
        <v>723.6</v>
      </c>
      <c r="D137" s="75">
        <f>VLOOKUP($A137,'Data Vlaue (Cr)'!$C:$FB,4)</f>
        <v>722.9</v>
      </c>
      <c r="E137" s="75">
        <f>VLOOKUP($A137,'Data Vlaue (Cr)'!$C:$FB,5)</f>
        <v>725.3</v>
      </c>
      <c r="F137" s="75">
        <f t="shared" si="6"/>
        <v>-0.70000000000004547</v>
      </c>
      <c r="G137" s="75">
        <f t="shared" si="7"/>
        <v>-0.33199612671185191</v>
      </c>
      <c r="H137" s="75">
        <f>VLOOKUP($A137,'Data Vlaue (Cr)'!$C:$FB,99)</f>
        <v>2377</v>
      </c>
      <c r="I137" s="75">
        <f>VLOOKUP($A137,'Data Vlaue (Cr)'!$C:$FB,100)</f>
        <v>2404</v>
      </c>
      <c r="J137" s="75">
        <f t="shared" si="8"/>
        <v>-27</v>
      </c>
      <c r="K137" s="75">
        <f t="shared" si="9"/>
        <v>-1.1358855700462769</v>
      </c>
      <c r="L137" s="75">
        <f>VLOOKUP($A137,'Data Vlaue (Cr)'!$C:$FB,67)</f>
        <v>1453</v>
      </c>
      <c r="M137" s="75">
        <f>VLOOKUP($A137,'Data Vlaue (Cr)'!$C:$FB,68)</f>
        <v>2659</v>
      </c>
      <c r="N137" s="75">
        <f t="shared" si="10"/>
        <v>-1206</v>
      </c>
      <c r="O137" s="75">
        <f t="shared" si="11"/>
        <v>-83.000688231245704</v>
      </c>
      <c r="P137" s="75">
        <f>VLOOKUP($A137,'Data Vlaue (Cr)'!$C:$FB,119)</f>
        <v>0.76</v>
      </c>
      <c r="Q137" s="75">
        <f>VLOOKUP($A137,'Data Vlaue (Cr)'!$C:$FB,122)*100</f>
        <v>0</v>
      </c>
      <c r="R137" s="75">
        <f>VLOOKUP($A137,'Data Vlaue (Cr)'!$C:$FB,125)</f>
        <v>0.57999999999999996</v>
      </c>
      <c r="S137" s="75">
        <f>VLOOKUP($A137,'Data Vlaue (Cr)'!$C:$FB,128)*100</f>
        <v>-34.089999999999996</v>
      </c>
    </row>
    <row r="138" spans="1:19" x14ac:dyDescent="0.25">
      <c r="A138" s="96" t="str">
        <f>'Data Vlaue (Cr)'!C129</f>
        <v>MARUTI</v>
      </c>
      <c r="B138" s="75">
        <f>VLOOKUP($A138,'Data Vlaue (Cr)'!$C:$FB,2)</f>
        <v>50</v>
      </c>
      <c r="C138" s="75">
        <f>VLOOKUP($A138,'Data Vlaue (Cr)'!$C:$FB,8)</f>
        <v>16388</v>
      </c>
      <c r="D138" s="75">
        <f>VLOOKUP($A138,'Data Vlaue (Cr)'!$C:$FB,4)</f>
        <v>16404</v>
      </c>
      <c r="E138" s="75">
        <f>VLOOKUP($A138,'Data Vlaue (Cr)'!$C:$FB,5)</f>
        <v>16261</v>
      </c>
      <c r="F138" s="75">
        <f t="shared" si="6"/>
        <v>16</v>
      </c>
      <c r="G138" s="75">
        <f t="shared" si="7"/>
        <v>0.87173860034138007</v>
      </c>
      <c r="H138" s="75">
        <f>VLOOKUP($A138,'Data Vlaue (Cr)'!$C:$FB,99)</f>
        <v>11284</v>
      </c>
      <c r="I138" s="75">
        <f>VLOOKUP($A138,'Data Vlaue (Cr)'!$C:$FB,100)</f>
        <v>12417</v>
      </c>
      <c r="J138" s="75">
        <f t="shared" si="8"/>
        <v>-1133</v>
      </c>
      <c r="K138" s="75">
        <f t="shared" si="9"/>
        <v>-10.040765685926976</v>
      </c>
      <c r="L138" s="75">
        <f>VLOOKUP($A138,'Data Vlaue (Cr)'!$C:$FB,67)</f>
        <v>15762</v>
      </c>
      <c r="M138" s="75">
        <f>VLOOKUP($A138,'Data Vlaue (Cr)'!$C:$FB,68)</f>
        <v>15020</v>
      </c>
      <c r="N138" s="75">
        <f t="shared" si="10"/>
        <v>742</v>
      </c>
      <c r="O138" s="75">
        <f t="shared" si="11"/>
        <v>4.7075244258342845</v>
      </c>
      <c r="P138" s="75">
        <f>VLOOKUP($A138,'Data Vlaue (Cr)'!$C:$FB,119)</f>
        <v>0.7</v>
      </c>
      <c r="Q138" s="75">
        <f>VLOOKUP($A138,'Data Vlaue (Cr)'!$C:$FB,122)*100</f>
        <v>22.81</v>
      </c>
      <c r="R138" s="75">
        <f>VLOOKUP($A138,'Data Vlaue (Cr)'!$C:$FB,125)</f>
        <v>0.53</v>
      </c>
      <c r="S138" s="75">
        <f>VLOOKUP($A138,'Data Vlaue (Cr)'!$C:$FB,128)*100</f>
        <v>-11.67</v>
      </c>
    </row>
    <row r="139" spans="1:19" x14ac:dyDescent="0.25">
      <c r="A139" s="96" t="str">
        <f>'Data Vlaue (Cr)'!C130</f>
        <v>MAXHEALTH</v>
      </c>
      <c r="B139" s="75">
        <f>VLOOKUP($A139,'Data Vlaue (Cr)'!$C:$FB,2)</f>
        <v>525</v>
      </c>
      <c r="C139" s="75">
        <f>VLOOKUP($A139,'Data Vlaue (Cr)'!$C:$FB,8)</f>
        <v>1186.4000000000001</v>
      </c>
      <c r="D139" s="75">
        <f>VLOOKUP($A139,'Data Vlaue (Cr)'!$C:$FB,4)</f>
        <v>1187.9000000000001</v>
      </c>
      <c r="E139" s="75">
        <f>VLOOKUP($A139,'Data Vlaue (Cr)'!$C:$FB,5)</f>
        <v>1185.0999999999999</v>
      </c>
      <c r="F139" s="75">
        <f t="shared" si="6"/>
        <v>1.5</v>
      </c>
      <c r="G139" s="75">
        <f t="shared" si="7"/>
        <v>0.23571007660579019</v>
      </c>
      <c r="H139" s="75">
        <f>VLOOKUP($A139,'Data Vlaue (Cr)'!$C:$FB,99)</f>
        <v>2556</v>
      </c>
      <c r="I139" s="75">
        <f>VLOOKUP($A139,'Data Vlaue (Cr)'!$C:$FB,100)</f>
        <v>2597</v>
      </c>
      <c r="J139" s="75">
        <f t="shared" si="8"/>
        <v>-41</v>
      </c>
      <c r="K139" s="75">
        <f t="shared" si="9"/>
        <v>-1.6040688575899842</v>
      </c>
      <c r="L139" s="75">
        <f>VLOOKUP($A139,'Data Vlaue (Cr)'!$C:$FB,67)</f>
        <v>1851</v>
      </c>
      <c r="M139" s="75">
        <f>VLOOKUP($A139,'Data Vlaue (Cr)'!$C:$FB,68)</f>
        <v>2702</v>
      </c>
      <c r="N139" s="75">
        <f t="shared" si="10"/>
        <v>-851</v>
      </c>
      <c r="O139" s="75">
        <f t="shared" si="11"/>
        <v>-45.975148568341439</v>
      </c>
      <c r="P139" s="75">
        <f>VLOOKUP($A139,'Data Vlaue (Cr)'!$C:$FB,119)</f>
        <v>0.68</v>
      </c>
      <c r="Q139" s="75">
        <f>VLOOKUP($A139,'Data Vlaue (Cr)'!$C:$FB,122)*100</f>
        <v>-11.690000000000001</v>
      </c>
      <c r="R139" s="75">
        <f>VLOOKUP($A139,'Data Vlaue (Cr)'!$C:$FB,125)</f>
        <v>0.76</v>
      </c>
      <c r="S139" s="75">
        <f>VLOOKUP($A139,'Data Vlaue (Cr)'!$C:$FB,128)*100</f>
        <v>-23.23</v>
      </c>
    </row>
    <row r="140" spans="1:19" x14ac:dyDescent="0.25">
      <c r="A140" s="96" t="str">
        <f>'Data Vlaue (Cr)'!C131</f>
        <v>MAZDOCK</v>
      </c>
      <c r="B140" s="75">
        <f>VLOOKUP($A140,'Data Vlaue (Cr)'!$C:$FB,2)</f>
        <v>175</v>
      </c>
      <c r="C140" s="75">
        <f>VLOOKUP($A140,'Data Vlaue (Cr)'!$C:$FB,8)</f>
        <v>2810.4</v>
      </c>
      <c r="D140" s="75">
        <f>VLOOKUP($A140,'Data Vlaue (Cr)'!$C:$FB,4)</f>
        <v>2810.2</v>
      </c>
      <c r="E140" s="75">
        <f>VLOOKUP($A140,'Data Vlaue (Cr)'!$C:$FB,5)</f>
        <v>2801.9</v>
      </c>
      <c r="F140" s="75">
        <f t="shared" ref="F140:F176" si="12">D140-C140</f>
        <v>-0.20000000000027285</v>
      </c>
      <c r="G140" s="75">
        <f t="shared" ref="G140:G176" si="13">(D140-E140)/D140*100</f>
        <v>0.29535264393992344</v>
      </c>
      <c r="H140" s="75">
        <f>VLOOKUP($A140,'Data Vlaue (Cr)'!$C:$FB,99)</f>
        <v>2485</v>
      </c>
      <c r="I140" s="75">
        <f>VLOOKUP($A140,'Data Vlaue (Cr)'!$C:$FB,100)</f>
        <v>2334</v>
      </c>
      <c r="J140" s="75">
        <f t="shared" ref="J140:J176" si="14">H140-I140</f>
        <v>151</v>
      </c>
      <c r="K140" s="75">
        <f t="shared" ref="K140:K176" si="15">J140/H140*100</f>
        <v>6.0764587525150908</v>
      </c>
      <c r="L140" s="75">
        <f>VLOOKUP($A140,'Data Vlaue (Cr)'!$C:$FB,67)</f>
        <v>3093</v>
      </c>
      <c r="M140" s="75">
        <f>VLOOKUP($A140,'Data Vlaue (Cr)'!$C:$FB,68)</f>
        <v>3023</v>
      </c>
      <c r="N140" s="75">
        <f t="shared" ref="N140:N176" si="16">L140-M140</f>
        <v>70</v>
      </c>
      <c r="O140" s="75">
        <f t="shared" ref="O140:O176" si="17">N140/L140*100</f>
        <v>2.2631749110895569</v>
      </c>
      <c r="P140" s="75">
        <f>VLOOKUP($A140,'Data Vlaue (Cr)'!$C:$FB,119)</f>
        <v>0.56999999999999995</v>
      </c>
      <c r="Q140" s="75">
        <f>VLOOKUP($A140,'Data Vlaue (Cr)'!$C:$FB,122)*100</f>
        <v>7.55</v>
      </c>
      <c r="R140" s="75">
        <f>VLOOKUP($A140,'Data Vlaue (Cr)'!$C:$FB,125)</f>
        <v>0.46</v>
      </c>
      <c r="S140" s="75">
        <f>VLOOKUP($A140,'Data Vlaue (Cr)'!$C:$FB,128)*100</f>
        <v>48.39</v>
      </c>
    </row>
    <row r="141" spans="1:19" x14ac:dyDescent="0.25">
      <c r="A141" s="96" t="str">
        <f>'Data Vlaue (Cr)'!C132</f>
        <v>MCX</v>
      </c>
      <c r="B141" s="75">
        <f>VLOOKUP($A141,'Data Vlaue (Cr)'!$C:$FB,2)</f>
        <v>125</v>
      </c>
      <c r="C141" s="75">
        <f>VLOOKUP($A141,'Data Vlaue (Cr)'!$C:$FB,8)</f>
        <v>9305.5</v>
      </c>
      <c r="D141" s="75">
        <f>VLOOKUP($A141,'Data Vlaue (Cr)'!$C:$FB,4)</f>
        <v>9310.5</v>
      </c>
      <c r="E141" s="75">
        <f>VLOOKUP($A141,'Data Vlaue (Cr)'!$C:$FB,5)</f>
        <v>9004</v>
      </c>
      <c r="F141" s="75">
        <f t="shared" si="12"/>
        <v>5</v>
      </c>
      <c r="G141" s="75">
        <f t="shared" si="13"/>
        <v>3.2919821706675263</v>
      </c>
      <c r="H141" s="75">
        <f>VLOOKUP($A141,'Data Vlaue (Cr)'!$C:$FB,99)</f>
        <v>8471</v>
      </c>
      <c r="I141" s="75">
        <f>VLOOKUP($A141,'Data Vlaue (Cr)'!$C:$FB,100)</f>
        <v>8730</v>
      </c>
      <c r="J141" s="75">
        <f t="shared" si="14"/>
        <v>-259</v>
      </c>
      <c r="K141" s="75">
        <f t="shared" si="15"/>
        <v>-3.0574902608900953</v>
      </c>
      <c r="L141" s="75">
        <f>VLOOKUP($A141,'Data Vlaue (Cr)'!$C:$FB,67)</f>
        <v>24660</v>
      </c>
      <c r="M141" s="75">
        <f>VLOOKUP($A141,'Data Vlaue (Cr)'!$C:$FB,68)</f>
        <v>17372</v>
      </c>
      <c r="N141" s="75">
        <f t="shared" si="16"/>
        <v>7288</v>
      </c>
      <c r="O141" s="75">
        <f t="shared" si="17"/>
        <v>29.553933495539336</v>
      </c>
      <c r="P141" s="75">
        <f>VLOOKUP($A141,'Data Vlaue (Cr)'!$C:$FB,119)</f>
        <v>0.63</v>
      </c>
      <c r="Q141" s="75">
        <f>VLOOKUP($A141,'Data Vlaue (Cr)'!$C:$FB,122)*100</f>
        <v>10.530000000000001</v>
      </c>
      <c r="R141" s="75">
        <f>VLOOKUP($A141,'Data Vlaue (Cr)'!$C:$FB,125)</f>
        <v>0.4</v>
      </c>
      <c r="S141" s="75">
        <f>VLOOKUP($A141,'Data Vlaue (Cr)'!$C:$FB,128)*100</f>
        <v>-35.480000000000004</v>
      </c>
    </row>
    <row r="142" spans="1:19" x14ac:dyDescent="0.25">
      <c r="A142" s="96" t="str">
        <f>'Data Vlaue (Cr)'!C133</f>
        <v>MFSL</v>
      </c>
      <c r="B142" s="75">
        <f>VLOOKUP($A142,'Data Vlaue (Cr)'!$C:$FB,2)</f>
        <v>800</v>
      </c>
      <c r="C142" s="75">
        <f>VLOOKUP($A142,'Data Vlaue (Cr)'!$C:$FB,8)</f>
        <v>1513.6</v>
      </c>
      <c r="D142" s="75">
        <f>VLOOKUP($A142,'Data Vlaue (Cr)'!$C:$FB,4)</f>
        <v>1512.2</v>
      </c>
      <c r="E142" s="75">
        <f>VLOOKUP($A142,'Data Vlaue (Cr)'!$C:$FB,5)</f>
        <v>1517</v>
      </c>
      <c r="F142" s="75">
        <f t="shared" si="12"/>
        <v>-1.3999999999998636</v>
      </c>
      <c r="G142" s="75">
        <f t="shared" si="13"/>
        <v>-0.31741833090860694</v>
      </c>
      <c r="H142" s="75">
        <f>VLOOKUP($A142,'Data Vlaue (Cr)'!$C:$FB,99)</f>
        <v>1338</v>
      </c>
      <c r="I142" s="75">
        <f>VLOOKUP($A142,'Data Vlaue (Cr)'!$C:$FB,100)</f>
        <v>1344</v>
      </c>
      <c r="J142" s="75">
        <f t="shared" si="14"/>
        <v>-6</v>
      </c>
      <c r="K142" s="75">
        <f t="shared" si="15"/>
        <v>-0.44843049327354262</v>
      </c>
      <c r="L142" s="75">
        <f>VLOOKUP($A142,'Data Vlaue (Cr)'!$C:$FB,67)</f>
        <v>1188</v>
      </c>
      <c r="M142" s="75">
        <f>VLOOKUP($A142,'Data Vlaue (Cr)'!$C:$FB,68)</f>
        <v>1283</v>
      </c>
      <c r="N142" s="75">
        <f t="shared" si="16"/>
        <v>-95</v>
      </c>
      <c r="O142" s="75">
        <f t="shared" si="17"/>
        <v>-7.9966329966329965</v>
      </c>
      <c r="P142" s="75">
        <f>VLOOKUP($A142,'Data Vlaue (Cr)'!$C:$FB,119)</f>
        <v>0.71</v>
      </c>
      <c r="Q142" s="75">
        <f>VLOOKUP($A142,'Data Vlaue (Cr)'!$C:$FB,122)*100</f>
        <v>-6.58</v>
      </c>
      <c r="R142" s="75">
        <f>VLOOKUP($A142,'Data Vlaue (Cr)'!$C:$FB,125)</f>
        <v>0.45</v>
      </c>
      <c r="S142" s="75">
        <f>VLOOKUP($A142,'Data Vlaue (Cr)'!$C:$FB,128)*100</f>
        <v>-4.26</v>
      </c>
    </row>
    <row r="143" spans="1:19" x14ac:dyDescent="0.25">
      <c r="A143" s="96" t="str">
        <f>'Data Vlaue (Cr)'!C134</f>
        <v>MIDCPNIFTY</v>
      </c>
      <c r="B143" s="75">
        <f>VLOOKUP($A143,'Data Vlaue (Cr)'!$C:$FB,2)</f>
        <v>140</v>
      </c>
      <c r="C143" s="75">
        <f>VLOOKUP($A143,'Data Vlaue (Cr)'!$C:$FB,8)</f>
        <v>13345.3</v>
      </c>
      <c r="D143" s="75">
        <f>VLOOKUP($A143,'Data Vlaue (Cr)'!$C:$FB,4)</f>
        <v>13367.75</v>
      </c>
      <c r="E143" s="75">
        <f>VLOOKUP($A143,'Data Vlaue (Cr)'!$C:$FB,5)</f>
        <v>13168.35</v>
      </c>
      <c r="F143" s="75">
        <f t="shared" si="12"/>
        <v>22.450000000000728</v>
      </c>
      <c r="G143" s="75">
        <f t="shared" si="13"/>
        <v>1.4916496792653935</v>
      </c>
      <c r="H143" s="75">
        <f>VLOOKUP($A143,'Data Vlaue (Cr)'!$C:$FB,99)</f>
        <v>41469</v>
      </c>
      <c r="I143" s="75">
        <f>VLOOKUP($A143,'Data Vlaue (Cr)'!$C:$FB,100)</f>
        <v>37874</v>
      </c>
      <c r="J143" s="75">
        <f t="shared" si="14"/>
        <v>3595</v>
      </c>
      <c r="K143" s="75"/>
      <c r="L143" s="75">
        <f>VLOOKUP($A143,'Data Vlaue (Cr)'!$C:$FB,67)</f>
        <v>421457</v>
      </c>
      <c r="M143" s="75">
        <f>VLOOKUP($A143,'Data Vlaue (Cr)'!$C:$FB,68)</f>
        <v>375574</v>
      </c>
      <c r="N143" s="75">
        <f t="shared" si="16"/>
        <v>45883</v>
      </c>
      <c r="O143" s="75">
        <f t="shared" si="17"/>
        <v>10.88675713062068</v>
      </c>
      <c r="P143" s="75">
        <f>VLOOKUP($A143,'Data Vlaue (Cr)'!$C:$FB,119)</f>
        <v>1.19</v>
      </c>
      <c r="Q143" s="75">
        <f>VLOOKUP($A143,'Data Vlaue (Cr)'!$C:$FB,122)*100</f>
        <v>33.71</v>
      </c>
      <c r="R143" s="75">
        <f>VLOOKUP($A143,'Data Vlaue (Cr)'!$C:$FB,125)</f>
        <v>0.84</v>
      </c>
      <c r="S143" s="75">
        <f>VLOOKUP($A143,'Data Vlaue (Cr)'!$C:$FB,128)*100</f>
        <v>-16</v>
      </c>
    </row>
    <row r="144" spans="1:19" x14ac:dyDescent="0.25">
      <c r="A144" s="96" t="str">
        <f>'Data Vlaue (Cr)'!C135</f>
        <v>MOTHERSON</v>
      </c>
      <c r="B144" s="75">
        <f>VLOOKUP($A144,'Data Vlaue (Cr)'!$C:$FB,2)</f>
        <v>6150</v>
      </c>
      <c r="C144" s="75">
        <f>VLOOKUP($A144,'Data Vlaue (Cr)'!$C:$FB,8)</f>
        <v>106.93</v>
      </c>
      <c r="D144" s="75">
        <f>VLOOKUP($A144,'Data Vlaue (Cr)'!$C:$FB,4)</f>
        <v>107.08</v>
      </c>
      <c r="E144" s="75">
        <f>VLOOKUP($A144,'Data Vlaue (Cr)'!$C:$FB,5)</f>
        <v>106.13</v>
      </c>
      <c r="F144" s="75">
        <f t="shared" si="12"/>
        <v>0.14999999999999147</v>
      </c>
      <c r="G144" s="75">
        <f t="shared" si="13"/>
        <v>0.88718714979454882</v>
      </c>
      <c r="H144" s="75">
        <f>VLOOKUP($A144,'Data Vlaue (Cr)'!$C:$FB,99)</f>
        <v>3267</v>
      </c>
      <c r="I144" s="75">
        <f>VLOOKUP($A144,'Data Vlaue (Cr)'!$C:$FB,100)</f>
        <v>3331</v>
      </c>
      <c r="J144" s="75">
        <f t="shared" si="14"/>
        <v>-64</v>
      </c>
      <c r="K144" s="75">
        <f t="shared" si="15"/>
        <v>-1.9589837771655954</v>
      </c>
      <c r="L144" s="75">
        <f>VLOOKUP($A144,'Data Vlaue (Cr)'!$C:$FB,67)</f>
        <v>1893</v>
      </c>
      <c r="M144" s="75">
        <f>VLOOKUP($A144,'Data Vlaue (Cr)'!$C:$FB,68)</f>
        <v>2318</v>
      </c>
      <c r="N144" s="75">
        <f t="shared" si="16"/>
        <v>-425</v>
      </c>
      <c r="O144" s="75">
        <f t="shared" si="17"/>
        <v>-22.451135763338616</v>
      </c>
      <c r="P144" s="75">
        <f>VLOOKUP($A144,'Data Vlaue (Cr)'!$C:$FB,119)</f>
        <v>0.52</v>
      </c>
      <c r="Q144" s="75">
        <f>VLOOKUP($A144,'Data Vlaue (Cr)'!$C:$FB,122)*100</f>
        <v>6.12</v>
      </c>
      <c r="R144" s="75">
        <f>VLOOKUP($A144,'Data Vlaue (Cr)'!$C:$FB,125)</f>
        <v>0.55000000000000004</v>
      </c>
      <c r="S144" s="75">
        <f>VLOOKUP($A144,'Data Vlaue (Cr)'!$C:$FB,128)*100</f>
        <v>34.150000000000006</v>
      </c>
    </row>
    <row r="145" spans="1:19" x14ac:dyDescent="0.25">
      <c r="A145" s="96" t="str">
        <f>'Data Vlaue (Cr)'!C136</f>
        <v>MPHASIS</v>
      </c>
      <c r="B145" s="75">
        <f>VLOOKUP($A145,'Data Vlaue (Cr)'!$C:$FB,2)</f>
        <v>275</v>
      </c>
      <c r="C145" s="75">
        <f>VLOOKUP($A145,'Data Vlaue (Cr)'!$C:$FB,8)</f>
        <v>2888.7</v>
      </c>
      <c r="D145" s="75">
        <f>VLOOKUP($A145,'Data Vlaue (Cr)'!$C:$FB,4)</f>
        <v>2889.3</v>
      </c>
      <c r="E145" s="75">
        <f>VLOOKUP($A145,'Data Vlaue (Cr)'!$C:$FB,5)</f>
        <v>2815.3</v>
      </c>
      <c r="F145" s="75">
        <f t="shared" si="12"/>
        <v>0.6000000000003638</v>
      </c>
      <c r="G145" s="75">
        <f t="shared" si="13"/>
        <v>2.5611739867788046</v>
      </c>
      <c r="H145" s="75">
        <f>VLOOKUP($A145,'Data Vlaue (Cr)'!$C:$FB,99)</f>
        <v>1708</v>
      </c>
      <c r="I145" s="75">
        <f>VLOOKUP($A145,'Data Vlaue (Cr)'!$C:$FB,100)</f>
        <v>1759</v>
      </c>
      <c r="J145" s="75">
        <f t="shared" si="14"/>
        <v>-51</v>
      </c>
      <c r="K145" s="75">
        <f t="shared" si="15"/>
        <v>-2.9859484777517564</v>
      </c>
      <c r="L145" s="75">
        <f>VLOOKUP($A145,'Data Vlaue (Cr)'!$C:$FB,67)</f>
        <v>2481</v>
      </c>
      <c r="M145" s="75">
        <f>VLOOKUP($A145,'Data Vlaue (Cr)'!$C:$FB,68)</f>
        <v>1984</v>
      </c>
      <c r="N145" s="75">
        <f t="shared" si="16"/>
        <v>497</v>
      </c>
      <c r="O145" s="75">
        <f t="shared" si="17"/>
        <v>20.032245062474807</v>
      </c>
      <c r="P145" s="75">
        <f>VLOOKUP($A145,'Data Vlaue (Cr)'!$C:$FB,119)</f>
        <v>0.9</v>
      </c>
      <c r="Q145" s="75">
        <f>VLOOKUP($A145,'Data Vlaue (Cr)'!$C:$FB,122)*100</f>
        <v>38.46</v>
      </c>
      <c r="R145" s="75">
        <f>VLOOKUP($A145,'Data Vlaue (Cr)'!$C:$FB,125)</f>
        <v>0.37</v>
      </c>
      <c r="S145" s="75">
        <f>VLOOKUP($A145,'Data Vlaue (Cr)'!$C:$FB,128)*100</f>
        <v>-2.63</v>
      </c>
    </row>
    <row r="146" spans="1:19" x14ac:dyDescent="0.25">
      <c r="A146" s="96" t="str">
        <f>'Data Vlaue (Cr)'!C137</f>
        <v>MUTHOOTFIN</v>
      </c>
      <c r="B146" s="75">
        <f>VLOOKUP($A146,'Data Vlaue (Cr)'!$C:$FB,2)</f>
        <v>275</v>
      </c>
      <c r="C146" s="75">
        <f>VLOOKUP($A146,'Data Vlaue (Cr)'!$C:$FB,8)</f>
        <v>3145.9</v>
      </c>
      <c r="D146" s="75">
        <f>VLOOKUP($A146,'Data Vlaue (Cr)'!$C:$FB,4)</f>
        <v>3153.7</v>
      </c>
      <c r="E146" s="75">
        <f>VLOOKUP($A146,'Data Vlaue (Cr)'!$C:$FB,5)</f>
        <v>3167.7</v>
      </c>
      <c r="F146" s="75">
        <f t="shared" si="12"/>
        <v>7.7999999999997272</v>
      </c>
      <c r="G146" s="75">
        <f t="shared" si="13"/>
        <v>-0.44392301106636656</v>
      </c>
      <c r="H146" s="75">
        <f>VLOOKUP($A146,'Data Vlaue (Cr)'!$C:$FB,99)</f>
        <v>2477</v>
      </c>
      <c r="I146" s="75">
        <f>VLOOKUP($A146,'Data Vlaue (Cr)'!$C:$FB,100)</f>
        <v>2710</v>
      </c>
      <c r="J146" s="75">
        <f t="shared" si="14"/>
        <v>-233</v>
      </c>
      <c r="K146" s="75">
        <f t="shared" si="15"/>
        <v>-9.4065401695599515</v>
      </c>
      <c r="L146" s="75">
        <f>VLOOKUP($A146,'Data Vlaue (Cr)'!$C:$FB,67)</f>
        <v>2746</v>
      </c>
      <c r="M146" s="75">
        <f>VLOOKUP($A146,'Data Vlaue (Cr)'!$C:$FB,68)</f>
        <v>5909</v>
      </c>
      <c r="N146" s="75">
        <f t="shared" si="16"/>
        <v>-3163</v>
      </c>
      <c r="O146" s="75">
        <f t="shared" si="17"/>
        <v>-115.18572469045884</v>
      </c>
      <c r="P146" s="75">
        <f>VLOOKUP($A146,'Data Vlaue (Cr)'!$C:$FB,119)</f>
        <v>0.63</v>
      </c>
      <c r="Q146" s="75">
        <f>VLOOKUP($A146,'Data Vlaue (Cr)'!$C:$FB,122)*100</f>
        <v>0</v>
      </c>
      <c r="R146" s="75">
        <f>VLOOKUP($A146,'Data Vlaue (Cr)'!$C:$FB,125)</f>
        <v>0.77</v>
      </c>
      <c r="S146" s="75">
        <f>VLOOKUP($A146,'Data Vlaue (Cr)'!$C:$FB,128)*100</f>
        <v>2.67</v>
      </c>
    </row>
    <row r="147" spans="1:19" x14ac:dyDescent="0.25">
      <c r="A147" s="96" t="str">
        <f>'Data Vlaue (Cr)'!C138</f>
        <v>NATIONALUM</v>
      </c>
      <c r="B147" s="75">
        <f>VLOOKUP($A147,'Data Vlaue (Cr)'!$C:$FB,2)</f>
        <v>3750</v>
      </c>
      <c r="C147" s="75">
        <f>VLOOKUP($A147,'Data Vlaue (Cr)'!$C:$FB,8)</f>
        <v>237.87</v>
      </c>
      <c r="D147" s="75">
        <f>VLOOKUP($A147,'Data Vlaue (Cr)'!$C:$FB,4)</f>
        <v>238.17</v>
      </c>
      <c r="E147" s="75">
        <f>VLOOKUP($A147,'Data Vlaue (Cr)'!$C:$FB,5)</f>
        <v>236.05</v>
      </c>
      <c r="F147" s="75">
        <f t="shared" si="12"/>
        <v>0.29999999999998295</v>
      </c>
      <c r="G147" s="75">
        <f t="shared" si="13"/>
        <v>0.89012050216231098</v>
      </c>
      <c r="H147" s="75">
        <f>VLOOKUP($A147,'Data Vlaue (Cr)'!$C:$FB,99)</f>
        <v>3488</v>
      </c>
      <c r="I147" s="75">
        <f>VLOOKUP($A147,'Data Vlaue (Cr)'!$C:$FB,100)</f>
        <v>3515</v>
      </c>
      <c r="J147" s="75">
        <f t="shared" si="14"/>
        <v>-27</v>
      </c>
      <c r="K147" s="75">
        <f t="shared" si="15"/>
        <v>-0.7740825688073395</v>
      </c>
      <c r="L147" s="75">
        <f>VLOOKUP($A147,'Data Vlaue (Cr)'!$C:$FB,67)</f>
        <v>3958</v>
      </c>
      <c r="M147" s="75">
        <f>VLOOKUP($A147,'Data Vlaue (Cr)'!$C:$FB,68)</f>
        <v>9126</v>
      </c>
      <c r="N147" s="75">
        <f t="shared" si="16"/>
        <v>-5168</v>
      </c>
      <c r="O147" s="75">
        <f t="shared" si="17"/>
        <v>-130.57099545224861</v>
      </c>
      <c r="P147" s="75">
        <f>VLOOKUP($A147,'Data Vlaue (Cr)'!$C:$FB,119)</f>
        <v>0.9</v>
      </c>
      <c r="Q147" s="75">
        <f>VLOOKUP($A147,'Data Vlaue (Cr)'!$C:$FB,122)*100</f>
        <v>8.43</v>
      </c>
      <c r="R147" s="75">
        <f>VLOOKUP($A147,'Data Vlaue (Cr)'!$C:$FB,125)</f>
        <v>0.51</v>
      </c>
      <c r="S147" s="75">
        <f>VLOOKUP($A147,'Data Vlaue (Cr)'!$C:$FB,128)*100</f>
        <v>8.51</v>
      </c>
    </row>
    <row r="148" spans="1:19" x14ac:dyDescent="0.25">
      <c r="A148" s="96" t="str">
        <f>'Data Vlaue (Cr)'!C139</f>
        <v>NAUKRI</v>
      </c>
      <c r="B148" s="75">
        <f>VLOOKUP($A148,'Data Vlaue (Cr)'!$C:$FB,2)</f>
        <v>375</v>
      </c>
      <c r="C148" s="75">
        <f>VLOOKUP($A148,'Data Vlaue (Cr)'!$C:$FB,8)</f>
        <v>1364.7</v>
      </c>
      <c r="D148" s="75">
        <f>VLOOKUP($A148,'Data Vlaue (Cr)'!$C:$FB,4)</f>
        <v>1366.7</v>
      </c>
      <c r="E148" s="75">
        <f>VLOOKUP($A148,'Data Vlaue (Cr)'!$C:$FB,5)</f>
        <v>1376.6</v>
      </c>
      <c r="F148" s="75">
        <f t="shared" si="12"/>
        <v>2</v>
      </c>
      <c r="G148" s="75">
        <f t="shared" si="13"/>
        <v>-0.72437257627861729</v>
      </c>
      <c r="H148" s="75">
        <f>VLOOKUP($A148,'Data Vlaue (Cr)'!$C:$FB,99)</f>
        <v>1723</v>
      </c>
      <c r="I148" s="75">
        <f>VLOOKUP($A148,'Data Vlaue (Cr)'!$C:$FB,100)</f>
        <v>1772</v>
      </c>
      <c r="J148" s="75">
        <f t="shared" si="14"/>
        <v>-49</v>
      </c>
      <c r="K148" s="75">
        <f t="shared" si="15"/>
        <v>-2.8438769587928032</v>
      </c>
      <c r="L148" s="75">
        <f>VLOOKUP($A148,'Data Vlaue (Cr)'!$C:$FB,67)</f>
        <v>1512</v>
      </c>
      <c r="M148" s="75">
        <f>VLOOKUP($A148,'Data Vlaue (Cr)'!$C:$FB,68)</f>
        <v>4804</v>
      </c>
      <c r="N148" s="75">
        <f t="shared" si="16"/>
        <v>-3292</v>
      </c>
      <c r="O148" s="75">
        <f t="shared" si="17"/>
        <v>-217.72486772486772</v>
      </c>
      <c r="P148" s="75">
        <f>VLOOKUP($A148,'Data Vlaue (Cr)'!$C:$FB,119)</f>
        <v>0.63</v>
      </c>
      <c r="Q148" s="75">
        <f>VLOOKUP($A148,'Data Vlaue (Cr)'!$C:$FB,122)*100</f>
        <v>3.2800000000000002</v>
      </c>
      <c r="R148" s="75">
        <f>VLOOKUP($A148,'Data Vlaue (Cr)'!$C:$FB,125)</f>
        <v>0.39</v>
      </c>
      <c r="S148" s="75">
        <f>VLOOKUP($A148,'Data Vlaue (Cr)'!$C:$FB,128)*100</f>
        <v>39.290000000000006</v>
      </c>
    </row>
    <row r="149" spans="1:19" x14ac:dyDescent="0.25">
      <c r="A149" s="96" t="str">
        <f>'Data Vlaue (Cr)'!C140</f>
        <v>NBCC</v>
      </c>
      <c r="B149" s="75">
        <f>VLOOKUP($A149,'Data Vlaue (Cr)'!$C:$FB,2)</f>
        <v>6500</v>
      </c>
      <c r="C149" s="75">
        <f>VLOOKUP($A149,'Data Vlaue (Cr)'!$C:$FB,8)</f>
        <v>111.5</v>
      </c>
      <c r="D149" s="75">
        <f>VLOOKUP($A149,'Data Vlaue (Cr)'!$C:$FB,4)</f>
        <v>111.67</v>
      </c>
      <c r="E149" s="75">
        <f>VLOOKUP($A149,'Data Vlaue (Cr)'!$C:$FB,5)</f>
        <v>111.62</v>
      </c>
      <c r="F149" s="75">
        <f t="shared" si="12"/>
        <v>0.17000000000000171</v>
      </c>
      <c r="G149" s="75">
        <f t="shared" si="13"/>
        <v>4.4774782842300673E-2</v>
      </c>
      <c r="H149" s="75">
        <f>VLOOKUP($A149,'Data Vlaue (Cr)'!$C:$FB,99)</f>
        <v>1205</v>
      </c>
      <c r="I149" s="75">
        <f>VLOOKUP($A149,'Data Vlaue (Cr)'!$C:$FB,100)</f>
        <v>1207</v>
      </c>
      <c r="J149" s="75">
        <f t="shared" si="14"/>
        <v>-2</v>
      </c>
      <c r="K149" s="75">
        <f t="shared" si="15"/>
        <v>-0.16597510373443983</v>
      </c>
      <c r="L149" s="75">
        <f>VLOOKUP($A149,'Data Vlaue (Cr)'!$C:$FB,67)</f>
        <v>640</v>
      </c>
      <c r="M149" s="75">
        <f>VLOOKUP($A149,'Data Vlaue (Cr)'!$C:$FB,68)</f>
        <v>741</v>
      </c>
      <c r="N149" s="75">
        <f t="shared" si="16"/>
        <v>-101</v>
      </c>
      <c r="O149" s="75">
        <f t="shared" si="17"/>
        <v>-15.78125</v>
      </c>
      <c r="P149" s="75">
        <f>VLOOKUP($A149,'Data Vlaue (Cr)'!$C:$FB,119)</f>
        <v>0.56999999999999995</v>
      </c>
      <c r="Q149" s="75">
        <f>VLOOKUP($A149,'Data Vlaue (Cr)'!$C:$FB,122)*100</f>
        <v>5.56</v>
      </c>
      <c r="R149" s="75">
        <f>VLOOKUP($A149,'Data Vlaue (Cr)'!$C:$FB,125)</f>
        <v>0.48</v>
      </c>
      <c r="S149" s="75">
        <f>VLOOKUP($A149,'Data Vlaue (Cr)'!$C:$FB,128)*100</f>
        <v>11.63</v>
      </c>
    </row>
    <row r="150" spans="1:19" x14ac:dyDescent="0.25">
      <c r="A150" s="96" t="str">
        <f>'Data Vlaue (Cr)'!C141</f>
        <v>NCC</v>
      </c>
      <c r="B150" s="75">
        <f>VLOOKUP($A150,'Data Vlaue (Cr)'!$C:$FB,2)</f>
        <v>2700</v>
      </c>
      <c r="C150" s="75">
        <f>VLOOKUP($A150,'Data Vlaue (Cr)'!$C:$FB,8)</f>
        <v>213.55</v>
      </c>
      <c r="D150" s="75">
        <f>VLOOKUP($A150,'Data Vlaue (Cr)'!$C:$FB,4)</f>
        <v>213.92</v>
      </c>
      <c r="E150" s="75">
        <f>VLOOKUP($A150,'Data Vlaue (Cr)'!$C:$FB,5)</f>
        <v>209.51</v>
      </c>
      <c r="F150" s="75">
        <f t="shared" si="12"/>
        <v>0.36999999999997613</v>
      </c>
      <c r="G150" s="75">
        <f t="shared" si="13"/>
        <v>2.0615183246073281</v>
      </c>
      <c r="H150" s="75">
        <f>VLOOKUP($A150,'Data Vlaue (Cr)'!$C:$FB,99)</f>
        <v>674</v>
      </c>
      <c r="I150" s="75">
        <f>VLOOKUP($A150,'Data Vlaue (Cr)'!$C:$FB,100)</f>
        <v>715</v>
      </c>
      <c r="J150" s="75">
        <f t="shared" si="14"/>
        <v>-41</v>
      </c>
      <c r="K150" s="75">
        <f t="shared" si="15"/>
        <v>-6.0830860534124627</v>
      </c>
      <c r="L150" s="75">
        <f>VLOOKUP($A150,'Data Vlaue (Cr)'!$C:$FB,67)</f>
        <v>893</v>
      </c>
      <c r="M150" s="75">
        <f>VLOOKUP($A150,'Data Vlaue (Cr)'!$C:$FB,68)</f>
        <v>472</v>
      </c>
      <c r="N150" s="75">
        <f t="shared" si="16"/>
        <v>421</v>
      </c>
      <c r="O150" s="75">
        <f t="shared" si="17"/>
        <v>47.144456886898098</v>
      </c>
      <c r="P150" s="75">
        <f>VLOOKUP($A150,'Data Vlaue (Cr)'!$C:$FB,119)</f>
        <v>0.59</v>
      </c>
      <c r="Q150" s="75">
        <f>VLOOKUP($A150,'Data Vlaue (Cr)'!$C:$FB,122)*100</f>
        <v>22.919999999999998</v>
      </c>
      <c r="R150" s="75">
        <f>VLOOKUP($A150,'Data Vlaue (Cr)'!$C:$FB,125)</f>
        <v>0.33</v>
      </c>
      <c r="S150" s="75">
        <f>VLOOKUP($A150,'Data Vlaue (Cr)'!$C:$FB,128)*100</f>
        <v>-31.25</v>
      </c>
    </row>
    <row r="151" spans="1:19" x14ac:dyDescent="0.25">
      <c r="A151" s="96" t="str">
        <f>'Data Vlaue (Cr)'!C142</f>
        <v>NESTLEIND</v>
      </c>
      <c r="B151" s="75">
        <f>VLOOKUP($A151,'Data Vlaue (Cr)'!$C:$FB,2)</f>
        <v>500</v>
      </c>
      <c r="C151" s="75">
        <f>VLOOKUP($A151,'Data Vlaue (Cr)'!$C:$FB,8)</f>
        <v>1283</v>
      </c>
      <c r="D151" s="75">
        <f>VLOOKUP($A151,'Data Vlaue (Cr)'!$C:$FB,4)</f>
        <v>1284.5999999999999</v>
      </c>
      <c r="E151" s="75">
        <f>VLOOKUP($A151,'Data Vlaue (Cr)'!$C:$FB,5)</f>
        <v>1282.7</v>
      </c>
      <c r="F151" s="75">
        <f t="shared" si="12"/>
        <v>1.5999999999999091</v>
      </c>
      <c r="G151" s="75">
        <f t="shared" si="13"/>
        <v>0.14790596294565339</v>
      </c>
      <c r="H151" s="75">
        <f>VLOOKUP($A151,'Data Vlaue (Cr)'!$C:$FB,99)</f>
        <v>4459</v>
      </c>
      <c r="I151" s="75">
        <f>VLOOKUP($A151,'Data Vlaue (Cr)'!$C:$FB,100)</f>
        <v>4567</v>
      </c>
      <c r="J151" s="75">
        <f t="shared" si="14"/>
        <v>-108</v>
      </c>
      <c r="K151" s="75">
        <f t="shared" si="15"/>
        <v>-2.4220677281901772</v>
      </c>
      <c r="L151" s="75">
        <f>VLOOKUP($A151,'Data Vlaue (Cr)'!$C:$FB,67)</f>
        <v>3496</v>
      </c>
      <c r="M151" s="75">
        <f>VLOOKUP($A151,'Data Vlaue (Cr)'!$C:$FB,68)</f>
        <v>4312</v>
      </c>
      <c r="N151" s="75">
        <f t="shared" si="16"/>
        <v>-816</v>
      </c>
      <c r="O151" s="75">
        <f t="shared" si="17"/>
        <v>-23.340961098398168</v>
      </c>
      <c r="P151" s="75">
        <f>VLOOKUP($A151,'Data Vlaue (Cr)'!$C:$FB,119)</f>
        <v>0.84</v>
      </c>
      <c r="Q151" s="75">
        <f>VLOOKUP($A151,'Data Vlaue (Cr)'!$C:$FB,122)*100</f>
        <v>-13.4</v>
      </c>
      <c r="R151" s="75">
        <f>VLOOKUP($A151,'Data Vlaue (Cr)'!$C:$FB,125)</f>
        <v>0.67</v>
      </c>
      <c r="S151" s="75">
        <f>VLOOKUP($A151,'Data Vlaue (Cr)'!$C:$FB,128)*100</f>
        <v>-20.239999999999998</v>
      </c>
    </row>
    <row r="152" spans="1:19" x14ac:dyDescent="0.25">
      <c r="A152" s="96" t="str">
        <f>'Data Vlaue (Cr)'!C143</f>
        <v>NHPC</v>
      </c>
      <c r="B152" s="75">
        <f>VLOOKUP($A152,'Data Vlaue (Cr)'!$C:$FB,2)</f>
        <v>6400</v>
      </c>
      <c r="C152" s="75">
        <f>VLOOKUP($A152,'Data Vlaue (Cr)'!$C:$FB,8)</f>
        <v>85.02</v>
      </c>
      <c r="D152" s="75">
        <f>VLOOKUP($A152,'Data Vlaue (Cr)'!$C:$FB,4)</f>
        <v>85.1</v>
      </c>
      <c r="E152" s="75">
        <f>VLOOKUP($A152,'Data Vlaue (Cr)'!$C:$FB,5)</f>
        <v>84.89</v>
      </c>
      <c r="F152" s="75">
        <f t="shared" si="12"/>
        <v>7.9999999999998295E-2</v>
      </c>
      <c r="G152" s="75">
        <f t="shared" si="13"/>
        <v>0.24676850763806552</v>
      </c>
      <c r="H152" s="75">
        <f>VLOOKUP($A152,'Data Vlaue (Cr)'!$C:$FB,99)</f>
        <v>800</v>
      </c>
      <c r="I152" s="75">
        <f>VLOOKUP($A152,'Data Vlaue (Cr)'!$C:$FB,100)</f>
        <v>799</v>
      </c>
      <c r="J152" s="75">
        <f t="shared" si="14"/>
        <v>1</v>
      </c>
      <c r="K152" s="75">
        <f t="shared" si="15"/>
        <v>0.125</v>
      </c>
      <c r="L152" s="75">
        <f>VLOOKUP($A152,'Data Vlaue (Cr)'!$C:$FB,67)</f>
        <v>411</v>
      </c>
      <c r="M152" s="75">
        <f>VLOOKUP($A152,'Data Vlaue (Cr)'!$C:$FB,68)</f>
        <v>732</v>
      </c>
      <c r="N152" s="75">
        <f t="shared" si="16"/>
        <v>-321</v>
      </c>
      <c r="O152" s="75">
        <f t="shared" si="17"/>
        <v>-78.102189781021906</v>
      </c>
      <c r="P152" s="75">
        <f>VLOOKUP($A152,'Data Vlaue (Cr)'!$C:$FB,119)</f>
        <v>0.41</v>
      </c>
      <c r="Q152" s="75">
        <f>VLOOKUP($A152,'Data Vlaue (Cr)'!$C:$FB,122)*100</f>
        <v>0</v>
      </c>
      <c r="R152" s="75">
        <f>VLOOKUP($A152,'Data Vlaue (Cr)'!$C:$FB,125)</f>
        <v>0.37</v>
      </c>
      <c r="S152" s="75">
        <f>VLOOKUP($A152,'Data Vlaue (Cr)'!$C:$FB,128)*100</f>
        <v>-26</v>
      </c>
    </row>
    <row r="153" spans="1:19" x14ac:dyDescent="0.25">
      <c r="A153" s="96" t="str">
        <f>'Data Vlaue (Cr)'!C144</f>
        <v>NIFTY</v>
      </c>
      <c r="B153" s="75">
        <f>VLOOKUP($A153,'Data Vlaue (Cr)'!$C:$FB,2)</f>
        <v>75</v>
      </c>
      <c r="C153" s="75">
        <f>VLOOKUP($A153,'Data Vlaue (Cr)'!$C:$FB,8)</f>
        <v>25966.05</v>
      </c>
      <c r="D153" s="75">
        <f>VLOOKUP($A153,'Data Vlaue (Cr)'!$C:$FB,4)</f>
        <v>26013.5</v>
      </c>
      <c r="E153" s="75">
        <f>VLOOKUP($A153,'Data Vlaue (Cr)'!$C:$FB,5)</f>
        <v>25814.799999999999</v>
      </c>
      <c r="F153" s="75">
        <f t="shared" si="12"/>
        <v>47.450000000000728</v>
      </c>
      <c r="G153" s="75">
        <f t="shared" si="13"/>
        <v>0.76383416303073681</v>
      </c>
      <c r="H153" s="75">
        <f>VLOOKUP($A153,'Data Vlaue (Cr)'!$C:$FB,99)</f>
        <v>1623353</v>
      </c>
      <c r="I153" s="75">
        <f>VLOOKUP($A153,'Data Vlaue (Cr)'!$C:$FB,100)</f>
        <v>1556900</v>
      </c>
      <c r="J153" s="75">
        <f t="shared" si="14"/>
        <v>66453</v>
      </c>
      <c r="K153" s="75">
        <f t="shared" si="15"/>
        <v>4.0935643695487061</v>
      </c>
      <c r="L153" s="75">
        <f>VLOOKUP($A153,'Data Vlaue (Cr)'!$C:$FB,67)</f>
        <v>25580003</v>
      </c>
      <c r="M153" s="75">
        <f>VLOOKUP($A153,'Data Vlaue (Cr)'!$C:$FB,68)</f>
        <v>23701832</v>
      </c>
      <c r="N153" s="75">
        <f t="shared" si="16"/>
        <v>1878171</v>
      </c>
      <c r="O153" s="75">
        <f t="shared" si="17"/>
        <v>7.3423408120788718</v>
      </c>
      <c r="P153" s="75">
        <f>VLOOKUP($A153,'Data Vlaue (Cr)'!$C:$FB,119)</f>
        <v>1.07</v>
      </c>
      <c r="Q153" s="75">
        <f>VLOOKUP($A153,'Data Vlaue (Cr)'!$C:$FB,122)*100</f>
        <v>40.79</v>
      </c>
      <c r="R153" s="75">
        <f>VLOOKUP($A153,'Data Vlaue (Cr)'!$C:$FB,125)</f>
        <v>0.96</v>
      </c>
      <c r="S153" s="75">
        <f>VLOOKUP($A153,'Data Vlaue (Cr)'!$C:$FB,128)*100</f>
        <v>-11.110000000000001</v>
      </c>
    </row>
    <row r="154" spans="1:19" x14ac:dyDescent="0.25">
      <c r="A154" s="96" t="str">
        <f>'Data Vlaue (Cr)'!C145</f>
        <v>NIFTYNXT50</v>
      </c>
      <c r="B154" s="75">
        <f>VLOOKUP($A154,'Data Vlaue (Cr)'!$C:$FB,2)</f>
        <v>25</v>
      </c>
      <c r="C154" s="75">
        <f>VLOOKUP($A154,'Data Vlaue (Cr)'!$C:$FB,8)</f>
        <v>69612.2</v>
      </c>
      <c r="D154" s="75">
        <f>VLOOKUP($A154,'Data Vlaue (Cr)'!$C:$FB,4)</f>
        <v>69571</v>
      </c>
      <c r="E154" s="75">
        <f>VLOOKUP($A154,'Data Vlaue (Cr)'!$C:$FB,5)</f>
        <v>69273.2</v>
      </c>
      <c r="F154" s="75">
        <f t="shared" si="12"/>
        <v>-41.19999999999709</v>
      </c>
      <c r="G154" s="75">
        <f t="shared" si="13"/>
        <v>0.4280519181843051</v>
      </c>
      <c r="H154" s="75">
        <f>VLOOKUP($A154,'Data Vlaue (Cr)'!$C:$FB,99)</f>
        <v>438</v>
      </c>
      <c r="I154" s="75">
        <f>VLOOKUP($A154,'Data Vlaue (Cr)'!$C:$FB,100)</f>
        <v>339</v>
      </c>
      <c r="J154" s="75">
        <f t="shared" si="14"/>
        <v>99</v>
      </c>
      <c r="K154" s="75">
        <f t="shared" si="15"/>
        <v>22.602739726027394</v>
      </c>
      <c r="L154" s="75">
        <f>VLOOKUP($A154,'Data Vlaue (Cr)'!$C:$FB,67)</f>
        <v>557</v>
      </c>
      <c r="M154" s="75">
        <f>VLOOKUP($A154,'Data Vlaue (Cr)'!$C:$FB,68)</f>
        <v>389</v>
      </c>
      <c r="N154" s="75">
        <f t="shared" si="16"/>
        <v>168</v>
      </c>
      <c r="O154" s="75">
        <f t="shared" si="17"/>
        <v>30.16157989228007</v>
      </c>
      <c r="P154" s="75">
        <f>VLOOKUP($A154,'Data Vlaue (Cr)'!$C:$FB,119)</f>
        <v>1.64</v>
      </c>
      <c r="Q154" s="75">
        <f>VLOOKUP($A154,'Data Vlaue (Cr)'!$C:$FB,122)*100</f>
        <v>15.49</v>
      </c>
      <c r="R154" s="75">
        <f>VLOOKUP($A154,'Data Vlaue (Cr)'!$C:$FB,125)</f>
        <v>0.67</v>
      </c>
      <c r="S154" s="75">
        <f>VLOOKUP($A154,'Data Vlaue (Cr)'!$C:$FB,128)*100</f>
        <v>-25.56</v>
      </c>
    </row>
    <row r="155" spans="1:19" x14ac:dyDescent="0.25">
      <c r="A155" s="96" t="str">
        <f>'Data Vlaue (Cr)'!C146</f>
        <v>NMDC</v>
      </c>
      <c r="B155" s="75">
        <f>VLOOKUP($A155,'Data Vlaue (Cr)'!$C:$FB,2)</f>
        <v>13500</v>
      </c>
      <c r="C155" s="75">
        <f>VLOOKUP($A155,'Data Vlaue (Cr)'!$C:$FB,8)</f>
        <v>74.37</v>
      </c>
      <c r="D155" s="75">
        <f>VLOOKUP($A155,'Data Vlaue (Cr)'!$C:$FB,4)</f>
        <v>74.430000000000007</v>
      </c>
      <c r="E155" s="75">
        <f>VLOOKUP($A155,'Data Vlaue (Cr)'!$C:$FB,5)</f>
        <v>74.28</v>
      </c>
      <c r="F155" s="75">
        <f t="shared" si="12"/>
        <v>6.0000000000002274E-2</v>
      </c>
      <c r="G155" s="75">
        <f t="shared" si="13"/>
        <v>0.20153164046756103</v>
      </c>
      <c r="H155" s="75">
        <f>VLOOKUP($A155,'Data Vlaue (Cr)'!$C:$FB,99)</f>
        <v>4215</v>
      </c>
      <c r="I155" s="75">
        <f>VLOOKUP($A155,'Data Vlaue (Cr)'!$C:$FB,100)</f>
        <v>4160</v>
      </c>
      <c r="J155" s="75">
        <f t="shared" si="14"/>
        <v>55</v>
      </c>
      <c r="K155" s="75">
        <f t="shared" si="15"/>
        <v>1.3048635824436536</v>
      </c>
      <c r="L155" s="75">
        <f>VLOOKUP($A155,'Data Vlaue (Cr)'!$C:$FB,67)</f>
        <v>2503</v>
      </c>
      <c r="M155" s="75">
        <f>VLOOKUP($A155,'Data Vlaue (Cr)'!$C:$FB,68)</f>
        <v>2135</v>
      </c>
      <c r="N155" s="75">
        <f t="shared" si="16"/>
        <v>368</v>
      </c>
      <c r="O155" s="75">
        <f t="shared" si="17"/>
        <v>14.702357171394326</v>
      </c>
      <c r="P155" s="75">
        <f>VLOOKUP($A155,'Data Vlaue (Cr)'!$C:$FB,119)</f>
        <v>0.63</v>
      </c>
      <c r="Q155" s="75">
        <f>VLOOKUP($A155,'Data Vlaue (Cr)'!$C:$FB,122)*100</f>
        <v>5</v>
      </c>
      <c r="R155" s="75">
        <f>VLOOKUP($A155,'Data Vlaue (Cr)'!$C:$FB,125)</f>
        <v>0.74</v>
      </c>
      <c r="S155" s="75">
        <f>VLOOKUP($A155,'Data Vlaue (Cr)'!$C:$FB,128)*100</f>
        <v>42.309999999999995</v>
      </c>
    </row>
    <row r="156" spans="1:19" x14ac:dyDescent="0.25">
      <c r="A156" s="96" t="str">
        <f>'Data Vlaue (Cr)'!C147</f>
        <v>NTPC</v>
      </c>
      <c r="B156" s="75">
        <f>VLOOKUP($A156,'Data Vlaue (Cr)'!$C:$FB,2)</f>
        <v>1500</v>
      </c>
      <c r="C156" s="75">
        <f>VLOOKUP($A156,'Data Vlaue (Cr)'!$C:$FB,8)</f>
        <v>341.75</v>
      </c>
      <c r="D156" s="75">
        <f>VLOOKUP($A156,'Data Vlaue (Cr)'!$C:$FB,4)</f>
        <v>341.75</v>
      </c>
      <c r="E156" s="75">
        <f>VLOOKUP($A156,'Data Vlaue (Cr)'!$C:$FB,5)</f>
        <v>340.05</v>
      </c>
      <c r="F156" s="75">
        <f t="shared" si="12"/>
        <v>0</v>
      </c>
      <c r="G156" s="75">
        <f t="shared" si="13"/>
        <v>0.4974396488661269</v>
      </c>
      <c r="H156" s="75">
        <f>VLOOKUP($A156,'Data Vlaue (Cr)'!$C:$FB,99)</f>
        <v>5878</v>
      </c>
      <c r="I156" s="75">
        <f>VLOOKUP($A156,'Data Vlaue (Cr)'!$C:$FB,100)</f>
        <v>5824</v>
      </c>
      <c r="J156" s="75">
        <f t="shared" si="14"/>
        <v>54</v>
      </c>
      <c r="K156" s="75">
        <f t="shared" si="15"/>
        <v>0.91867982306907103</v>
      </c>
      <c r="L156" s="75">
        <f>VLOOKUP($A156,'Data Vlaue (Cr)'!$C:$FB,67)</f>
        <v>4491</v>
      </c>
      <c r="M156" s="75">
        <f>VLOOKUP($A156,'Data Vlaue (Cr)'!$C:$FB,68)</f>
        <v>4558</v>
      </c>
      <c r="N156" s="75">
        <f t="shared" si="16"/>
        <v>-67</v>
      </c>
      <c r="O156" s="75">
        <f t="shared" si="17"/>
        <v>-1.4918726341572033</v>
      </c>
      <c r="P156" s="75">
        <f>VLOOKUP($A156,'Data Vlaue (Cr)'!$C:$FB,119)</f>
        <v>0.44</v>
      </c>
      <c r="Q156" s="75">
        <f>VLOOKUP($A156,'Data Vlaue (Cr)'!$C:$FB,122)*100</f>
        <v>12.82</v>
      </c>
      <c r="R156" s="75">
        <f>VLOOKUP($A156,'Data Vlaue (Cr)'!$C:$FB,125)</f>
        <v>0.61</v>
      </c>
      <c r="S156" s="75">
        <f>VLOOKUP($A156,'Data Vlaue (Cr)'!$C:$FB,128)*100</f>
        <v>19.61</v>
      </c>
    </row>
    <row r="157" spans="1:19" x14ac:dyDescent="0.25">
      <c r="A157" s="96" t="str">
        <f>'Data Vlaue (Cr)'!C148</f>
        <v>NUVAMA</v>
      </c>
      <c r="B157" s="75">
        <f>VLOOKUP($A157,'Data Vlaue (Cr)'!$C:$FB,2)</f>
        <v>75</v>
      </c>
      <c r="C157" s="75">
        <f>VLOOKUP($A157,'Data Vlaue (Cr)'!$C:$FB,8)</f>
        <v>7420.5</v>
      </c>
      <c r="D157" s="75">
        <f>VLOOKUP($A157,'Data Vlaue (Cr)'!$C:$FB,4)</f>
        <v>7417</v>
      </c>
      <c r="E157" s="75">
        <f>VLOOKUP($A157,'Data Vlaue (Cr)'!$C:$FB,5)</f>
        <v>7188</v>
      </c>
      <c r="F157" s="75">
        <f t="shared" si="12"/>
        <v>-3.5</v>
      </c>
      <c r="G157" s="75">
        <f t="shared" si="13"/>
        <v>3.0875016853175139</v>
      </c>
      <c r="H157" s="75">
        <f>VLOOKUP($A157,'Data Vlaue (Cr)'!$C:$FB,99)</f>
        <v>822</v>
      </c>
      <c r="I157" s="75">
        <f>VLOOKUP($A157,'Data Vlaue (Cr)'!$C:$FB,100)</f>
        <v>864</v>
      </c>
      <c r="J157" s="75">
        <f t="shared" si="14"/>
        <v>-42</v>
      </c>
      <c r="K157" s="75">
        <f t="shared" si="15"/>
        <v>-5.1094890510948909</v>
      </c>
      <c r="L157" s="75">
        <f>VLOOKUP($A157,'Data Vlaue (Cr)'!$C:$FB,67)</f>
        <v>2784</v>
      </c>
      <c r="M157" s="75">
        <f>VLOOKUP($A157,'Data Vlaue (Cr)'!$C:$FB,68)</f>
        <v>1928</v>
      </c>
      <c r="N157" s="75">
        <f t="shared" si="16"/>
        <v>856</v>
      </c>
      <c r="O157" s="75">
        <f t="shared" si="17"/>
        <v>30.747126436781606</v>
      </c>
      <c r="P157" s="75">
        <f>VLOOKUP($A157,'Data Vlaue (Cr)'!$C:$FB,119)</f>
        <v>0.76</v>
      </c>
      <c r="Q157" s="75">
        <f>VLOOKUP($A157,'Data Vlaue (Cr)'!$C:$FB,122)*100</f>
        <v>8.57</v>
      </c>
      <c r="R157" s="75">
        <f>VLOOKUP($A157,'Data Vlaue (Cr)'!$C:$FB,125)</f>
        <v>0.46</v>
      </c>
      <c r="S157" s="75">
        <f>VLOOKUP($A157,'Data Vlaue (Cr)'!$C:$FB,128)*100</f>
        <v>39.39</v>
      </c>
    </row>
    <row r="158" spans="1:19" x14ac:dyDescent="0.25">
      <c r="A158" s="96" t="str">
        <f>'Data Vlaue (Cr)'!C149</f>
        <v>NYKAA</v>
      </c>
      <c r="B158" s="75">
        <f>VLOOKUP($A158,'Data Vlaue (Cr)'!$C:$FB,2)</f>
        <v>3125</v>
      </c>
      <c r="C158" s="75">
        <f>VLOOKUP($A158,'Data Vlaue (Cr)'!$C:$FB,8)</f>
        <v>255.14</v>
      </c>
      <c r="D158" s="75">
        <f>VLOOKUP($A158,'Data Vlaue (Cr)'!$C:$FB,4)</f>
        <v>255.8</v>
      </c>
      <c r="E158" s="75">
        <f>VLOOKUP($A158,'Data Vlaue (Cr)'!$C:$FB,5)</f>
        <v>251.32</v>
      </c>
      <c r="F158" s="75">
        <f t="shared" si="12"/>
        <v>0.66000000000002501</v>
      </c>
      <c r="G158" s="75">
        <f t="shared" si="13"/>
        <v>1.751368256450359</v>
      </c>
      <c r="H158" s="75">
        <f>VLOOKUP($A158,'Data Vlaue (Cr)'!$C:$FB,99)</f>
        <v>2303</v>
      </c>
      <c r="I158" s="75">
        <f>VLOOKUP($A158,'Data Vlaue (Cr)'!$C:$FB,100)</f>
        <v>2422</v>
      </c>
      <c r="J158" s="75">
        <f t="shared" si="14"/>
        <v>-119</v>
      </c>
      <c r="K158" s="75">
        <f t="shared" si="15"/>
        <v>-5.1671732522796354</v>
      </c>
      <c r="L158" s="75">
        <f>VLOOKUP($A158,'Data Vlaue (Cr)'!$C:$FB,67)</f>
        <v>2009</v>
      </c>
      <c r="M158" s="75">
        <f>VLOOKUP($A158,'Data Vlaue (Cr)'!$C:$FB,68)</f>
        <v>2123</v>
      </c>
      <c r="N158" s="75">
        <f t="shared" si="16"/>
        <v>-114</v>
      </c>
      <c r="O158" s="75">
        <f t="shared" si="17"/>
        <v>-5.674464907914385</v>
      </c>
      <c r="P158" s="75">
        <f>VLOOKUP($A158,'Data Vlaue (Cr)'!$C:$FB,119)</f>
        <v>0.78</v>
      </c>
      <c r="Q158" s="75">
        <f>VLOOKUP($A158,'Data Vlaue (Cr)'!$C:$FB,122)*100</f>
        <v>5.41</v>
      </c>
      <c r="R158" s="75">
        <f>VLOOKUP($A158,'Data Vlaue (Cr)'!$C:$FB,125)</f>
        <v>0.76</v>
      </c>
      <c r="S158" s="75">
        <f>VLOOKUP($A158,'Data Vlaue (Cr)'!$C:$FB,128)*100</f>
        <v>-20.830000000000002</v>
      </c>
    </row>
    <row r="159" spans="1:19" x14ac:dyDescent="0.25">
      <c r="A159" s="96" t="str">
        <f>'Data Vlaue (Cr)'!C150</f>
        <v>OBEROIRLTY</v>
      </c>
      <c r="B159" s="75">
        <f>VLOOKUP($A159,'Data Vlaue (Cr)'!$C:$FB,2)</f>
        <v>350</v>
      </c>
      <c r="C159" s="75">
        <f>VLOOKUP($A159,'Data Vlaue (Cr)'!$C:$FB,8)</f>
        <v>1736</v>
      </c>
      <c r="D159" s="75">
        <f>VLOOKUP($A159,'Data Vlaue (Cr)'!$C:$FB,4)</f>
        <v>1733.6</v>
      </c>
      <c r="E159" s="75">
        <f>VLOOKUP($A159,'Data Vlaue (Cr)'!$C:$FB,5)</f>
        <v>1699.1</v>
      </c>
      <c r="F159" s="75">
        <f t="shared" si="12"/>
        <v>-2.4000000000000909</v>
      </c>
      <c r="G159" s="75">
        <f t="shared" si="13"/>
        <v>1.9900784494693124</v>
      </c>
      <c r="H159" s="75">
        <f>VLOOKUP($A159,'Data Vlaue (Cr)'!$C:$FB,99)</f>
        <v>1463</v>
      </c>
      <c r="I159" s="75">
        <f>VLOOKUP($A159,'Data Vlaue (Cr)'!$C:$FB,100)</f>
        <v>1499</v>
      </c>
      <c r="J159" s="75">
        <f t="shared" si="14"/>
        <v>-36</v>
      </c>
      <c r="K159" s="75">
        <f t="shared" si="15"/>
        <v>-2.4606971975393028</v>
      </c>
      <c r="L159" s="75">
        <f>VLOOKUP($A159,'Data Vlaue (Cr)'!$C:$FB,67)</f>
        <v>2712</v>
      </c>
      <c r="M159" s="75">
        <f>VLOOKUP($A159,'Data Vlaue (Cr)'!$C:$FB,68)</f>
        <v>1635</v>
      </c>
      <c r="N159" s="75">
        <f t="shared" si="16"/>
        <v>1077</v>
      </c>
      <c r="O159" s="75">
        <f t="shared" si="17"/>
        <v>39.712389380530972</v>
      </c>
      <c r="P159" s="75">
        <f>VLOOKUP($A159,'Data Vlaue (Cr)'!$C:$FB,119)</f>
        <v>0.7</v>
      </c>
      <c r="Q159" s="75">
        <f>VLOOKUP($A159,'Data Vlaue (Cr)'!$C:$FB,122)*100</f>
        <v>7.6899999999999995</v>
      </c>
      <c r="R159" s="75">
        <f>VLOOKUP($A159,'Data Vlaue (Cr)'!$C:$FB,125)</f>
        <v>0.33</v>
      </c>
      <c r="S159" s="75">
        <f>VLOOKUP($A159,'Data Vlaue (Cr)'!$C:$FB,128)*100</f>
        <v>-5.71</v>
      </c>
    </row>
    <row r="160" spans="1:19" x14ac:dyDescent="0.25">
      <c r="A160" s="96" t="str">
        <f>'Data Vlaue (Cr)'!C151</f>
        <v>OFSS</v>
      </c>
      <c r="B160" s="75">
        <f>VLOOKUP($A160,'Data Vlaue (Cr)'!$C:$FB,2)</f>
        <v>75</v>
      </c>
      <c r="C160" s="75">
        <f>VLOOKUP($A160,'Data Vlaue (Cr)'!$C:$FB,8)</f>
        <v>8695.5</v>
      </c>
      <c r="D160" s="75">
        <f>VLOOKUP($A160,'Data Vlaue (Cr)'!$C:$FB,4)</f>
        <v>8721</v>
      </c>
      <c r="E160" s="75">
        <f>VLOOKUP($A160,'Data Vlaue (Cr)'!$C:$FB,5)</f>
        <v>8564.5</v>
      </c>
      <c r="F160" s="75">
        <f t="shared" si="12"/>
        <v>25.5</v>
      </c>
      <c r="G160" s="75">
        <f t="shared" si="13"/>
        <v>1.7945189771815158</v>
      </c>
      <c r="H160" s="75">
        <f>VLOOKUP($A160,'Data Vlaue (Cr)'!$C:$FB,99)</f>
        <v>2312</v>
      </c>
      <c r="I160" s="75">
        <f>VLOOKUP($A160,'Data Vlaue (Cr)'!$C:$FB,100)</f>
        <v>2622</v>
      </c>
      <c r="J160" s="75">
        <f t="shared" si="14"/>
        <v>-310</v>
      </c>
      <c r="K160" s="75">
        <f t="shared" si="15"/>
        <v>-13.408304498269896</v>
      </c>
      <c r="L160" s="75">
        <f>VLOOKUP($A160,'Data Vlaue (Cr)'!$C:$FB,67)</f>
        <v>3358</v>
      </c>
      <c r="M160" s="75">
        <f>VLOOKUP($A160,'Data Vlaue (Cr)'!$C:$FB,68)</f>
        <v>2563</v>
      </c>
      <c r="N160" s="75">
        <f t="shared" si="16"/>
        <v>795</v>
      </c>
      <c r="O160" s="75">
        <f t="shared" si="17"/>
        <v>23.674806432400239</v>
      </c>
      <c r="P160" s="75">
        <f>VLOOKUP($A160,'Data Vlaue (Cr)'!$C:$FB,119)</f>
        <v>0.53</v>
      </c>
      <c r="Q160" s="75">
        <f>VLOOKUP($A160,'Data Vlaue (Cr)'!$C:$FB,122)*100</f>
        <v>10.42</v>
      </c>
      <c r="R160" s="75">
        <f>VLOOKUP($A160,'Data Vlaue (Cr)'!$C:$FB,125)</f>
        <v>0.36</v>
      </c>
      <c r="S160" s="75">
        <f>VLOOKUP($A160,'Data Vlaue (Cr)'!$C:$FB,128)*100</f>
        <v>-16.28</v>
      </c>
    </row>
    <row r="161" spans="1:19" x14ac:dyDescent="0.25">
      <c r="A161" s="96" t="str">
        <f>'Data Vlaue (Cr)'!C152</f>
        <v>OIL</v>
      </c>
      <c r="B161" s="75">
        <f>VLOOKUP($A161,'Data Vlaue (Cr)'!$C:$FB,2)</f>
        <v>1400</v>
      </c>
      <c r="C161" s="75">
        <f>VLOOKUP($A161,'Data Vlaue (Cr)'!$C:$FB,8)</f>
        <v>422.35</v>
      </c>
      <c r="D161" s="75">
        <f>VLOOKUP($A161,'Data Vlaue (Cr)'!$C:$FB,4)</f>
        <v>422.5</v>
      </c>
      <c r="E161" s="75">
        <f>VLOOKUP($A161,'Data Vlaue (Cr)'!$C:$FB,5)</f>
        <v>420.7</v>
      </c>
      <c r="F161" s="75">
        <f t="shared" si="12"/>
        <v>0.14999999999997726</v>
      </c>
      <c r="G161" s="75">
        <f t="shared" si="13"/>
        <v>0.42603550295858256</v>
      </c>
      <c r="H161" s="75">
        <f>VLOOKUP($A161,'Data Vlaue (Cr)'!$C:$FB,99)</f>
        <v>819</v>
      </c>
      <c r="I161" s="75">
        <f>VLOOKUP($A161,'Data Vlaue (Cr)'!$C:$FB,100)</f>
        <v>891</v>
      </c>
      <c r="J161" s="75">
        <f t="shared" si="14"/>
        <v>-72</v>
      </c>
      <c r="K161" s="75">
        <f t="shared" si="15"/>
        <v>-8.791208791208792</v>
      </c>
      <c r="L161" s="75">
        <f>VLOOKUP($A161,'Data Vlaue (Cr)'!$C:$FB,67)</f>
        <v>792</v>
      </c>
      <c r="M161" s="75">
        <f>VLOOKUP($A161,'Data Vlaue (Cr)'!$C:$FB,68)</f>
        <v>1351</v>
      </c>
      <c r="N161" s="75">
        <f t="shared" si="16"/>
        <v>-559</v>
      </c>
      <c r="O161" s="75">
        <f t="shared" si="17"/>
        <v>-70.580808080808083</v>
      </c>
      <c r="P161" s="75">
        <f>VLOOKUP($A161,'Data Vlaue (Cr)'!$C:$FB,119)</f>
        <v>0.65</v>
      </c>
      <c r="Q161" s="75">
        <f>VLOOKUP($A161,'Data Vlaue (Cr)'!$C:$FB,122)*100</f>
        <v>27.450000000000003</v>
      </c>
      <c r="R161" s="75">
        <f>VLOOKUP($A161,'Data Vlaue (Cr)'!$C:$FB,125)</f>
        <v>0.3</v>
      </c>
      <c r="S161" s="75">
        <f>VLOOKUP($A161,'Data Vlaue (Cr)'!$C:$FB,128)*100</f>
        <v>20</v>
      </c>
    </row>
    <row r="162" spans="1:19" x14ac:dyDescent="0.25">
      <c r="A162" s="96" t="str">
        <f>'Data Vlaue (Cr)'!C153</f>
        <v>ONGC</v>
      </c>
      <c r="B162" s="75">
        <f>VLOOKUP($A162,'Data Vlaue (Cr)'!$C:$FB,2)</f>
        <v>2250</v>
      </c>
      <c r="C162" s="75">
        <f>VLOOKUP($A162,'Data Vlaue (Cr)'!$C:$FB,8)</f>
        <v>253.27</v>
      </c>
      <c r="D162" s="75">
        <f>VLOOKUP($A162,'Data Vlaue (Cr)'!$C:$FB,4)</f>
        <v>252.92</v>
      </c>
      <c r="E162" s="75">
        <f>VLOOKUP($A162,'Data Vlaue (Cr)'!$C:$FB,5)</f>
        <v>254.55</v>
      </c>
      <c r="F162" s="75">
        <f t="shared" si="12"/>
        <v>-0.35000000000002274</v>
      </c>
      <c r="G162" s="75">
        <f t="shared" si="13"/>
        <v>-0.64447256049344614</v>
      </c>
      <c r="H162" s="75">
        <f>VLOOKUP($A162,'Data Vlaue (Cr)'!$C:$FB,99)</f>
        <v>5418</v>
      </c>
      <c r="I162" s="75">
        <f>VLOOKUP($A162,'Data Vlaue (Cr)'!$C:$FB,100)</f>
        <v>5542</v>
      </c>
      <c r="J162" s="75">
        <f t="shared" si="14"/>
        <v>-124</v>
      </c>
      <c r="K162" s="75">
        <f t="shared" si="15"/>
        <v>-2.2886674049464748</v>
      </c>
      <c r="L162" s="75">
        <f>VLOOKUP($A162,'Data Vlaue (Cr)'!$C:$FB,67)</f>
        <v>4408</v>
      </c>
      <c r="M162" s="75">
        <f>VLOOKUP($A162,'Data Vlaue (Cr)'!$C:$FB,68)</f>
        <v>6246</v>
      </c>
      <c r="N162" s="75">
        <f t="shared" si="16"/>
        <v>-1838</v>
      </c>
      <c r="O162" s="75">
        <f t="shared" si="17"/>
        <v>-41.696914700544461</v>
      </c>
      <c r="P162" s="75">
        <f>VLOOKUP($A162,'Data Vlaue (Cr)'!$C:$FB,119)</f>
        <v>0.69</v>
      </c>
      <c r="Q162" s="75">
        <f>VLOOKUP($A162,'Data Vlaue (Cr)'!$C:$FB,122)*100</f>
        <v>2.9899999999999998</v>
      </c>
      <c r="R162" s="75">
        <f>VLOOKUP($A162,'Data Vlaue (Cr)'!$C:$FB,125)</f>
        <v>0.56999999999999995</v>
      </c>
      <c r="S162" s="75">
        <f>VLOOKUP($A162,'Data Vlaue (Cr)'!$C:$FB,128)*100</f>
        <v>14.000000000000002</v>
      </c>
    </row>
    <row r="163" spans="1:19" x14ac:dyDescent="0.25">
      <c r="A163" s="96" t="str">
        <f>'Data Vlaue (Cr)'!C154</f>
        <v>PAGEIND</v>
      </c>
      <c r="B163" s="75">
        <f>VLOOKUP($A163,'Data Vlaue (Cr)'!$C:$FB,2)</f>
        <v>15</v>
      </c>
      <c r="C163" s="75">
        <f>VLOOKUP($A163,'Data Vlaue (Cr)'!$C:$FB,8)</f>
        <v>40985</v>
      </c>
      <c r="D163" s="75">
        <f>VLOOKUP($A163,'Data Vlaue (Cr)'!$C:$FB,4)</f>
        <v>41105</v>
      </c>
      <c r="E163" s="75">
        <f>VLOOKUP($A163,'Data Vlaue (Cr)'!$C:$FB,5)</f>
        <v>41160</v>
      </c>
      <c r="F163" s="75">
        <f t="shared" si="12"/>
        <v>120</v>
      </c>
      <c r="G163" s="75">
        <f t="shared" si="13"/>
        <v>-0.13380367351903663</v>
      </c>
      <c r="H163" s="75">
        <f>VLOOKUP($A163,'Data Vlaue (Cr)'!$C:$FB,99)</f>
        <v>1471</v>
      </c>
      <c r="I163" s="75">
        <f>VLOOKUP($A163,'Data Vlaue (Cr)'!$C:$FB,100)</f>
        <v>1575</v>
      </c>
      <c r="J163" s="75">
        <f t="shared" si="14"/>
        <v>-104</v>
      </c>
      <c r="K163" s="75">
        <f t="shared" si="15"/>
        <v>-7.0700203942895987</v>
      </c>
      <c r="L163" s="75">
        <f>VLOOKUP($A163,'Data Vlaue (Cr)'!$C:$FB,67)</f>
        <v>1738</v>
      </c>
      <c r="M163" s="75">
        <f>VLOOKUP($A163,'Data Vlaue (Cr)'!$C:$FB,68)</f>
        <v>1947</v>
      </c>
      <c r="N163" s="75">
        <f t="shared" si="16"/>
        <v>-209</v>
      </c>
      <c r="O163" s="75">
        <f t="shared" si="17"/>
        <v>-12.025316455696203</v>
      </c>
      <c r="P163" s="75">
        <f>VLOOKUP($A163,'Data Vlaue (Cr)'!$C:$FB,119)</f>
        <v>0.46</v>
      </c>
      <c r="Q163" s="75">
        <f>VLOOKUP($A163,'Data Vlaue (Cr)'!$C:$FB,122)*100</f>
        <v>15</v>
      </c>
      <c r="R163" s="75">
        <f>VLOOKUP($A163,'Data Vlaue (Cr)'!$C:$FB,125)</f>
        <v>0.75</v>
      </c>
      <c r="S163" s="75">
        <f>VLOOKUP($A163,'Data Vlaue (Cr)'!$C:$FB,128)*100</f>
        <v>2.74</v>
      </c>
    </row>
    <row r="164" spans="1:19" x14ac:dyDescent="0.25">
      <c r="A164" s="96" t="str">
        <f>'Data Vlaue (Cr)'!C155</f>
        <v>PATANJALI</v>
      </c>
      <c r="B164" s="75">
        <f>VLOOKUP($A164,'Data Vlaue (Cr)'!$C:$FB,2)</f>
        <v>900</v>
      </c>
      <c r="C164" s="75">
        <f>VLOOKUP($A164,'Data Vlaue (Cr)'!$C:$FB,8)</f>
        <v>590.5</v>
      </c>
      <c r="D164" s="75">
        <f>VLOOKUP($A164,'Data Vlaue (Cr)'!$C:$FB,4)</f>
        <v>591</v>
      </c>
      <c r="E164" s="75">
        <f>VLOOKUP($A164,'Data Vlaue (Cr)'!$C:$FB,5)</f>
        <v>581.54999999999995</v>
      </c>
      <c r="F164" s="75">
        <f t="shared" si="12"/>
        <v>0.5</v>
      </c>
      <c r="G164" s="75">
        <f t="shared" si="13"/>
        <v>1.5989847715736119</v>
      </c>
      <c r="H164" s="75">
        <f>VLOOKUP($A164,'Data Vlaue (Cr)'!$C:$FB,99)</f>
        <v>2462</v>
      </c>
      <c r="I164" s="75">
        <f>VLOOKUP($A164,'Data Vlaue (Cr)'!$C:$FB,100)</f>
        <v>2494</v>
      </c>
      <c r="J164" s="75">
        <f t="shared" si="14"/>
        <v>-32</v>
      </c>
      <c r="K164" s="75">
        <f t="shared" si="15"/>
        <v>-1.2997562956945572</v>
      </c>
      <c r="L164" s="75">
        <f>VLOOKUP($A164,'Data Vlaue (Cr)'!$C:$FB,67)</f>
        <v>2128</v>
      </c>
      <c r="M164" s="75">
        <f>VLOOKUP($A164,'Data Vlaue (Cr)'!$C:$FB,68)</f>
        <v>1413</v>
      </c>
      <c r="N164" s="75">
        <f t="shared" si="16"/>
        <v>715</v>
      </c>
      <c r="O164" s="75">
        <f t="shared" si="17"/>
        <v>33.599624060150376</v>
      </c>
      <c r="P164" s="75">
        <f>VLOOKUP($A164,'Data Vlaue (Cr)'!$C:$FB,119)</f>
        <v>0.56999999999999995</v>
      </c>
      <c r="Q164" s="75">
        <f>VLOOKUP($A164,'Data Vlaue (Cr)'!$C:$FB,122)*100</f>
        <v>16.329999999999998</v>
      </c>
      <c r="R164" s="75">
        <f>VLOOKUP($A164,'Data Vlaue (Cr)'!$C:$FB,125)</f>
        <v>0.56999999999999995</v>
      </c>
      <c r="S164" s="75">
        <f>VLOOKUP($A164,'Data Vlaue (Cr)'!$C:$FB,128)*100</f>
        <v>26.669999999999998</v>
      </c>
    </row>
    <row r="165" spans="1:19" x14ac:dyDescent="0.25">
      <c r="A165" s="96" t="str">
        <f>'Data Vlaue (Cr)'!C156</f>
        <v>PAYTM</v>
      </c>
      <c r="B165" s="75">
        <f>VLOOKUP($A165,'Data Vlaue (Cr)'!$C:$FB,2)</f>
        <v>725</v>
      </c>
      <c r="C165" s="75">
        <f>VLOOKUP($A165,'Data Vlaue (Cr)'!$C:$FB,8)</f>
        <v>1306.2</v>
      </c>
      <c r="D165" s="75">
        <f>VLOOKUP($A165,'Data Vlaue (Cr)'!$C:$FB,4)</f>
        <v>1304.0999999999999</v>
      </c>
      <c r="E165" s="75">
        <f>VLOOKUP($A165,'Data Vlaue (Cr)'!$C:$FB,5)</f>
        <v>1287.7</v>
      </c>
      <c r="F165" s="75">
        <f t="shared" si="12"/>
        <v>-2.1000000000001364</v>
      </c>
      <c r="G165" s="75">
        <f t="shared" si="13"/>
        <v>1.2575722720650153</v>
      </c>
      <c r="H165" s="75">
        <f>VLOOKUP($A165,'Data Vlaue (Cr)'!$C:$FB,99)</f>
        <v>4797</v>
      </c>
      <c r="I165" s="75">
        <f>VLOOKUP($A165,'Data Vlaue (Cr)'!$C:$FB,100)</f>
        <v>4851</v>
      </c>
      <c r="J165" s="75">
        <f t="shared" si="14"/>
        <v>-54</v>
      </c>
      <c r="K165" s="75">
        <f t="shared" si="15"/>
        <v>-1.125703564727955</v>
      </c>
      <c r="L165" s="75">
        <f>VLOOKUP($A165,'Data Vlaue (Cr)'!$C:$FB,67)</f>
        <v>4701</v>
      </c>
      <c r="M165" s="75">
        <f>VLOOKUP($A165,'Data Vlaue (Cr)'!$C:$FB,68)</f>
        <v>3972</v>
      </c>
      <c r="N165" s="75">
        <f t="shared" si="16"/>
        <v>729</v>
      </c>
      <c r="O165" s="75">
        <f t="shared" si="17"/>
        <v>15.507338864071475</v>
      </c>
      <c r="P165" s="75">
        <f>VLOOKUP($A165,'Data Vlaue (Cr)'!$C:$FB,119)</f>
        <v>0.84</v>
      </c>
      <c r="Q165" s="75">
        <f>VLOOKUP($A165,'Data Vlaue (Cr)'!$C:$FB,122)*100</f>
        <v>-4.55</v>
      </c>
      <c r="R165" s="75">
        <f>VLOOKUP($A165,'Data Vlaue (Cr)'!$C:$FB,125)</f>
        <v>0.64</v>
      </c>
      <c r="S165" s="75">
        <f>VLOOKUP($A165,'Data Vlaue (Cr)'!$C:$FB,128)*100</f>
        <v>1.59</v>
      </c>
    </row>
    <row r="166" spans="1:19" x14ac:dyDescent="0.25">
      <c r="A166" s="96" t="str">
        <f>'Data Vlaue (Cr)'!C157</f>
        <v>PERSISTENT</v>
      </c>
      <c r="B166" s="75">
        <f>VLOOKUP($A166,'Data Vlaue (Cr)'!$C:$FB,2)</f>
        <v>100</v>
      </c>
      <c r="C166" s="75">
        <f>VLOOKUP($A166,'Data Vlaue (Cr)'!$C:$FB,8)</f>
        <v>5878.1</v>
      </c>
      <c r="D166" s="75">
        <f>VLOOKUP($A166,'Data Vlaue (Cr)'!$C:$FB,4)</f>
        <v>5882.4</v>
      </c>
      <c r="E166" s="75">
        <f>VLOOKUP($A166,'Data Vlaue (Cr)'!$C:$FB,5)</f>
        <v>5831.3</v>
      </c>
      <c r="F166" s="75">
        <f t="shared" si="12"/>
        <v>4.2999999999992724</v>
      </c>
      <c r="G166" s="75">
        <f t="shared" si="13"/>
        <v>0.8686930504555872</v>
      </c>
      <c r="H166" s="75">
        <f>VLOOKUP($A166,'Data Vlaue (Cr)'!$C:$FB,99)</f>
        <v>3256</v>
      </c>
      <c r="I166" s="75">
        <f>VLOOKUP($A166,'Data Vlaue (Cr)'!$C:$FB,100)</f>
        <v>3614</v>
      </c>
      <c r="J166" s="75">
        <f t="shared" si="14"/>
        <v>-358</v>
      </c>
      <c r="K166" s="75">
        <f t="shared" si="15"/>
        <v>-10.995085995085994</v>
      </c>
      <c r="L166" s="75">
        <f>VLOOKUP($A166,'Data Vlaue (Cr)'!$C:$FB,67)</f>
        <v>3669</v>
      </c>
      <c r="M166" s="75">
        <f>VLOOKUP($A166,'Data Vlaue (Cr)'!$C:$FB,68)</f>
        <v>4805</v>
      </c>
      <c r="N166" s="75">
        <f t="shared" si="16"/>
        <v>-1136</v>
      </c>
      <c r="O166" s="75">
        <f t="shared" si="17"/>
        <v>-30.962115017715995</v>
      </c>
      <c r="P166" s="75">
        <f>VLOOKUP($A166,'Data Vlaue (Cr)'!$C:$FB,119)</f>
        <v>0.94</v>
      </c>
      <c r="Q166" s="75">
        <f>VLOOKUP($A166,'Data Vlaue (Cr)'!$C:$FB,122)*100</f>
        <v>-7.84</v>
      </c>
      <c r="R166" s="75">
        <f>VLOOKUP($A166,'Data Vlaue (Cr)'!$C:$FB,125)</f>
        <v>0.89</v>
      </c>
      <c r="S166" s="75">
        <f>VLOOKUP($A166,'Data Vlaue (Cr)'!$C:$FB,128)*100</f>
        <v>41.27</v>
      </c>
    </row>
    <row r="167" spans="1:19" x14ac:dyDescent="0.25">
      <c r="A167" s="96" t="str">
        <f>'Data Vlaue (Cr)'!C158</f>
        <v>PETRONET</v>
      </c>
      <c r="B167" s="75">
        <f>VLOOKUP($A167,'Data Vlaue (Cr)'!$C:$FB,2)</f>
        <v>1800</v>
      </c>
      <c r="C167" s="75">
        <f>VLOOKUP($A167,'Data Vlaue (Cr)'!$C:$FB,8)</f>
        <v>280.10000000000002</v>
      </c>
      <c r="D167" s="75">
        <f>VLOOKUP($A167,'Data Vlaue (Cr)'!$C:$FB,4)</f>
        <v>280.3</v>
      </c>
      <c r="E167" s="75">
        <f>VLOOKUP($A167,'Data Vlaue (Cr)'!$C:$FB,5)</f>
        <v>280.7</v>
      </c>
      <c r="F167" s="75">
        <f t="shared" si="12"/>
        <v>0.19999999999998863</v>
      </c>
      <c r="G167" s="75">
        <f t="shared" si="13"/>
        <v>-0.14270424545129407</v>
      </c>
      <c r="H167" s="75">
        <f>VLOOKUP($A167,'Data Vlaue (Cr)'!$C:$FB,99)</f>
        <v>2134</v>
      </c>
      <c r="I167" s="75">
        <f>VLOOKUP($A167,'Data Vlaue (Cr)'!$C:$FB,100)</f>
        <v>2077</v>
      </c>
      <c r="J167" s="75">
        <f t="shared" si="14"/>
        <v>57</v>
      </c>
      <c r="K167" s="75">
        <f t="shared" si="15"/>
        <v>2.671040299906279</v>
      </c>
      <c r="L167" s="75">
        <f>VLOOKUP($A167,'Data Vlaue (Cr)'!$C:$FB,67)</f>
        <v>1311</v>
      </c>
      <c r="M167" s="75">
        <f>VLOOKUP($A167,'Data Vlaue (Cr)'!$C:$FB,68)</f>
        <v>1546</v>
      </c>
      <c r="N167" s="75">
        <f t="shared" si="16"/>
        <v>-235</v>
      </c>
      <c r="O167" s="75">
        <f t="shared" si="17"/>
        <v>-17.925247902364607</v>
      </c>
      <c r="P167" s="75">
        <f>VLOOKUP($A167,'Data Vlaue (Cr)'!$C:$FB,119)</f>
        <v>1.0900000000000001</v>
      </c>
      <c r="Q167" s="75">
        <f>VLOOKUP($A167,'Data Vlaue (Cr)'!$C:$FB,122)*100</f>
        <v>0</v>
      </c>
      <c r="R167" s="75">
        <f>VLOOKUP($A167,'Data Vlaue (Cr)'!$C:$FB,125)</f>
        <v>0.79</v>
      </c>
      <c r="S167" s="75">
        <f>VLOOKUP($A167,'Data Vlaue (Cr)'!$C:$FB,128)*100</f>
        <v>64.58</v>
      </c>
    </row>
    <row r="168" spans="1:19" x14ac:dyDescent="0.25">
      <c r="A168" s="96" t="str">
        <f>'Data Vlaue (Cr)'!C159</f>
        <v>PFC</v>
      </c>
      <c r="B168" s="75">
        <f>VLOOKUP($A168,'Data Vlaue (Cr)'!$C:$FB,2)</f>
        <v>1300</v>
      </c>
      <c r="C168" s="75">
        <f>VLOOKUP($A168,'Data Vlaue (Cr)'!$C:$FB,8)</f>
        <v>396.9</v>
      </c>
      <c r="D168" s="75">
        <f>VLOOKUP($A168,'Data Vlaue (Cr)'!$C:$FB,4)</f>
        <v>397.2</v>
      </c>
      <c r="E168" s="75">
        <f>VLOOKUP($A168,'Data Vlaue (Cr)'!$C:$FB,5)</f>
        <v>393.6</v>
      </c>
      <c r="F168" s="75">
        <f t="shared" si="12"/>
        <v>0.30000000000001137</v>
      </c>
      <c r="G168" s="75">
        <f t="shared" si="13"/>
        <v>0.90634441087612438</v>
      </c>
      <c r="H168" s="75">
        <f>VLOOKUP($A168,'Data Vlaue (Cr)'!$C:$FB,99)</f>
        <v>4466</v>
      </c>
      <c r="I168" s="75">
        <f>VLOOKUP($A168,'Data Vlaue (Cr)'!$C:$FB,100)</f>
        <v>4502</v>
      </c>
      <c r="J168" s="75">
        <f t="shared" si="14"/>
        <v>-36</v>
      </c>
      <c r="K168" s="75">
        <f t="shared" si="15"/>
        <v>-0.80609046126287509</v>
      </c>
      <c r="L168" s="75">
        <f>VLOOKUP($A168,'Data Vlaue (Cr)'!$C:$FB,67)</f>
        <v>3052</v>
      </c>
      <c r="M168" s="75">
        <f>VLOOKUP($A168,'Data Vlaue (Cr)'!$C:$FB,68)</f>
        <v>2563</v>
      </c>
      <c r="N168" s="75">
        <f t="shared" si="16"/>
        <v>489</v>
      </c>
      <c r="O168" s="75">
        <f t="shared" si="17"/>
        <v>16.022280471821755</v>
      </c>
      <c r="P168" s="75">
        <f>VLOOKUP($A168,'Data Vlaue (Cr)'!$C:$FB,119)</f>
        <v>0.83</v>
      </c>
      <c r="Q168" s="75">
        <f>VLOOKUP($A168,'Data Vlaue (Cr)'!$C:$FB,122)*100</f>
        <v>2.4699999999999998</v>
      </c>
      <c r="R168" s="75">
        <f>VLOOKUP($A168,'Data Vlaue (Cr)'!$C:$FB,125)</f>
        <v>0.68</v>
      </c>
      <c r="S168" s="75">
        <f>VLOOKUP($A168,'Data Vlaue (Cr)'!$C:$FB,128)*100</f>
        <v>13.33</v>
      </c>
    </row>
    <row r="169" spans="1:19" x14ac:dyDescent="0.25">
      <c r="A169" s="96" t="str">
        <f>'Data Vlaue (Cr)'!C160</f>
        <v>PGEL</v>
      </c>
      <c r="B169" s="75">
        <f>VLOOKUP($A169,'Data Vlaue (Cr)'!$C:$FB,2)</f>
        <v>700</v>
      </c>
      <c r="C169" s="75">
        <f>VLOOKUP($A169,'Data Vlaue (Cr)'!$C:$FB,8)</f>
        <v>571.95000000000005</v>
      </c>
      <c r="D169" s="75">
        <f>VLOOKUP($A169,'Data Vlaue (Cr)'!$C:$FB,4)</f>
        <v>571.35</v>
      </c>
      <c r="E169" s="75">
        <f>VLOOKUP($A169,'Data Vlaue (Cr)'!$C:$FB,5)</f>
        <v>575.5</v>
      </c>
      <c r="F169" s="75">
        <f t="shared" si="12"/>
        <v>-0.60000000000002274</v>
      </c>
      <c r="G169" s="75">
        <f t="shared" si="13"/>
        <v>-0.72634987310754828</v>
      </c>
      <c r="H169" s="75">
        <f>VLOOKUP($A169,'Data Vlaue (Cr)'!$C:$FB,99)</f>
        <v>1026</v>
      </c>
      <c r="I169" s="75">
        <f>VLOOKUP($A169,'Data Vlaue (Cr)'!$C:$FB,100)</f>
        <v>1099</v>
      </c>
      <c r="J169" s="75">
        <f t="shared" si="14"/>
        <v>-73</v>
      </c>
      <c r="K169" s="75">
        <f t="shared" si="15"/>
        <v>-7.1150097465886937</v>
      </c>
      <c r="L169" s="75">
        <f>VLOOKUP($A169,'Data Vlaue (Cr)'!$C:$FB,67)</f>
        <v>764</v>
      </c>
      <c r="M169" s="75">
        <f>VLOOKUP($A169,'Data Vlaue (Cr)'!$C:$FB,68)</f>
        <v>812</v>
      </c>
      <c r="N169" s="75">
        <f t="shared" si="16"/>
        <v>-48</v>
      </c>
      <c r="O169" s="75">
        <f t="shared" si="17"/>
        <v>-6.2827225130890048</v>
      </c>
      <c r="P169" s="75">
        <f>VLOOKUP($A169,'Data Vlaue (Cr)'!$C:$FB,119)</f>
        <v>0.68</v>
      </c>
      <c r="Q169" s="75">
        <f>VLOOKUP($A169,'Data Vlaue (Cr)'!$C:$FB,122)*100</f>
        <v>0</v>
      </c>
      <c r="R169" s="75">
        <f>VLOOKUP($A169,'Data Vlaue (Cr)'!$C:$FB,125)</f>
        <v>0.54</v>
      </c>
      <c r="S169" s="75">
        <f>VLOOKUP($A169,'Data Vlaue (Cr)'!$C:$FB,128)*100</f>
        <v>-12.9</v>
      </c>
    </row>
    <row r="170" spans="1:19" x14ac:dyDescent="0.25">
      <c r="A170" s="96" t="str">
        <f>'Data Vlaue (Cr)'!C161</f>
        <v>PHOENIXLTD</v>
      </c>
      <c r="B170" s="75">
        <f>VLOOKUP($A170,'Data Vlaue (Cr)'!$C:$FB,2)</f>
        <v>350</v>
      </c>
      <c r="C170" s="75">
        <f>VLOOKUP($A170,'Data Vlaue (Cr)'!$C:$FB,8)</f>
        <v>1711.1</v>
      </c>
      <c r="D170" s="75">
        <f>VLOOKUP($A170,'Data Vlaue (Cr)'!$C:$FB,4)</f>
        <v>1708.4</v>
      </c>
      <c r="E170" s="75">
        <f>VLOOKUP($A170,'Data Vlaue (Cr)'!$C:$FB,5)</f>
        <v>1684.1</v>
      </c>
      <c r="F170" s="75">
        <f t="shared" si="12"/>
        <v>-2.6999999999998181</v>
      </c>
      <c r="G170" s="75">
        <f t="shared" si="13"/>
        <v>1.4223835167408205</v>
      </c>
      <c r="H170" s="75">
        <f>VLOOKUP($A170,'Data Vlaue (Cr)'!$C:$FB,99)</f>
        <v>1075</v>
      </c>
      <c r="I170" s="75">
        <f>VLOOKUP($A170,'Data Vlaue (Cr)'!$C:$FB,100)</f>
        <v>1076</v>
      </c>
      <c r="J170" s="75">
        <f t="shared" si="14"/>
        <v>-1</v>
      </c>
      <c r="K170" s="75">
        <f t="shared" si="15"/>
        <v>-9.3023255813953487E-2</v>
      </c>
      <c r="L170" s="75">
        <f>VLOOKUP($A170,'Data Vlaue (Cr)'!$C:$FB,67)</f>
        <v>1213</v>
      </c>
      <c r="M170" s="75">
        <f>VLOOKUP($A170,'Data Vlaue (Cr)'!$C:$FB,68)</f>
        <v>809</v>
      </c>
      <c r="N170" s="75">
        <f t="shared" si="16"/>
        <v>404</v>
      </c>
      <c r="O170" s="75">
        <f t="shared" si="17"/>
        <v>33.305853256389121</v>
      </c>
      <c r="P170" s="75">
        <f>VLOOKUP($A170,'Data Vlaue (Cr)'!$C:$FB,119)</f>
        <v>0.64</v>
      </c>
      <c r="Q170" s="75">
        <f>VLOOKUP($A170,'Data Vlaue (Cr)'!$C:$FB,122)*100</f>
        <v>0</v>
      </c>
      <c r="R170" s="75">
        <f>VLOOKUP($A170,'Data Vlaue (Cr)'!$C:$FB,125)</f>
        <v>0.27</v>
      </c>
      <c r="S170" s="75">
        <f>VLOOKUP($A170,'Data Vlaue (Cr)'!$C:$FB,128)*100</f>
        <v>-47.06</v>
      </c>
    </row>
    <row r="171" spans="1:19" x14ac:dyDescent="0.25">
      <c r="A171" s="96" t="str">
        <f>'Data Vlaue (Cr)'!C162</f>
        <v>PIDILITIND</v>
      </c>
      <c r="B171" s="75">
        <f>VLOOKUP($A171,'Data Vlaue (Cr)'!$C:$FB,2)</f>
        <v>500</v>
      </c>
      <c r="C171" s="75">
        <f>VLOOKUP($A171,'Data Vlaue (Cr)'!$C:$FB,8)</f>
        <v>1504.4</v>
      </c>
      <c r="D171" s="75">
        <f>VLOOKUP($A171,'Data Vlaue (Cr)'!$C:$FB,4)</f>
        <v>1504.2</v>
      </c>
      <c r="E171" s="75">
        <f>VLOOKUP($A171,'Data Vlaue (Cr)'!$C:$FB,5)</f>
        <v>1505.4</v>
      </c>
      <c r="F171" s="75">
        <f t="shared" si="12"/>
        <v>-0.20000000000004547</v>
      </c>
      <c r="G171" s="75">
        <f t="shared" si="13"/>
        <v>-7.9776625448746544E-2</v>
      </c>
      <c r="H171" s="75">
        <f>VLOOKUP($A171,'Data Vlaue (Cr)'!$C:$FB,99)</f>
        <v>1790</v>
      </c>
      <c r="I171" s="75">
        <f>VLOOKUP($A171,'Data Vlaue (Cr)'!$C:$FB,100)</f>
        <v>1883</v>
      </c>
      <c r="J171" s="75">
        <f t="shared" si="14"/>
        <v>-93</v>
      </c>
      <c r="K171" s="75">
        <f t="shared" si="15"/>
        <v>-5.1955307262569832</v>
      </c>
      <c r="L171" s="75">
        <f>VLOOKUP($A171,'Data Vlaue (Cr)'!$C:$FB,67)</f>
        <v>1729</v>
      </c>
      <c r="M171" s="75">
        <f>VLOOKUP($A171,'Data Vlaue (Cr)'!$C:$FB,68)</f>
        <v>1856</v>
      </c>
      <c r="N171" s="75">
        <f t="shared" si="16"/>
        <v>-127</v>
      </c>
      <c r="O171" s="75">
        <f t="shared" si="17"/>
        <v>-7.3452862926547136</v>
      </c>
      <c r="P171" s="75">
        <f>VLOOKUP($A171,'Data Vlaue (Cr)'!$C:$FB,119)</f>
        <v>0.9</v>
      </c>
      <c r="Q171" s="75">
        <f>VLOOKUP($A171,'Data Vlaue (Cr)'!$C:$FB,122)*100</f>
        <v>-12.620000000000001</v>
      </c>
      <c r="R171" s="75">
        <f>VLOOKUP($A171,'Data Vlaue (Cr)'!$C:$FB,125)</f>
        <v>0.83</v>
      </c>
      <c r="S171" s="75">
        <f>VLOOKUP($A171,'Data Vlaue (Cr)'!$C:$FB,128)*100</f>
        <v>-10.75</v>
      </c>
    </row>
    <row r="172" spans="1:19" x14ac:dyDescent="0.25">
      <c r="A172" s="96" t="str">
        <f>'Data Vlaue (Cr)'!C163</f>
        <v>PIIND</v>
      </c>
      <c r="B172" s="75">
        <f>VLOOKUP($A172,'Data Vlaue (Cr)'!$C:$FB,2)</f>
        <v>175</v>
      </c>
      <c r="C172" s="75">
        <f>VLOOKUP($A172,'Data Vlaue (Cr)'!$C:$FB,8)</f>
        <v>3610</v>
      </c>
      <c r="D172" s="75">
        <f>VLOOKUP($A172,'Data Vlaue (Cr)'!$C:$FB,4)</f>
        <v>3607.3</v>
      </c>
      <c r="E172" s="75">
        <f>VLOOKUP($A172,'Data Vlaue (Cr)'!$C:$FB,5)</f>
        <v>3580.5</v>
      </c>
      <c r="F172" s="75">
        <f t="shared" si="12"/>
        <v>-2.6999999999998181</v>
      </c>
      <c r="G172" s="75">
        <f t="shared" si="13"/>
        <v>0.74293793141685416</v>
      </c>
      <c r="H172" s="75">
        <f>VLOOKUP($A172,'Data Vlaue (Cr)'!$C:$FB,99)</f>
        <v>978</v>
      </c>
      <c r="I172" s="75">
        <f>VLOOKUP($A172,'Data Vlaue (Cr)'!$C:$FB,100)</f>
        <v>997</v>
      </c>
      <c r="J172" s="75">
        <f t="shared" si="14"/>
        <v>-19</v>
      </c>
      <c r="K172" s="75">
        <f t="shared" si="15"/>
        <v>-1.9427402862985685</v>
      </c>
      <c r="L172" s="75">
        <f>VLOOKUP($A172,'Data Vlaue (Cr)'!$C:$FB,67)</f>
        <v>1343</v>
      </c>
      <c r="M172" s="75">
        <f>VLOOKUP($A172,'Data Vlaue (Cr)'!$C:$FB,68)</f>
        <v>1143</v>
      </c>
      <c r="N172" s="75">
        <f t="shared" si="16"/>
        <v>200</v>
      </c>
      <c r="O172" s="75">
        <f t="shared" si="17"/>
        <v>14.892032762472077</v>
      </c>
      <c r="P172" s="75">
        <f>VLOOKUP($A172,'Data Vlaue (Cr)'!$C:$FB,119)</f>
        <v>0.65</v>
      </c>
      <c r="Q172" s="75">
        <f>VLOOKUP($A172,'Data Vlaue (Cr)'!$C:$FB,122)*100</f>
        <v>3.17</v>
      </c>
      <c r="R172" s="75">
        <f>VLOOKUP($A172,'Data Vlaue (Cr)'!$C:$FB,125)</f>
        <v>0.27</v>
      </c>
      <c r="S172" s="75">
        <f>VLOOKUP($A172,'Data Vlaue (Cr)'!$C:$FB,128)*100</f>
        <v>-51.790000000000006</v>
      </c>
    </row>
    <row r="173" spans="1:19" x14ac:dyDescent="0.25">
      <c r="A173" s="96" t="str">
        <f>'Data Vlaue (Cr)'!C164</f>
        <v>PNB</v>
      </c>
      <c r="B173" s="75">
        <f>VLOOKUP($A173,'Data Vlaue (Cr)'!$C:$FB,2)</f>
        <v>8000</v>
      </c>
      <c r="C173" s="75">
        <f>VLOOKUP($A173,'Data Vlaue (Cr)'!$C:$FB,8)</f>
        <v>119.63</v>
      </c>
      <c r="D173" s="75">
        <f>VLOOKUP($A173,'Data Vlaue (Cr)'!$C:$FB,4)</f>
        <v>119.59</v>
      </c>
      <c r="E173" s="75">
        <f>VLOOKUP($A173,'Data Vlaue (Cr)'!$C:$FB,5)</f>
        <v>117.07</v>
      </c>
      <c r="F173" s="75">
        <f t="shared" si="12"/>
        <v>-3.9999999999992042E-2</v>
      </c>
      <c r="G173" s="75">
        <f t="shared" si="13"/>
        <v>2.1071995986286565</v>
      </c>
      <c r="H173" s="75">
        <f>VLOOKUP($A173,'Data Vlaue (Cr)'!$C:$FB,99)</f>
        <v>6196</v>
      </c>
      <c r="I173" s="75">
        <f>VLOOKUP($A173,'Data Vlaue (Cr)'!$C:$FB,100)</f>
        <v>6388</v>
      </c>
      <c r="J173" s="75">
        <f t="shared" si="14"/>
        <v>-192</v>
      </c>
      <c r="K173" s="75">
        <f t="shared" si="15"/>
        <v>-3.0987734021949644</v>
      </c>
      <c r="L173" s="75">
        <f>VLOOKUP($A173,'Data Vlaue (Cr)'!$C:$FB,67)</f>
        <v>6931</v>
      </c>
      <c r="M173" s="75">
        <f>VLOOKUP($A173,'Data Vlaue (Cr)'!$C:$FB,68)</f>
        <v>5651</v>
      </c>
      <c r="N173" s="75">
        <f t="shared" si="16"/>
        <v>1280</v>
      </c>
      <c r="O173" s="75">
        <f t="shared" si="17"/>
        <v>18.467753570913288</v>
      </c>
      <c r="P173" s="75">
        <f>VLOOKUP($A173,'Data Vlaue (Cr)'!$C:$FB,119)</f>
        <v>0.86</v>
      </c>
      <c r="Q173" s="75">
        <f>VLOOKUP($A173,'Data Vlaue (Cr)'!$C:$FB,122)*100</f>
        <v>13.16</v>
      </c>
      <c r="R173" s="75">
        <f>VLOOKUP($A173,'Data Vlaue (Cr)'!$C:$FB,125)</f>
        <v>0.49</v>
      </c>
      <c r="S173" s="75">
        <f>VLOOKUP($A173,'Data Vlaue (Cr)'!$C:$FB,128)*100</f>
        <v>-23.44</v>
      </c>
    </row>
    <row r="174" spans="1:19" x14ac:dyDescent="0.25">
      <c r="A174" s="96" t="str">
        <f>'Data Vlaue (Cr)'!C165</f>
        <v>PNBHOUSING</v>
      </c>
      <c r="B174" s="75">
        <f>VLOOKUP($A174,'Data Vlaue (Cr)'!$C:$FB,2)</f>
        <v>650</v>
      </c>
      <c r="C174" s="75">
        <f>VLOOKUP($A174,'Data Vlaue (Cr)'!$C:$FB,8)</f>
        <v>927.6</v>
      </c>
      <c r="D174" s="75">
        <f>VLOOKUP($A174,'Data Vlaue (Cr)'!$C:$FB,4)</f>
        <v>928.45</v>
      </c>
      <c r="E174" s="75">
        <f>VLOOKUP($A174,'Data Vlaue (Cr)'!$C:$FB,5)</f>
        <v>907.75</v>
      </c>
      <c r="F174" s="75">
        <f t="shared" si="12"/>
        <v>0.85000000000002274</v>
      </c>
      <c r="G174" s="75">
        <f t="shared" si="13"/>
        <v>2.2295223221498244</v>
      </c>
      <c r="H174" s="75">
        <f>VLOOKUP($A174,'Data Vlaue (Cr)'!$C:$FB,99)</f>
        <v>2713</v>
      </c>
      <c r="I174" s="75">
        <f>VLOOKUP($A174,'Data Vlaue (Cr)'!$C:$FB,100)</f>
        <v>2453</v>
      </c>
      <c r="J174" s="75">
        <f t="shared" si="14"/>
        <v>260</v>
      </c>
      <c r="K174" s="75">
        <f t="shared" si="15"/>
        <v>9.5834869148544044</v>
      </c>
      <c r="L174" s="75">
        <f>VLOOKUP($A174,'Data Vlaue (Cr)'!$C:$FB,67)</f>
        <v>4042</v>
      </c>
      <c r="M174" s="75">
        <f>VLOOKUP($A174,'Data Vlaue (Cr)'!$C:$FB,68)</f>
        <v>3741</v>
      </c>
      <c r="N174" s="75">
        <f t="shared" si="16"/>
        <v>301</v>
      </c>
      <c r="O174" s="75">
        <f t="shared" si="17"/>
        <v>7.4468085106382977</v>
      </c>
      <c r="P174" s="75">
        <f>VLOOKUP($A174,'Data Vlaue (Cr)'!$C:$FB,119)</f>
        <v>0.87</v>
      </c>
      <c r="Q174" s="75">
        <f>VLOOKUP($A174,'Data Vlaue (Cr)'!$C:$FB,122)*100</f>
        <v>-13.86</v>
      </c>
      <c r="R174" s="75">
        <f>VLOOKUP($A174,'Data Vlaue (Cr)'!$C:$FB,125)</f>
        <v>0.47</v>
      </c>
      <c r="S174" s="75">
        <f>VLOOKUP($A174,'Data Vlaue (Cr)'!$C:$FB,128)*100</f>
        <v>-2.08</v>
      </c>
    </row>
    <row r="175" spans="1:19" x14ac:dyDescent="0.25">
      <c r="A175" s="96" t="str">
        <f>'Data Vlaue (Cr)'!C166</f>
        <v>POLICYBZR</v>
      </c>
      <c r="B175" s="75">
        <f>VLOOKUP($A175,'Data Vlaue (Cr)'!$C:$FB,2)</f>
        <v>350</v>
      </c>
      <c r="C175" s="75">
        <f>VLOOKUP($A175,'Data Vlaue (Cr)'!$C:$FB,8)</f>
        <v>1749.4</v>
      </c>
      <c r="D175" s="75">
        <f>VLOOKUP($A175,'Data Vlaue (Cr)'!$C:$FB,4)</f>
        <v>1751.8</v>
      </c>
      <c r="E175" s="75">
        <f>VLOOKUP($A175,'Data Vlaue (Cr)'!$C:$FB,5)</f>
        <v>1687</v>
      </c>
      <c r="F175" s="75">
        <f t="shared" si="12"/>
        <v>2.3999999999998636</v>
      </c>
      <c r="G175" s="75">
        <f t="shared" si="13"/>
        <v>3.6990524032423768</v>
      </c>
      <c r="H175" s="75">
        <f>VLOOKUP($A175,'Data Vlaue (Cr)'!$C:$FB,99)</f>
        <v>1943</v>
      </c>
      <c r="I175" s="75">
        <f>VLOOKUP($A175,'Data Vlaue (Cr)'!$C:$FB,100)</f>
        <v>1948</v>
      </c>
      <c r="J175" s="75">
        <f t="shared" si="14"/>
        <v>-5</v>
      </c>
      <c r="K175" s="75">
        <f t="shared" si="15"/>
        <v>-0.2573340195573855</v>
      </c>
      <c r="L175" s="75">
        <f>VLOOKUP($A175,'Data Vlaue (Cr)'!$C:$FB,67)</f>
        <v>3214</v>
      </c>
      <c r="M175" s="75">
        <f>VLOOKUP($A175,'Data Vlaue (Cr)'!$C:$FB,68)</f>
        <v>2247</v>
      </c>
      <c r="N175" s="75">
        <f t="shared" si="16"/>
        <v>967</v>
      </c>
      <c r="O175" s="75">
        <f t="shared" si="17"/>
        <v>30.087118855009333</v>
      </c>
      <c r="P175" s="75">
        <f>VLOOKUP($A175,'Data Vlaue (Cr)'!$C:$FB,119)</f>
        <v>0.71</v>
      </c>
      <c r="Q175" s="75">
        <f>VLOOKUP($A175,'Data Vlaue (Cr)'!$C:$FB,122)*100</f>
        <v>-14.46</v>
      </c>
      <c r="R175" s="75">
        <f>VLOOKUP($A175,'Data Vlaue (Cr)'!$C:$FB,125)</f>
        <v>0.26</v>
      </c>
      <c r="S175" s="75">
        <f>VLOOKUP($A175,'Data Vlaue (Cr)'!$C:$FB,128)*100</f>
        <v>-31.580000000000002</v>
      </c>
    </row>
    <row r="176" spans="1:19" x14ac:dyDescent="0.25">
      <c r="A176" s="96" t="str">
        <f>'Data Vlaue (Cr)'!C167</f>
        <v>POLYCAB</v>
      </c>
      <c r="B176" s="75">
        <f>VLOOKUP($A176,'Data Vlaue (Cr)'!$C:$FB,2)</f>
        <v>125</v>
      </c>
      <c r="C176" s="75">
        <f>VLOOKUP($A176,'Data Vlaue (Cr)'!$C:$FB,8)</f>
        <v>7666.5</v>
      </c>
      <c r="D176" s="75">
        <f>VLOOKUP($A176,'Data Vlaue (Cr)'!$C:$FB,4)</f>
        <v>7664</v>
      </c>
      <c r="E176" s="75">
        <f>VLOOKUP($A176,'Data Vlaue (Cr)'!$C:$FB,5)</f>
        <v>7499.5</v>
      </c>
      <c r="F176" s="75">
        <f t="shared" si="12"/>
        <v>-2.5</v>
      </c>
      <c r="G176" s="75">
        <f t="shared" si="13"/>
        <v>2.1463987473903967</v>
      </c>
      <c r="H176" s="75">
        <f>VLOOKUP($A176,'Data Vlaue (Cr)'!$C:$FB,99)</f>
        <v>2700</v>
      </c>
      <c r="I176" s="75">
        <f>VLOOKUP($A176,'Data Vlaue (Cr)'!$C:$FB,100)</f>
        <v>2912</v>
      </c>
      <c r="J176" s="75">
        <f t="shared" si="14"/>
        <v>-212</v>
      </c>
      <c r="K176" s="75">
        <f t="shared" si="15"/>
        <v>-7.8518518518518512</v>
      </c>
      <c r="L176" s="75">
        <f>VLOOKUP($A176,'Data Vlaue (Cr)'!$C:$FB,67)</f>
        <v>4049</v>
      </c>
      <c r="M176" s="75">
        <f>VLOOKUP($A176,'Data Vlaue (Cr)'!$C:$FB,68)</f>
        <v>5155</v>
      </c>
      <c r="N176" s="75">
        <f t="shared" si="16"/>
        <v>-1106</v>
      </c>
      <c r="O176" s="75">
        <f t="shared" si="17"/>
        <v>-27.315386515188933</v>
      </c>
      <c r="P176" s="75">
        <f>VLOOKUP($A176,'Data Vlaue (Cr)'!$C:$FB,119)</f>
        <v>0.77</v>
      </c>
      <c r="Q176" s="75">
        <f>VLOOKUP($A176,'Data Vlaue (Cr)'!$C:$FB,122)*100</f>
        <v>26.229999999999997</v>
      </c>
      <c r="R176" s="75">
        <f>VLOOKUP($A176,'Data Vlaue (Cr)'!$C:$FB,125)</f>
        <v>0.65</v>
      </c>
      <c r="S176" s="75">
        <f>VLOOKUP($A176,'Data Vlaue (Cr)'!$C:$FB,128)*100</f>
        <v>-12.16</v>
      </c>
    </row>
    <row r="177" spans="1:19" x14ac:dyDescent="0.25">
      <c r="A177" s="96" t="str">
        <f>'Data Vlaue (Cr)'!C168</f>
        <v>POWERGRID</v>
      </c>
      <c r="B177" s="75">
        <f>VLOOKUP($A177,'Data Vlaue (Cr)'!$C:$FB,2)</f>
        <v>1900</v>
      </c>
      <c r="C177" s="75">
        <f>VLOOKUP($A177,'Data Vlaue (Cr)'!$C:$FB,8)</f>
        <v>291.05</v>
      </c>
      <c r="D177" s="75">
        <f>VLOOKUP($A177,'Data Vlaue (Cr)'!$C:$FB,4)</f>
        <v>291.7</v>
      </c>
      <c r="E177" s="75">
        <f>VLOOKUP($A177,'Data Vlaue (Cr)'!$C:$FB,5)</f>
        <v>288.45</v>
      </c>
      <c r="F177" s="75">
        <f t="shared" ref="F177:F185" si="18">D177-C177</f>
        <v>0.64999999999997726</v>
      </c>
      <c r="G177" s="75">
        <f t="shared" ref="G177:G185" si="19">(D177-E177)/D177*100</f>
        <v>1.1141583818992116</v>
      </c>
      <c r="H177" s="75">
        <f>VLOOKUP($A177,'Data Vlaue (Cr)'!$C:$FB,99)</f>
        <v>3662</v>
      </c>
      <c r="I177" s="75">
        <f>VLOOKUP($A177,'Data Vlaue (Cr)'!$C:$FB,100)</f>
        <v>3621</v>
      </c>
      <c r="J177" s="75">
        <f t="shared" ref="J177:J185" si="20">H177-I177</f>
        <v>41</v>
      </c>
      <c r="K177" s="75">
        <f t="shared" ref="K177:K185" si="21">J177/H177*100</f>
        <v>1.119606772255598</v>
      </c>
      <c r="L177" s="75">
        <f>VLOOKUP($A177,'Data Vlaue (Cr)'!$C:$FB,67)</f>
        <v>2808</v>
      </c>
      <c r="M177" s="75">
        <f>VLOOKUP($A177,'Data Vlaue (Cr)'!$C:$FB,68)</f>
        <v>2520</v>
      </c>
      <c r="N177" s="75">
        <f t="shared" ref="N177:N185" si="22">L177-M177</f>
        <v>288</v>
      </c>
      <c r="O177" s="75">
        <f t="shared" ref="O177:O185" si="23">N177/L177*100</f>
        <v>10.256410256410255</v>
      </c>
      <c r="P177" s="75">
        <f>VLOOKUP($A177,'Data Vlaue (Cr)'!$C:$FB,119)</f>
        <v>0.56000000000000005</v>
      </c>
      <c r="Q177" s="75">
        <f>VLOOKUP($A177,'Data Vlaue (Cr)'!$C:$FB,122)*100</f>
        <v>5.66</v>
      </c>
      <c r="R177" s="75">
        <f>VLOOKUP($A177,'Data Vlaue (Cr)'!$C:$FB,125)</f>
        <v>0.51</v>
      </c>
      <c r="S177" s="75">
        <f>VLOOKUP($A177,'Data Vlaue (Cr)'!$C:$FB,128)*100</f>
        <v>2</v>
      </c>
    </row>
    <row r="178" spans="1:19" x14ac:dyDescent="0.25">
      <c r="A178" s="96" t="str">
        <f>'Data Vlaue (Cr)'!C169</f>
        <v>POWERINDIA</v>
      </c>
      <c r="B178" s="75">
        <f>VLOOKUP($A178,'Data Vlaue (Cr)'!$C:$FB,2)</f>
        <v>50</v>
      </c>
      <c r="C178" s="75">
        <f>VLOOKUP($A178,'Data Vlaue (Cr)'!$C:$FB,8)</f>
        <v>16655</v>
      </c>
      <c r="D178" s="75">
        <f>VLOOKUP($A178,'Data Vlaue (Cr)'!$C:$FB,4)</f>
        <v>16686</v>
      </c>
      <c r="E178" s="75">
        <f>VLOOKUP($A178,'Data Vlaue (Cr)'!$C:$FB,5)</f>
        <v>16780</v>
      </c>
      <c r="F178" s="75">
        <f t="shared" si="18"/>
        <v>31</v>
      </c>
      <c r="G178" s="75">
        <f t="shared" si="19"/>
        <v>-0.56334651803907465</v>
      </c>
      <c r="H178" s="75">
        <f>VLOOKUP($A178,'Data Vlaue (Cr)'!$C:$FB,99)</f>
        <v>426</v>
      </c>
      <c r="I178" s="75">
        <f>VLOOKUP($A178,'Data Vlaue (Cr)'!$C:$FB,100)</f>
        <v>397</v>
      </c>
      <c r="J178" s="75">
        <f t="shared" si="20"/>
        <v>29</v>
      </c>
      <c r="K178" s="75">
        <f t="shared" si="21"/>
        <v>6.807511737089202</v>
      </c>
      <c r="L178" s="75">
        <f>VLOOKUP($A178,'Data Vlaue (Cr)'!$C:$FB,67)</f>
        <v>843</v>
      </c>
      <c r="M178" s="75">
        <f>VLOOKUP($A178,'Data Vlaue (Cr)'!$C:$FB,68)</f>
        <v>473</v>
      </c>
      <c r="N178" s="75">
        <f t="shared" si="22"/>
        <v>370</v>
      </c>
      <c r="O178" s="75">
        <f t="shared" si="23"/>
        <v>43.890865954922894</v>
      </c>
      <c r="P178" s="75">
        <f>VLOOKUP($A178,'Data Vlaue (Cr)'!$C:$FB,119)</f>
        <v>0.25</v>
      </c>
      <c r="Q178" s="75">
        <f>VLOOKUP($A178,'Data Vlaue (Cr)'!$C:$FB,122)*100</f>
        <v>19.05</v>
      </c>
      <c r="R178" s="75">
        <f>VLOOKUP($A178,'Data Vlaue (Cr)'!$C:$FB,125)</f>
        <v>1.03</v>
      </c>
      <c r="S178" s="75">
        <f>VLOOKUP($A178,'Data Vlaue (Cr)'!$C:$FB,128)*100</f>
        <v>472.21999999999997</v>
      </c>
    </row>
    <row r="179" spans="1:19" x14ac:dyDescent="0.25">
      <c r="A179" s="96" t="str">
        <f>'Data Vlaue (Cr)'!C170</f>
        <v>PPLPHARMA</v>
      </c>
      <c r="B179" s="75">
        <f>VLOOKUP($A179,'Data Vlaue (Cr)'!$C:$FB,2)</f>
        <v>2500</v>
      </c>
      <c r="C179" s="75">
        <f>VLOOKUP($A179,'Data Vlaue (Cr)'!$C:$FB,8)</f>
        <v>203.14</v>
      </c>
      <c r="D179" s="75">
        <f>VLOOKUP($A179,'Data Vlaue (Cr)'!$C:$FB,4)</f>
        <v>203.52</v>
      </c>
      <c r="E179" s="75">
        <f>VLOOKUP($A179,'Data Vlaue (Cr)'!$C:$FB,5)</f>
        <v>202.61</v>
      </c>
      <c r="F179" s="75">
        <f t="shared" si="18"/>
        <v>0.38000000000002387</v>
      </c>
      <c r="G179" s="75">
        <f t="shared" si="19"/>
        <v>0.44713050314465241</v>
      </c>
      <c r="H179" s="75">
        <f>VLOOKUP($A179,'Data Vlaue (Cr)'!$C:$FB,99)</f>
        <v>883</v>
      </c>
      <c r="I179" s="75">
        <f>VLOOKUP($A179,'Data Vlaue (Cr)'!$C:$FB,100)</f>
        <v>948</v>
      </c>
      <c r="J179" s="75">
        <f t="shared" si="20"/>
        <v>-65</v>
      </c>
      <c r="K179" s="75">
        <f t="shared" si="21"/>
        <v>-7.3612684031710076</v>
      </c>
      <c r="L179" s="75">
        <f>VLOOKUP($A179,'Data Vlaue (Cr)'!$C:$FB,67)</f>
        <v>743</v>
      </c>
      <c r="M179" s="75">
        <f>VLOOKUP($A179,'Data Vlaue (Cr)'!$C:$FB,68)</f>
        <v>1138</v>
      </c>
      <c r="N179" s="75">
        <f t="shared" si="22"/>
        <v>-395</v>
      </c>
      <c r="O179" s="75">
        <f t="shared" si="23"/>
        <v>-53.162853297442801</v>
      </c>
      <c r="P179" s="75">
        <f>VLOOKUP($A179,'Data Vlaue (Cr)'!$C:$FB,119)</f>
        <v>0.84</v>
      </c>
      <c r="Q179" s="75">
        <f>VLOOKUP($A179,'Data Vlaue (Cr)'!$C:$FB,122)*100</f>
        <v>13.51</v>
      </c>
      <c r="R179" s="75">
        <f>VLOOKUP($A179,'Data Vlaue (Cr)'!$C:$FB,125)</f>
        <v>0.56000000000000005</v>
      </c>
      <c r="S179" s="75">
        <f>VLOOKUP($A179,'Data Vlaue (Cr)'!$C:$FB,128)*100</f>
        <v>19.149999999999999</v>
      </c>
    </row>
    <row r="180" spans="1:19" x14ac:dyDescent="0.25">
      <c r="A180" s="96" t="str">
        <f>'Data Vlaue (Cr)'!C171</f>
        <v>PRESTIGE</v>
      </c>
      <c r="B180" s="75">
        <f>VLOOKUP($A180,'Data Vlaue (Cr)'!$C:$FB,2)</f>
        <v>450</v>
      </c>
      <c r="C180" s="75">
        <f>VLOOKUP($A180,'Data Vlaue (Cr)'!$C:$FB,8)</f>
        <v>1784.8</v>
      </c>
      <c r="D180" s="75">
        <f>VLOOKUP($A180,'Data Vlaue (Cr)'!$C:$FB,4)</f>
        <v>1785.2</v>
      </c>
      <c r="E180" s="75">
        <f>VLOOKUP($A180,'Data Vlaue (Cr)'!$C:$FB,5)</f>
        <v>1752.8</v>
      </c>
      <c r="F180" s="75">
        <f t="shared" si="18"/>
        <v>0.40000000000009095</v>
      </c>
      <c r="G180" s="75">
        <f t="shared" si="19"/>
        <v>1.8149226977369532</v>
      </c>
      <c r="H180" s="75">
        <f>VLOOKUP($A180,'Data Vlaue (Cr)'!$C:$FB,99)</f>
        <v>1281</v>
      </c>
      <c r="I180" s="75">
        <f>VLOOKUP($A180,'Data Vlaue (Cr)'!$C:$FB,100)</f>
        <v>1311</v>
      </c>
      <c r="J180" s="75">
        <f t="shared" si="20"/>
        <v>-30</v>
      </c>
      <c r="K180" s="75">
        <f t="shared" si="21"/>
        <v>-2.3419203747072603</v>
      </c>
      <c r="L180" s="75">
        <f>VLOOKUP($A180,'Data Vlaue (Cr)'!$C:$FB,67)</f>
        <v>2107</v>
      </c>
      <c r="M180" s="75">
        <f>VLOOKUP($A180,'Data Vlaue (Cr)'!$C:$FB,68)</f>
        <v>1641</v>
      </c>
      <c r="N180" s="75">
        <f t="shared" si="22"/>
        <v>466</v>
      </c>
      <c r="O180" s="75">
        <f t="shared" si="23"/>
        <v>22.116753678215474</v>
      </c>
      <c r="P180" s="75">
        <f>VLOOKUP($A180,'Data Vlaue (Cr)'!$C:$FB,119)</f>
        <v>0.87</v>
      </c>
      <c r="Q180" s="75">
        <f>VLOOKUP($A180,'Data Vlaue (Cr)'!$C:$FB,122)*100</f>
        <v>-5.43</v>
      </c>
      <c r="R180" s="75">
        <f>VLOOKUP($A180,'Data Vlaue (Cr)'!$C:$FB,125)</f>
        <v>0.28000000000000003</v>
      </c>
      <c r="S180" s="75">
        <f>VLOOKUP($A180,'Data Vlaue (Cr)'!$C:$FB,128)*100</f>
        <v>-24.32</v>
      </c>
    </row>
    <row r="181" spans="1:19" x14ac:dyDescent="0.25">
      <c r="A181" s="96" t="str">
        <f>'Data Vlaue (Cr)'!C172</f>
        <v>RBLBANK</v>
      </c>
      <c r="B181" s="75">
        <f>VLOOKUP($A181,'Data Vlaue (Cr)'!$C:$FB,2)</f>
        <v>3175</v>
      </c>
      <c r="C181" s="75">
        <f>VLOOKUP($A181,'Data Vlaue (Cr)'!$C:$FB,8)</f>
        <v>322.05</v>
      </c>
      <c r="D181" s="75">
        <f>VLOOKUP($A181,'Data Vlaue (Cr)'!$C:$FB,4)</f>
        <v>322.3</v>
      </c>
      <c r="E181" s="75">
        <f>VLOOKUP($A181,'Data Vlaue (Cr)'!$C:$FB,5)</f>
        <v>316.64999999999998</v>
      </c>
      <c r="F181" s="75">
        <f t="shared" si="18"/>
        <v>0.25</v>
      </c>
      <c r="G181" s="75">
        <f t="shared" si="19"/>
        <v>1.7530251318647327</v>
      </c>
      <c r="H181" s="75">
        <f>VLOOKUP($A181,'Data Vlaue (Cr)'!$C:$FB,99)</f>
        <v>3692</v>
      </c>
      <c r="I181" s="75">
        <f>VLOOKUP($A181,'Data Vlaue (Cr)'!$C:$FB,100)</f>
        <v>3460</v>
      </c>
      <c r="J181" s="75">
        <f t="shared" si="20"/>
        <v>232</v>
      </c>
      <c r="K181" s="75">
        <f t="shared" si="21"/>
        <v>6.2838569880823396</v>
      </c>
      <c r="L181" s="75">
        <f>VLOOKUP($A181,'Data Vlaue (Cr)'!$C:$FB,67)</f>
        <v>3909</v>
      </c>
      <c r="M181" s="75">
        <f>VLOOKUP($A181,'Data Vlaue (Cr)'!$C:$FB,68)</f>
        <v>2494</v>
      </c>
      <c r="N181" s="75">
        <f t="shared" si="22"/>
        <v>1415</v>
      </c>
      <c r="O181" s="75">
        <f t="shared" si="23"/>
        <v>36.198516244563827</v>
      </c>
      <c r="P181" s="75">
        <f>VLOOKUP($A181,'Data Vlaue (Cr)'!$C:$FB,119)</f>
        <v>0.8</v>
      </c>
      <c r="Q181" s="75">
        <f>VLOOKUP($A181,'Data Vlaue (Cr)'!$C:$FB,122)*100</f>
        <v>1.27</v>
      </c>
      <c r="R181" s="75">
        <f>VLOOKUP($A181,'Data Vlaue (Cr)'!$C:$FB,125)</f>
        <v>0.35</v>
      </c>
      <c r="S181" s="75">
        <f>VLOOKUP($A181,'Data Vlaue (Cr)'!$C:$FB,128)*100</f>
        <v>-39.660000000000004</v>
      </c>
    </row>
    <row r="182" spans="1:19" x14ac:dyDescent="0.25">
      <c r="A182" s="96" t="str">
        <f>'Data Vlaue (Cr)'!C173</f>
        <v>RECLTD</v>
      </c>
      <c r="B182" s="75">
        <f>VLOOKUP($A182,'Data Vlaue (Cr)'!$C:$FB,2)</f>
        <v>1275</v>
      </c>
      <c r="C182" s="75">
        <f>VLOOKUP($A182,'Data Vlaue (Cr)'!$C:$FB,8)</f>
        <v>373.7</v>
      </c>
      <c r="D182" s="75">
        <f>VLOOKUP($A182,'Data Vlaue (Cr)'!$C:$FB,4)</f>
        <v>373.8</v>
      </c>
      <c r="E182" s="75">
        <f>VLOOKUP($A182,'Data Vlaue (Cr)'!$C:$FB,5)</f>
        <v>367.5</v>
      </c>
      <c r="F182" s="75">
        <f t="shared" si="18"/>
        <v>0.10000000000002274</v>
      </c>
      <c r="G182" s="75">
        <f t="shared" si="19"/>
        <v>1.6853932584269693</v>
      </c>
      <c r="H182" s="75">
        <f>VLOOKUP($A182,'Data Vlaue (Cr)'!$C:$FB,99)</f>
        <v>5552</v>
      </c>
      <c r="I182" s="75">
        <f>VLOOKUP($A182,'Data Vlaue (Cr)'!$C:$FB,100)</f>
        <v>5598</v>
      </c>
      <c r="J182" s="75">
        <f t="shared" si="20"/>
        <v>-46</v>
      </c>
      <c r="K182" s="75">
        <f t="shared" si="21"/>
        <v>-0.82853025936599423</v>
      </c>
      <c r="L182" s="75">
        <f>VLOOKUP($A182,'Data Vlaue (Cr)'!$C:$FB,67)</f>
        <v>4659</v>
      </c>
      <c r="M182" s="75">
        <f>VLOOKUP($A182,'Data Vlaue (Cr)'!$C:$FB,68)</f>
        <v>3668</v>
      </c>
      <c r="N182" s="75">
        <f t="shared" si="22"/>
        <v>991</v>
      </c>
      <c r="O182" s="75">
        <f t="shared" si="23"/>
        <v>21.27065893968663</v>
      </c>
      <c r="P182" s="75">
        <f>VLOOKUP($A182,'Data Vlaue (Cr)'!$C:$FB,119)</f>
        <v>0.84</v>
      </c>
      <c r="Q182" s="75">
        <f>VLOOKUP($A182,'Data Vlaue (Cr)'!$C:$FB,122)*100</f>
        <v>-2.33</v>
      </c>
      <c r="R182" s="75">
        <f>VLOOKUP($A182,'Data Vlaue (Cr)'!$C:$FB,125)</f>
        <v>0.74</v>
      </c>
      <c r="S182" s="75">
        <f>VLOOKUP($A182,'Data Vlaue (Cr)'!$C:$FB,128)*100</f>
        <v>25.419999999999998</v>
      </c>
    </row>
    <row r="183" spans="1:19" x14ac:dyDescent="0.25">
      <c r="A183" s="96" t="str">
        <f>'Data Vlaue (Cr)'!C174</f>
        <v>RELIANCE</v>
      </c>
      <c r="B183" s="75">
        <f>VLOOKUP($A183,'Data Vlaue (Cr)'!$C:$FB,2)</f>
        <v>500</v>
      </c>
      <c r="C183" s="75">
        <f>VLOOKUP($A183,'Data Vlaue (Cr)'!$C:$FB,8)</f>
        <v>1484.1</v>
      </c>
      <c r="D183" s="75">
        <f>VLOOKUP($A183,'Data Vlaue (Cr)'!$C:$FB,4)</f>
        <v>1482.3</v>
      </c>
      <c r="E183" s="75">
        <f>VLOOKUP($A183,'Data Vlaue (Cr)'!$C:$FB,5)</f>
        <v>1450.5</v>
      </c>
      <c r="F183" s="75">
        <f t="shared" si="18"/>
        <v>-1.7999999999999545</v>
      </c>
      <c r="G183" s="75">
        <f t="shared" si="19"/>
        <v>2.1453147136207216</v>
      </c>
      <c r="H183" s="75">
        <f>VLOOKUP($A183,'Data Vlaue (Cr)'!$C:$FB,99)</f>
        <v>31306</v>
      </c>
      <c r="I183" s="75">
        <f>VLOOKUP($A183,'Data Vlaue (Cr)'!$C:$FB,100)</f>
        <v>31278</v>
      </c>
      <c r="J183" s="75">
        <f t="shared" si="20"/>
        <v>28</v>
      </c>
      <c r="K183" s="75">
        <f t="shared" si="21"/>
        <v>8.9439724014565902E-2</v>
      </c>
      <c r="L183" s="75">
        <f>VLOOKUP($A183,'Data Vlaue (Cr)'!$C:$FB,67)</f>
        <v>48756</v>
      </c>
      <c r="M183" s="75">
        <f>VLOOKUP($A183,'Data Vlaue (Cr)'!$C:$FB,68)</f>
        <v>38920</v>
      </c>
      <c r="N183" s="75">
        <f t="shared" si="22"/>
        <v>9836</v>
      </c>
      <c r="O183" s="75">
        <f t="shared" si="23"/>
        <v>20.173927311510379</v>
      </c>
      <c r="P183" s="75">
        <f>VLOOKUP($A183,'Data Vlaue (Cr)'!$C:$FB,119)</f>
        <v>0.81</v>
      </c>
      <c r="Q183" s="75">
        <f>VLOOKUP($A183,'Data Vlaue (Cr)'!$C:$FB,122)*100</f>
        <v>10.96</v>
      </c>
      <c r="R183" s="75">
        <f>VLOOKUP($A183,'Data Vlaue (Cr)'!$C:$FB,125)</f>
        <v>0.56000000000000005</v>
      </c>
      <c r="S183" s="75">
        <f>VLOOKUP($A183,'Data Vlaue (Cr)'!$C:$FB,128)*100</f>
        <v>-16.420000000000002</v>
      </c>
    </row>
    <row r="184" spans="1:19" x14ac:dyDescent="0.25">
      <c r="A184" s="96" t="str">
        <f>'Data Vlaue (Cr)'!C175</f>
        <v>RVNL</v>
      </c>
      <c r="B184" s="75">
        <f>VLOOKUP($A184,'Data Vlaue (Cr)'!$C:$FB,2)</f>
        <v>1375</v>
      </c>
      <c r="C184" s="75">
        <f>VLOOKUP($A184,'Data Vlaue (Cr)'!$C:$FB,8)</f>
        <v>330</v>
      </c>
      <c r="D184" s="75">
        <f>VLOOKUP($A184,'Data Vlaue (Cr)'!$C:$FB,4)</f>
        <v>330.7</v>
      </c>
      <c r="E184" s="75">
        <f>VLOOKUP($A184,'Data Vlaue (Cr)'!$C:$FB,5)</f>
        <v>329</v>
      </c>
      <c r="F184" s="75">
        <f t="shared" si="18"/>
        <v>0.69999999999998863</v>
      </c>
      <c r="G184" s="75">
        <f t="shared" si="19"/>
        <v>0.51406108255215865</v>
      </c>
      <c r="H184" s="75">
        <f>VLOOKUP($A184,'Data Vlaue (Cr)'!$C:$FB,99)</f>
        <v>2178</v>
      </c>
      <c r="I184" s="75">
        <f>VLOOKUP($A184,'Data Vlaue (Cr)'!$C:$FB,100)</f>
        <v>2154</v>
      </c>
      <c r="J184" s="75">
        <f t="shared" si="20"/>
        <v>24</v>
      </c>
      <c r="K184" s="75">
        <f t="shared" si="21"/>
        <v>1.1019283746556474</v>
      </c>
      <c r="L184" s="75">
        <f>VLOOKUP($A184,'Data Vlaue (Cr)'!$C:$FB,67)</f>
        <v>1473</v>
      </c>
      <c r="M184" s="75">
        <f>VLOOKUP($A184,'Data Vlaue (Cr)'!$C:$FB,68)</f>
        <v>1534</v>
      </c>
      <c r="N184" s="75">
        <f t="shared" si="22"/>
        <v>-61</v>
      </c>
      <c r="O184" s="75">
        <f t="shared" si="23"/>
        <v>-4.1412084181941617</v>
      </c>
      <c r="P184" s="75">
        <f>VLOOKUP($A184,'Data Vlaue (Cr)'!$C:$FB,119)</f>
        <v>0.42</v>
      </c>
      <c r="Q184" s="75">
        <f>VLOOKUP($A184,'Data Vlaue (Cr)'!$C:$FB,122)*100</f>
        <v>0</v>
      </c>
      <c r="R184" s="75">
        <f>VLOOKUP($A184,'Data Vlaue (Cr)'!$C:$FB,125)</f>
        <v>0.28000000000000003</v>
      </c>
      <c r="S184" s="75">
        <f>VLOOKUP($A184,'Data Vlaue (Cr)'!$C:$FB,128)*100</f>
        <v>-6.67</v>
      </c>
    </row>
    <row r="185" spans="1:19" x14ac:dyDescent="0.25">
      <c r="A185" s="96" t="str">
        <f>'Data Vlaue (Cr)'!C176</f>
        <v>SAIL</v>
      </c>
      <c r="B185" s="75">
        <f>VLOOKUP($A185,'Data Vlaue (Cr)'!$C:$FB,2)</f>
        <v>4700</v>
      </c>
      <c r="C185" s="75">
        <f>VLOOKUP($A185,'Data Vlaue (Cr)'!$C:$FB,8)</f>
        <v>129.9</v>
      </c>
      <c r="D185" s="75">
        <f>VLOOKUP($A185,'Data Vlaue (Cr)'!$C:$FB,4)</f>
        <v>130.44999999999999</v>
      </c>
      <c r="E185" s="75">
        <f>VLOOKUP($A185,'Data Vlaue (Cr)'!$C:$FB,5)</f>
        <v>129.54</v>
      </c>
      <c r="F185" s="75">
        <f t="shared" si="18"/>
        <v>0.54999999999998295</v>
      </c>
      <c r="G185" s="75">
        <f t="shared" si="19"/>
        <v>0.69758528171713052</v>
      </c>
      <c r="H185" s="75">
        <f>VLOOKUP($A185,'Data Vlaue (Cr)'!$C:$FB,99)</f>
        <v>3835</v>
      </c>
      <c r="I185" s="75">
        <f>VLOOKUP($A185,'Data Vlaue (Cr)'!$C:$FB,100)</f>
        <v>4109</v>
      </c>
      <c r="J185" s="75">
        <f t="shared" si="20"/>
        <v>-274</v>
      </c>
      <c r="K185" s="75">
        <f t="shared" si="21"/>
        <v>-7.144719687092568</v>
      </c>
      <c r="L185" s="75">
        <f>VLOOKUP($A185,'Data Vlaue (Cr)'!$C:$FB,67)</f>
        <v>457</v>
      </c>
      <c r="M185" s="75">
        <f>VLOOKUP($A185,'Data Vlaue (Cr)'!$C:$FB,68)</f>
        <v>3793</v>
      </c>
      <c r="N185" s="75">
        <f t="shared" si="22"/>
        <v>-3336</v>
      </c>
      <c r="O185" s="75">
        <f t="shared" si="23"/>
        <v>-729.97811816192564</v>
      </c>
      <c r="P185" s="75">
        <f>VLOOKUP($A185,'Data Vlaue (Cr)'!$C:$FB,119)</f>
        <v>0.63</v>
      </c>
      <c r="Q185" s="75">
        <f>VLOOKUP($A185,'Data Vlaue (Cr)'!$C:$FB,122)*100</f>
        <v>8.6199999999999992</v>
      </c>
      <c r="R185" s="75">
        <f>VLOOKUP($A185,'Data Vlaue (Cr)'!$C:$FB,125)</f>
        <v>0.27</v>
      </c>
      <c r="S185" s="75">
        <f>VLOOKUP($A185,'Data Vlaue (Cr)'!$C:$FB,128)*100</f>
        <v>-49.059999999999995</v>
      </c>
    </row>
    <row r="186" spans="1:19" x14ac:dyDescent="0.25">
      <c r="A186" s="96" t="str">
        <f>'Data Vlaue (Cr)'!C177</f>
        <v>SAMMAANCAP</v>
      </c>
      <c r="B186" s="75">
        <f>VLOOKUP($A186,'Data Vlaue (Cr)'!$C:$FB,2)</f>
        <v>4300</v>
      </c>
      <c r="C186" s="75">
        <f>VLOOKUP($A186,'Data Vlaue (Cr)'!$C:$FB,8)</f>
        <v>188.63</v>
      </c>
      <c r="D186" s="75">
        <f>VLOOKUP($A186,'Data Vlaue (Cr)'!$C:$FB,4)</f>
        <v>189.13</v>
      </c>
      <c r="E186" s="75">
        <f>VLOOKUP($A186,'Data Vlaue (Cr)'!$C:$FB,5)</f>
        <v>188.67</v>
      </c>
      <c r="F186" s="75">
        <f t="shared" ref="F186:F193" si="24">D186-C186</f>
        <v>0.5</v>
      </c>
      <c r="G186" s="75">
        <f t="shared" ref="G186:G193" si="25">(D186-E186)/D186*100</f>
        <v>0.24321894992862472</v>
      </c>
      <c r="H186" s="75">
        <f>VLOOKUP($A186,'Data Vlaue (Cr)'!$C:$FB,99)</f>
        <v>3398</v>
      </c>
      <c r="I186" s="75">
        <f>VLOOKUP($A186,'Data Vlaue (Cr)'!$C:$FB,100)</f>
        <v>3679</v>
      </c>
      <c r="J186" s="75">
        <f t="shared" ref="J186:J193" si="26">H186-I186</f>
        <v>-281</v>
      </c>
      <c r="K186" s="75">
        <f t="shared" ref="K186:K193" si="27">J186/H186*100</f>
        <v>-8.2695703354914656</v>
      </c>
      <c r="L186" s="75">
        <f>VLOOKUP($A186,'Data Vlaue (Cr)'!$C:$FB,67)</f>
        <v>428</v>
      </c>
      <c r="M186" s="75">
        <f>VLOOKUP($A186,'Data Vlaue (Cr)'!$C:$FB,68)</f>
        <v>10765</v>
      </c>
      <c r="N186" s="75">
        <f t="shared" ref="N186:N193" si="28">L186-M186</f>
        <v>-10337</v>
      </c>
      <c r="O186" s="75">
        <f t="shared" ref="O186:O193" si="29">N186/L186*100</f>
        <v>-2415.1869158878503</v>
      </c>
      <c r="P186" s="75">
        <f>VLOOKUP($A186,'Data Vlaue (Cr)'!$C:$FB,119)</f>
        <v>1.17</v>
      </c>
      <c r="Q186" s="75">
        <f>VLOOKUP($A186,'Data Vlaue (Cr)'!$C:$FB,122)*100</f>
        <v>6.36</v>
      </c>
      <c r="R186" s="75">
        <f>VLOOKUP($A186,'Data Vlaue (Cr)'!$C:$FB,125)</f>
        <v>0.73</v>
      </c>
      <c r="S186" s="75">
        <f>VLOOKUP($A186,'Data Vlaue (Cr)'!$C:$FB,128)*100</f>
        <v>82.5</v>
      </c>
    </row>
    <row r="187" spans="1:19" x14ac:dyDescent="0.25">
      <c r="A187" s="96" t="str">
        <f>'Data Vlaue (Cr)'!C178</f>
        <v>SBICARD</v>
      </c>
      <c r="B187" s="75">
        <f>VLOOKUP($A187,'Data Vlaue (Cr)'!$C:$FB,2)</f>
        <v>800</v>
      </c>
      <c r="C187" s="75">
        <f>VLOOKUP($A187,'Data Vlaue (Cr)'!$C:$FB,8)</f>
        <v>900.8</v>
      </c>
      <c r="D187" s="75">
        <f>VLOOKUP($A187,'Data Vlaue (Cr)'!$C:$FB,4)</f>
        <v>900.6</v>
      </c>
      <c r="E187" s="75">
        <f>VLOOKUP($A187,'Data Vlaue (Cr)'!$C:$FB,5)</f>
        <v>931.1</v>
      </c>
      <c r="F187" s="75">
        <f t="shared" si="24"/>
        <v>-0.19999999999993179</v>
      </c>
      <c r="G187" s="75">
        <f t="shared" si="25"/>
        <v>-3.386631134799023</v>
      </c>
      <c r="H187" s="75">
        <f>VLOOKUP($A187,'Data Vlaue (Cr)'!$C:$FB,99)</f>
        <v>3403</v>
      </c>
      <c r="I187" s="75">
        <f>VLOOKUP($A187,'Data Vlaue (Cr)'!$C:$FB,100)</f>
        <v>3421</v>
      </c>
      <c r="J187" s="75">
        <f t="shared" si="26"/>
        <v>-18</v>
      </c>
      <c r="K187" s="75">
        <f t="shared" si="27"/>
        <v>-0.52894504848662938</v>
      </c>
      <c r="L187" s="75">
        <f>VLOOKUP($A187,'Data Vlaue (Cr)'!$C:$FB,67)</f>
        <v>8982</v>
      </c>
      <c r="M187" s="75">
        <f>VLOOKUP($A187,'Data Vlaue (Cr)'!$C:$FB,68)</f>
        <v>8750</v>
      </c>
      <c r="N187" s="75">
        <f t="shared" si="28"/>
        <v>232</v>
      </c>
      <c r="O187" s="75">
        <f t="shared" si="29"/>
        <v>2.5829436651079938</v>
      </c>
      <c r="P187" s="75">
        <f>VLOOKUP($A187,'Data Vlaue (Cr)'!$C:$FB,119)</f>
        <v>0.51</v>
      </c>
      <c r="Q187" s="75">
        <f>VLOOKUP($A187,'Data Vlaue (Cr)'!$C:$FB,122)*100</f>
        <v>-30.14</v>
      </c>
      <c r="R187" s="75">
        <f>VLOOKUP($A187,'Data Vlaue (Cr)'!$C:$FB,125)</f>
        <v>0.55000000000000004</v>
      </c>
      <c r="S187" s="75">
        <f>VLOOKUP($A187,'Data Vlaue (Cr)'!$C:$FB,128)*100</f>
        <v>-6.78</v>
      </c>
    </row>
    <row r="188" spans="1:19" x14ac:dyDescent="0.25">
      <c r="A188" s="96" t="str">
        <f>'Data Vlaue (Cr)'!C179</f>
        <v>SBILIFE</v>
      </c>
      <c r="B188" s="75">
        <f>VLOOKUP($A188,'Data Vlaue (Cr)'!$C:$FB,2)</f>
        <v>375</v>
      </c>
      <c r="C188" s="75">
        <f>VLOOKUP($A188,'Data Vlaue (Cr)'!$C:$FB,8)</f>
        <v>1903.1</v>
      </c>
      <c r="D188" s="75">
        <f>VLOOKUP($A188,'Data Vlaue (Cr)'!$C:$FB,4)</f>
        <v>1899.9</v>
      </c>
      <c r="E188" s="75">
        <f>VLOOKUP($A188,'Data Vlaue (Cr)'!$C:$FB,5)</f>
        <v>1839.2</v>
      </c>
      <c r="F188" s="75">
        <f t="shared" si="24"/>
        <v>-3.1999999999998181</v>
      </c>
      <c r="G188" s="75">
        <f t="shared" si="25"/>
        <v>3.1949049949997392</v>
      </c>
      <c r="H188" s="75">
        <f>VLOOKUP($A188,'Data Vlaue (Cr)'!$C:$FB,99)</f>
        <v>2737</v>
      </c>
      <c r="I188" s="75">
        <f>VLOOKUP($A188,'Data Vlaue (Cr)'!$C:$FB,100)</f>
        <v>2448</v>
      </c>
      <c r="J188" s="75">
        <f t="shared" si="26"/>
        <v>289</v>
      </c>
      <c r="K188" s="75">
        <f t="shared" si="27"/>
        <v>10.559006211180124</v>
      </c>
      <c r="L188" s="75">
        <f>VLOOKUP($A188,'Data Vlaue (Cr)'!$C:$FB,67)</f>
        <v>13862</v>
      </c>
      <c r="M188" s="75">
        <f>VLOOKUP($A188,'Data Vlaue (Cr)'!$C:$FB,68)</f>
        <v>4703</v>
      </c>
      <c r="N188" s="75">
        <f t="shared" si="28"/>
        <v>9159</v>
      </c>
      <c r="O188" s="75">
        <f t="shared" si="29"/>
        <v>66.072716779685464</v>
      </c>
      <c r="P188" s="75">
        <f>VLOOKUP($A188,'Data Vlaue (Cr)'!$C:$FB,119)</f>
        <v>0.7</v>
      </c>
      <c r="Q188" s="75">
        <f>VLOOKUP($A188,'Data Vlaue (Cr)'!$C:$FB,122)*100</f>
        <v>25</v>
      </c>
      <c r="R188" s="75">
        <f>VLOOKUP($A188,'Data Vlaue (Cr)'!$C:$FB,125)</f>
        <v>0.48</v>
      </c>
      <c r="S188" s="75">
        <f>VLOOKUP($A188,'Data Vlaue (Cr)'!$C:$FB,128)*100</f>
        <v>-34.25</v>
      </c>
    </row>
    <row r="189" spans="1:19" x14ac:dyDescent="0.25">
      <c r="A189" s="96" t="str">
        <f>'Data Vlaue (Cr)'!C180</f>
        <v>SBIN</v>
      </c>
      <c r="B189" s="75">
        <f>VLOOKUP($A189,'Data Vlaue (Cr)'!$C:$FB,2)</f>
        <v>750</v>
      </c>
      <c r="C189" s="75">
        <f>VLOOKUP($A189,'Data Vlaue (Cr)'!$C:$FB,8)</f>
        <v>922.75</v>
      </c>
      <c r="D189" s="75">
        <f>VLOOKUP($A189,'Data Vlaue (Cr)'!$C:$FB,4)</f>
        <v>921.5</v>
      </c>
      <c r="E189" s="75">
        <f>VLOOKUP($A189,'Data Vlaue (Cr)'!$C:$FB,5)</f>
        <v>904</v>
      </c>
      <c r="F189" s="75">
        <f t="shared" si="24"/>
        <v>-1.25</v>
      </c>
      <c r="G189" s="75">
        <f t="shared" si="25"/>
        <v>1.8990775908844275</v>
      </c>
      <c r="H189" s="75">
        <f>VLOOKUP($A189,'Data Vlaue (Cr)'!$C:$FB,99)</f>
        <v>17503</v>
      </c>
      <c r="I189" s="75">
        <f>VLOOKUP($A189,'Data Vlaue (Cr)'!$C:$FB,100)</f>
        <v>17287</v>
      </c>
      <c r="J189" s="75">
        <f t="shared" si="26"/>
        <v>216</v>
      </c>
      <c r="K189" s="75">
        <f t="shared" si="27"/>
        <v>1.2340741587156487</v>
      </c>
      <c r="L189" s="75">
        <f>VLOOKUP($A189,'Data Vlaue (Cr)'!$C:$FB,67)</f>
        <v>24929</v>
      </c>
      <c r="M189" s="75">
        <f>VLOOKUP($A189,'Data Vlaue (Cr)'!$C:$FB,68)</f>
        <v>19434</v>
      </c>
      <c r="N189" s="75">
        <f t="shared" si="28"/>
        <v>5495</v>
      </c>
      <c r="O189" s="75">
        <f t="shared" si="29"/>
        <v>22.042600986802519</v>
      </c>
      <c r="P189" s="75">
        <f>VLOOKUP($A189,'Data Vlaue (Cr)'!$C:$FB,119)</f>
        <v>0.86</v>
      </c>
      <c r="Q189" s="75">
        <f>VLOOKUP($A189,'Data Vlaue (Cr)'!$C:$FB,122)*100</f>
        <v>10.26</v>
      </c>
      <c r="R189" s="75">
        <f>VLOOKUP($A189,'Data Vlaue (Cr)'!$C:$FB,125)</f>
        <v>0.48</v>
      </c>
      <c r="S189" s="75">
        <f>VLOOKUP($A189,'Data Vlaue (Cr)'!$C:$FB,128)*100</f>
        <v>-34.25</v>
      </c>
    </row>
    <row r="190" spans="1:19" x14ac:dyDescent="0.25">
      <c r="A190" s="96" t="str">
        <f>'Data Vlaue (Cr)'!C181</f>
        <v>SHREECEM</v>
      </c>
      <c r="B190" s="75">
        <f>VLOOKUP($A190,'Data Vlaue (Cr)'!$C:$FB,2)</f>
        <v>25</v>
      </c>
      <c r="C190" s="75">
        <f>VLOOKUP($A190,'Data Vlaue (Cr)'!$C:$FB,8)</f>
        <v>28590</v>
      </c>
      <c r="D190" s="75">
        <f>VLOOKUP($A190,'Data Vlaue (Cr)'!$C:$FB,4)</f>
        <v>28475</v>
      </c>
      <c r="E190" s="75">
        <f>VLOOKUP($A190,'Data Vlaue (Cr)'!$C:$FB,5)</f>
        <v>28640</v>
      </c>
      <c r="F190" s="75">
        <f t="shared" si="24"/>
        <v>-115</v>
      </c>
      <c r="G190" s="75">
        <f t="shared" si="25"/>
        <v>-0.57945566286215977</v>
      </c>
      <c r="H190" s="75">
        <f>VLOOKUP($A190,'Data Vlaue (Cr)'!$C:$FB,99)</f>
        <v>1109</v>
      </c>
      <c r="I190" s="75">
        <f>VLOOKUP($A190,'Data Vlaue (Cr)'!$C:$FB,100)</f>
        <v>1070</v>
      </c>
      <c r="J190" s="75">
        <f t="shared" si="26"/>
        <v>39</v>
      </c>
      <c r="K190" s="75">
        <f t="shared" si="27"/>
        <v>3.5166816952209197</v>
      </c>
      <c r="L190" s="75">
        <f>VLOOKUP($A190,'Data Vlaue (Cr)'!$C:$FB,67)</f>
        <v>1451</v>
      </c>
      <c r="M190" s="75">
        <f>VLOOKUP($A190,'Data Vlaue (Cr)'!$C:$FB,68)</f>
        <v>950</v>
      </c>
      <c r="N190" s="75">
        <f t="shared" si="28"/>
        <v>501</v>
      </c>
      <c r="O190" s="75">
        <f t="shared" si="29"/>
        <v>34.527911784975878</v>
      </c>
      <c r="P190" s="75">
        <f>VLOOKUP($A190,'Data Vlaue (Cr)'!$C:$FB,119)</f>
        <v>0.6</v>
      </c>
      <c r="Q190" s="75">
        <f>VLOOKUP($A190,'Data Vlaue (Cr)'!$C:$FB,122)*100</f>
        <v>9.09</v>
      </c>
      <c r="R190" s="75">
        <f>VLOOKUP($A190,'Data Vlaue (Cr)'!$C:$FB,125)</f>
        <v>0.27</v>
      </c>
      <c r="S190" s="75">
        <f>VLOOKUP($A190,'Data Vlaue (Cr)'!$C:$FB,128)*100</f>
        <v>58.819999999999993</v>
      </c>
    </row>
    <row r="191" spans="1:19" x14ac:dyDescent="0.25">
      <c r="A191" s="96" t="str">
        <f>'Data Vlaue (Cr)'!C182</f>
        <v>SHRIRAMFIN</v>
      </c>
      <c r="B191" s="75">
        <f>VLOOKUP($A191,'Data Vlaue (Cr)'!$C:$FB,2)</f>
        <v>825</v>
      </c>
      <c r="C191" s="75">
        <f>VLOOKUP($A191,'Data Vlaue (Cr)'!$C:$FB,8)</f>
        <v>719.6</v>
      </c>
      <c r="D191" s="75">
        <f>VLOOKUP($A191,'Data Vlaue (Cr)'!$C:$FB,4)</f>
        <v>719.95</v>
      </c>
      <c r="E191" s="75">
        <f>VLOOKUP($A191,'Data Vlaue (Cr)'!$C:$FB,5)</f>
        <v>715.55</v>
      </c>
      <c r="F191" s="75">
        <f t="shared" si="24"/>
        <v>0.35000000000002274</v>
      </c>
      <c r="G191" s="75">
        <f t="shared" si="25"/>
        <v>0.61115355233003543</v>
      </c>
      <c r="H191" s="75">
        <f>VLOOKUP($A191,'Data Vlaue (Cr)'!$C:$FB,99)</f>
        <v>5129</v>
      </c>
      <c r="I191" s="75">
        <f>VLOOKUP($A191,'Data Vlaue (Cr)'!$C:$FB,100)</f>
        <v>5099</v>
      </c>
      <c r="J191" s="75">
        <f t="shared" si="26"/>
        <v>30</v>
      </c>
      <c r="K191" s="75">
        <f t="shared" si="27"/>
        <v>0.5849093390524468</v>
      </c>
      <c r="L191" s="75">
        <f>VLOOKUP($A191,'Data Vlaue (Cr)'!$C:$FB,67)</f>
        <v>5102</v>
      </c>
      <c r="M191" s="75">
        <f>VLOOKUP($A191,'Data Vlaue (Cr)'!$C:$FB,68)</f>
        <v>6138</v>
      </c>
      <c r="N191" s="75">
        <f t="shared" si="28"/>
        <v>-1036</v>
      </c>
      <c r="O191" s="75">
        <f t="shared" si="29"/>
        <v>-20.305762446099568</v>
      </c>
      <c r="P191" s="75">
        <f>VLOOKUP($A191,'Data Vlaue (Cr)'!$C:$FB,119)</f>
        <v>1.03</v>
      </c>
      <c r="Q191" s="75">
        <f>VLOOKUP($A191,'Data Vlaue (Cr)'!$C:$FB,122)*100</f>
        <v>0</v>
      </c>
      <c r="R191" s="75">
        <f>VLOOKUP($A191,'Data Vlaue (Cr)'!$C:$FB,125)</f>
        <v>0.61</v>
      </c>
      <c r="S191" s="75">
        <f>VLOOKUP($A191,'Data Vlaue (Cr)'!$C:$FB,128)*100</f>
        <v>35.56</v>
      </c>
    </row>
    <row r="192" spans="1:19" x14ac:dyDescent="0.25">
      <c r="A192" s="96" t="str">
        <f>'Data Vlaue (Cr)'!C183</f>
        <v>SIEMENS</v>
      </c>
      <c r="B192" s="75">
        <f>VLOOKUP($A192,'Data Vlaue (Cr)'!$C:$FB,2)</f>
        <v>125</v>
      </c>
      <c r="C192" s="75">
        <f>VLOOKUP($A192,'Data Vlaue (Cr)'!$C:$FB,8)</f>
        <v>3159.9</v>
      </c>
      <c r="D192" s="75">
        <f>VLOOKUP($A192,'Data Vlaue (Cr)'!$C:$FB,4)</f>
        <v>3158.8</v>
      </c>
      <c r="E192" s="75">
        <f>VLOOKUP($A192,'Data Vlaue (Cr)'!$C:$FB,5)</f>
        <v>3147.6</v>
      </c>
      <c r="F192" s="75">
        <f t="shared" si="24"/>
        <v>-1.0999999999999091</v>
      </c>
      <c r="G192" s="75">
        <f t="shared" si="25"/>
        <v>0.35456502469293</v>
      </c>
      <c r="H192" s="75">
        <f>VLOOKUP($A192,'Data Vlaue (Cr)'!$C:$FB,99)</f>
        <v>1243</v>
      </c>
      <c r="I192" s="75">
        <f>VLOOKUP($A192,'Data Vlaue (Cr)'!$C:$FB,100)</f>
        <v>1293</v>
      </c>
      <c r="J192" s="75">
        <f t="shared" si="26"/>
        <v>-50</v>
      </c>
      <c r="K192" s="75">
        <f t="shared" si="27"/>
        <v>-4.0225261464199518</v>
      </c>
      <c r="L192" s="75">
        <f>VLOOKUP($A192,'Data Vlaue (Cr)'!$C:$FB,67)</f>
        <v>1239</v>
      </c>
      <c r="M192" s="75">
        <f>VLOOKUP($A192,'Data Vlaue (Cr)'!$C:$FB,68)</f>
        <v>1661</v>
      </c>
      <c r="N192" s="75">
        <f t="shared" si="28"/>
        <v>-422</v>
      </c>
      <c r="O192" s="75">
        <f t="shared" si="29"/>
        <v>-34.059725585149316</v>
      </c>
      <c r="P192" s="75">
        <f>VLOOKUP($A192,'Data Vlaue (Cr)'!$C:$FB,119)</f>
        <v>0.42</v>
      </c>
      <c r="Q192" s="75">
        <f>VLOOKUP($A192,'Data Vlaue (Cr)'!$C:$FB,122)*100</f>
        <v>2.44</v>
      </c>
      <c r="R192" s="75">
        <f>VLOOKUP($A192,'Data Vlaue (Cr)'!$C:$FB,125)</f>
        <v>0.36</v>
      </c>
      <c r="S192" s="75">
        <f>VLOOKUP($A192,'Data Vlaue (Cr)'!$C:$FB,128)*100</f>
        <v>-7.6899999999999995</v>
      </c>
    </row>
    <row r="193" spans="1:19" x14ac:dyDescent="0.25">
      <c r="A193" s="96" t="str">
        <f>'Data Vlaue (Cr)'!C216</f>
        <v>ZYDUSLIFE</v>
      </c>
      <c r="B193" s="75">
        <f>VLOOKUP($A193,'Data Vlaue (Cr)'!$C:$FB,2)</f>
        <v>900</v>
      </c>
      <c r="C193" s="75">
        <f>VLOOKUP($A193,'Data Vlaue (Cr)'!$C:$FB,8)</f>
        <v>1013.85</v>
      </c>
      <c r="D193" s="75">
        <f>VLOOKUP($A193,'Data Vlaue (Cr)'!$C:$FB,4)</f>
        <v>1013.3</v>
      </c>
      <c r="E193" s="75">
        <f>VLOOKUP($A193,'Data Vlaue (Cr)'!$C:$FB,5)</f>
        <v>1003.3</v>
      </c>
      <c r="F193" s="75">
        <f t="shared" si="24"/>
        <v>-0.55000000000006821</v>
      </c>
      <c r="G193" s="75">
        <f t="shared" si="25"/>
        <v>0.98687456824237652</v>
      </c>
      <c r="H193" s="75">
        <f>VLOOKUP($A193,'Data Vlaue (Cr)'!$C:$FB,99)</f>
        <v>1260</v>
      </c>
      <c r="I193" s="75">
        <f>VLOOKUP($A193,'Data Vlaue (Cr)'!$C:$FB,100)</f>
        <v>1320</v>
      </c>
      <c r="J193" s="75">
        <f t="shared" si="26"/>
        <v>-60</v>
      </c>
      <c r="K193" s="75">
        <f t="shared" si="27"/>
        <v>-4.7619047619047619</v>
      </c>
      <c r="L193" s="75">
        <f>VLOOKUP($A193,'Data Vlaue (Cr)'!$C:$FB,67)</f>
        <v>976</v>
      </c>
      <c r="M193" s="75">
        <f>VLOOKUP($A193,'Data Vlaue (Cr)'!$C:$FB,68)</f>
        <v>1233</v>
      </c>
      <c r="N193" s="75">
        <f t="shared" si="28"/>
        <v>-257</v>
      </c>
      <c r="O193" s="75">
        <f t="shared" si="29"/>
        <v>-26.331967213114755</v>
      </c>
      <c r="P193" s="75">
        <f>VLOOKUP($A193,'Data Vlaue (Cr)'!$C:$FB,119)</f>
        <v>0.75</v>
      </c>
      <c r="Q193" s="75">
        <f>VLOOKUP($A193,'Data Vlaue (Cr)'!$C:$FB,122)*100</f>
        <v>11.940000000000001</v>
      </c>
      <c r="R193" s="75">
        <f>VLOOKUP($A193,'Data Vlaue (Cr)'!$C:$FB,125)</f>
        <v>0.41</v>
      </c>
      <c r="S193" s="75">
        <f>VLOOKUP($A193,'Data Vlaue (Cr)'!$C:$FB,128)*100</f>
        <v>24.240000000000002</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2788092</v>
      </c>
      <c r="I225" s="18">
        <f>SUM(I11:I223)</f>
        <v>2727720</v>
      </c>
      <c r="J225" s="18">
        <f>H225-I225</f>
        <v>60372</v>
      </c>
      <c r="K225" s="19">
        <f>J225/I225</f>
        <v>2.2132770225682989E-2</v>
      </c>
      <c r="L225" s="18">
        <f>SUM(L11:L223)</f>
        <v>30729381</v>
      </c>
      <c r="M225" s="18">
        <f>SUM(M11:M223)</f>
        <v>27829650</v>
      </c>
      <c r="N225" s="18">
        <f>L225-M225</f>
        <v>2899731</v>
      </c>
      <c r="O225" s="19">
        <f>N225/M225</f>
        <v>0.10419574087349284</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14013</v>
      </c>
      <c r="C231" s="146">
        <f>VLOOKUP(B230,'OI(Value)'!A7:G209,7,0)</f>
        <v>7.1099999999999997E-2</v>
      </c>
      <c r="D231" s="9">
        <f>VLOOKUP(D230,'OI(Value)'!A7:E209,5,0)</f>
        <v>50122</v>
      </c>
      <c r="E231" s="147">
        <f>VLOOKUP(D230,'OI(Value)'!A7:G209,7,0)</f>
        <v>2.7000000000000001E-3</v>
      </c>
      <c r="F231" s="9">
        <f>G231-D231-B231</f>
        <v>453424</v>
      </c>
      <c r="G231" s="10">
        <f>'OI(Value)'!E210</f>
        <v>517559</v>
      </c>
      <c r="H231" s="147">
        <f>'OI(Value)'!D217</f>
        <v>4.8535529282651832E-3</v>
      </c>
    </row>
    <row r="232" spans="1:19" x14ac:dyDescent="0.25">
      <c r="A232" s="26" t="s">
        <v>389</v>
      </c>
      <c r="B232" s="9">
        <f>VLOOKUP(B230,'OI(Value)'!A7:H209,8,0)</f>
        <v>164401</v>
      </c>
      <c r="C232" s="146">
        <f>VLOOKUP(B230,'OI(Value)'!A7:J209,10,0)</f>
        <v>-9.2299999999999993E-2</v>
      </c>
      <c r="D232" s="9">
        <f>VLOOKUP(D230,'OI(Value)'!A1:O210,8,0)</f>
        <v>759404</v>
      </c>
      <c r="E232" s="147">
        <f>VLOOKUP(D230,'OI(Value)'!A1:J209,10,0)</f>
        <v>-0.1154</v>
      </c>
      <c r="F232" s="9">
        <f>G232-D232-B232</f>
        <v>202590</v>
      </c>
      <c r="G232" s="9">
        <f>'OI(Value)'!H210</f>
        <v>1126395</v>
      </c>
      <c r="H232" s="147">
        <f>'OI(Value)'!D218</f>
        <v>-0.11484958651272423</v>
      </c>
    </row>
    <row r="233" spans="1:19" x14ac:dyDescent="0.25">
      <c r="A233" s="26" t="s">
        <v>390</v>
      </c>
      <c r="B233" s="9">
        <f>VLOOKUP(B230,'OI(Value)'!A7:K209,11,0)</f>
        <v>178208</v>
      </c>
      <c r="C233" s="146">
        <f>VLOOKUP(B230,'OI(Value)'!A7:M209,13,0)</f>
        <v>0.11210000000000001</v>
      </c>
      <c r="D233" s="9">
        <f>VLOOKUP(D230,'OI(Value)'!A2:O211,11,0)</f>
        <v>813828</v>
      </c>
      <c r="E233" s="147">
        <f>VLOOKUP(D230,'OI(Value)'!A7:M209,13,0)</f>
        <v>0.25509999999999999</v>
      </c>
      <c r="F233" s="9">
        <f>G233-D233-B233</f>
        <v>152094</v>
      </c>
      <c r="G233" s="9">
        <f>'OI(Value)'!K210</f>
        <v>1144130</v>
      </c>
      <c r="H233" s="147">
        <f>'OI(Volume)'!D229</f>
        <v>8.1719514799414542E-2</v>
      </c>
    </row>
    <row r="234" spans="1:19" x14ac:dyDescent="0.25">
      <c r="A234" s="22" t="s">
        <v>391</v>
      </c>
      <c r="B234" s="62">
        <f>SUM(B231:B233)</f>
        <v>356622</v>
      </c>
      <c r="C234" s="148">
        <f>VLOOKUP(B230,'OI(Value)'!A7:D148,4,0)</f>
        <v>6.1000000000000004E-3</v>
      </c>
      <c r="D234" s="62">
        <f>SUM(D231:D233)</f>
        <v>1623354</v>
      </c>
      <c r="E234" s="148">
        <f>VLOOKUP(D230,'OI(Value)'!A1:D210,4,0)</f>
        <v>4.2700000000000002E-2</v>
      </c>
      <c r="F234" s="62">
        <f>SUM(F231:F233)</f>
        <v>808108</v>
      </c>
      <c r="G234" s="62">
        <f>SUM(G231:G233)</f>
        <v>2788084</v>
      </c>
      <c r="H234" s="151">
        <f>'OI(Value)'!D220</f>
        <v>2.1647123974743946E-2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45957</v>
      </c>
      <c r="D240" s="31" t="s">
        <v>397</v>
      </c>
      <c r="E240" s="32" t="s">
        <v>321</v>
      </c>
      <c r="F240" s="31">
        <f>C240</f>
        <v>45957</v>
      </c>
      <c r="G240" s="31" t="str">
        <f>D240</f>
        <v>Preious</v>
      </c>
      <c r="H240" s="32" t="s">
        <v>386</v>
      </c>
    </row>
    <row r="241" spans="1:8" x14ac:dyDescent="0.25">
      <c r="A241" s="29" t="s">
        <v>393</v>
      </c>
      <c r="B241" s="30"/>
      <c r="C241" s="13">
        <f>FII!N3</f>
        <v>9287</v>
      </c>
      <c r="D241" s="13">
        <f>FII!J3</f>
        <v>8062</v>
      </c>
      <c r="E241" s="14">
        <f>(C241-D241)/C241</f>
        <v>0.13190481317971359</v>
      </c>
      <c r="F241" s="13">
        <f>FII!M3</f>
        <v>45454</v>
      </c>
      <c r="G241" s="13">
        <f>FII!I3</f>
        <v>39828</v>
      </c>
      <c r="H241" s="14">
        <f>(F241-G241)/F241</f>
        <v>0.12377348528182339</v>
      </c>
    </row>
    <row r="242" spans="1:8" x14ac:dyDescent="0.25">
      <c r="A242" s="237" t="s">
        <v>394</v>
      </c>
      <c r="B242" s="238"/>
      <c r="C242" s="13">
        <f>FII!N4</f>
        <v>88491</v>
      </c>
      <c r="D242" s="13">
        <f>FII!J4</f>
        <v>83901</v>
      </c>
      <c r="E242" s="14">
        <f>(C242-D242)/C242</f>
        <v>5.1869681662541953E-2</v>
      </c>
      <c r="F242" s="13">
        <f>FII!M4</f>
        <v>435059</v>
      </c>
      <c r="G242" s="13">
        <f>FII!I4</f>
        <v>415455</v>
      </c>
      <c r="H242" s="14">
        <f>(F242-G242)/F242</f>
        <v>4.5060555005183203E-2</v>
      </c>
    </row>
    <row r="243" spans="1:8" x14ac:dyDescent="0.25">
      <c r="A243" s="237" t="s">
        <v>395</v>
      </c>
      <c r="B243" s="238"/>
      <c r="C243" s="13">
        <f>FII!N15</f>
        <v>416986</v>
      </c>
      <c r="D243" s="13">
        <f>FII!J15</f>
        <v>412230</v>
      </c>
      <c r="E243" s="14">
        <f>(C243-D243)/C243</f>
        <v>1.1405658703169891E-2</v>
      </c>
      <c r="F243" s="13">
        <f>FII!M15</f>
        <v>5815294</v>
      </c>
      <c r="G243" s="13">
        <f>FII!I15</f>
        <v>5797453</v>
      </c>
      <c r="H243" s="14">
        <f>(F243-G243)/F243</f>
        <v>3.0679446301425171E-3</v>
      </c>
    </row>
    <row r="244" spans="1:8" x14ac:dyDescent="0.25">
      <c r="A244" s="237" t="s">
        <v>396</v>
      </c>
      <c r="B244" s="238"/>
      <c r="C244" s="13">
        <f>FII!N16</f>
        <v>29806</v>
      </c>
      <c r="D244" s="13">
        <f>FII!J16</f>
        <v>31889</v>
      </c>
      <c r="E244" s="14">
        <f>(C244-D244)/C244</f>
        <v>-6.988525800174461E-2</v>
      </c>
      <c r="F244" s="13">
        <f>FII!M16</f>
        <v>415380</v>
      </c>
      <c r="G244" s="13">
        <f>FII!I16</f>
        <v>444805</v>
      </c>
      <c r="H244" s="14">
        <f>(F244-G244)/F244</f>
        <v>-7.0838750060185848E-2</v>
      </c>
    </row>
    <row r="245" spans="1:8" x14ac:dyDescent="0.25">
      <c r="A245" s="237" t="s">
        <v>391</v>
      </c>
      <c r="B245" s="238"/>
      <c r="C245" s="155">
        <f>SUM(C241:C244)</f>
        <v>544570</v>
      </c>
      <c r="D245" s="155">
        <f>SUM(D241:D244)</f>
        <v>536082</v>
      </c>
      <c r="E245" s="156">
        <f>(C245-D245)/C245</f>
        <v>1.558660961859816E-2</v>
      </c>
      <c r="F245" s="157">
        <f>SUM(F241:F244)</f>
        <v>6711187</v>
      </c>
      <c r="G245" s="158">
        <f>SUM(G241:G244)</f>
        <v>6697541</v>
      </c>
      <c r="H245" s="156">
        <f>(F245-G245)/F245</f>
        <v>2.0333213781705086E-3</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45957</v>
      </c>
      <c r="C5" s="3">
        <f>B5</f>
        <v>45957</v>
      </c>
      <c r="D5" s="76" t="s">
        <v>367</v>
      </c>
      <c r="E5" s="76" t="s">
        <v>321</v>
      </c>
      <c r="F5" s="76" t="s">
        <v>368</v>
      </c>
      <c r="G5" s="76" t="s">
        <v>369</v>
      </c>
      <c r="H5" s="48"/>
    </row>
    <row r="6" spans="1:8" x14ac:dyDescent="0.25">
      <c r="A6" s="101" t="str">
        <f>'Data shares'!C2</f>
        <v>360ONE</v>
      </c>
      <c r="B6" s="144">
        <f>VLOOKUP($A6,'Data shares'!$C:$FA,7)</f>
        <v>1173</v>
      </c>
      <c r="C6" s="144">
        <f>VLOOKUP($A6,'Data shares'!$C:$FA,3)</f>
        <v>1174.0999999999999</v>
      </c>
      <c r="D6" s="144">
        <f>VLOOKUP($A6,'Data shares'!$C:$FA,23)</f>
        <v>1.1000000000000001</v>
      </c>
      <c r="E6" s="145">
        <f>VLOOKUP($A6,'Data shares'!$C:$FA,26)*100</f>
        <v>0.09</v>
      </c>
      <c r="F6" s="144">
        <f>VLOOKUP($A6,'Data shares'!$C:$FA,24)</f>
        <v>-5.0999999999999996</v>
      </c>
      <c r="G6" s="144">
        <f>VLOOKUP($A6,'Data shares'!$C:$FA,25)</f>
        <v>6.2</v>
      </c>
    </row>
    <row r="7" spans="1:8" x14ac:dyDescent="0.25">
      <c r="A7" s="101" t="str">
        <f>'Data shares'!C3</f>
        <v>ABB</v>
      </c>
      <c r="B7" s="144">
        <f>VLOOKUP($A7,'Data shares'!$C:$FA,7)</f>
        <v>5238</v>
      </c>
      <c r="C7" s="144">
        <f>VLOOKUP($A7,'Data shares'!$C:$FA,3)</f>
        <v>5240</v>
      </c>
      <c r="D7" s="144">
        <f>VLOOKUP($A7,'Data shares'!$C:$FA,23)</f>
        <v>2</v>
      </c>
      <c r="E7" s="145">
        <f>VLOOKUP($A7,'Data shares'!$C:$FA,26)*100</f>
        <v>0.04</v>
      </c>
      <c r="F7" s="144">
        <f>VLOOKUP($A7,'Data shares'!$C:$FA,24)</f>
        <v>-7.5</v>
      </c>
      <c r="G7" s="144">
        <f>VLOOKUP($A7,'Data shares'!$C:$FA,25)</f>
        <v>9.5</v>
      </c>
    </row>
    <row r="8" spans="1:8" x14ac:dyDescent="0.25">
      <c r="A8" s="101" t="str">
        <f>'Data shares'!C4</f>
        <v>ABCAPITAL</v>
      </c>
      <c r="B8" s="144">
        <f>VLOOKUP($A8,'Data shares'!$C:$FA,7)</f>
        <v>310.75</v>
      </c>
      <c r="C8" s="144">
        <f>VLOOKUP($A8,'Data shares'!$C:$FA,3)</f>
        <v>310.8</v>
      </c>
      <c r="D8" s="144">
        <f>VLOOKUP($A8,'Data shares'!$C:$FA,23)</f>
        <v>0.05</v>
      </c>
      <c r="E8" s="145">
        <f>VLOOKUP($A8,'Data shares'!$C:$FA,26)*100</f>
        <v>0.02</v>
      </c>
      <c r="F8" s="144">
        <f>VLOOKUP($A8,'Data shares'!$C:$FA,24)</f>
        <v>-0.45</v>
      </c>
      <c r="G8" s="144">
        <f>VLOOKUP($A8,'Data shares'!$C:$FA,25)</f>
        <v>0.5</v>
      </c>
    </row>
    <row r="9" spans="1:8" x14ac:dyDescent="0.25">
      <c r="A9" s="101" t="str">
        <f>'Data shares'!C5</f>
        <v>ADANIENSOL</v>
      </c>
      <c r="B9" s="144">
        <f>VLOOKUP($A9,'Data shares'!$C:$FA,7)</f>
        <v>946.35</v>
      </c>
      <c r="C9" s="144">
        <f>VLOOKUP($A9,'Data shares'!$C:$FA,3)</f>
        <v>945.55</v>
      </c>
      <c r="D9" s="144">
        <f>VLOOKUP($A9,'Data shares'!$C:$FA,23)</f>
        <v>-0.8</v>
      </c>
      <c r="E9" s="145">
        <f>VLOOKUP($A9,'Data shares'!$C:$FA,26)*100</f>
        <v>-0.08</v>
      </c>
      <c r="F9" s="144">
        <f>VLOOKUP($A9,'Data shares'!$C:$FA,24)</f>
        <v>-1.35</v>
      </c>
      <c r="G9" s="144">
        <f>VLOOKUP($A9,'Data shares'!$C:$FA,25)</f>
        <v>0.55000000000000004</v>
      </c>
    </row>
    <row r="10" spans="1:8" x14ac:dyDescent="0.25">
      <c r="A10" s="101" t="str">
        <f>'Data shares'!C6</f>
        <v>ADANIENT</v>
      </c>
      <c r="B10" s="144">
        <f>VLOOKUP($A10,'Data shares'!$C:$FA,7)</f>
        <v>2492.8000000000002</v>
      </c>
      <c r="C10" s="144">
        <f>VLOOKUP($A10,'Data shares'!$C:$FA,3)</f>
        <v>2492.8000000000002</v>
      </c>
      <c r="D10" s="144">
        <f>VLOOKUP($A10,'Data shares'!$C:$FA,23)</f>
        <v>0</v>
      </c>
      <c r="E10" s="145">
        <f>VLOOKUP($A10,'Data shares'!$C:$FA,26)*100</f>
        <v>0</v>
      </c>
      <c r="F10" s="144">
        <f>VLOOKUP($A10,'Data shares'!$C:$FA,24)</f>
        <v>-2.4</v>
      </c>
      <c r="G10" s="144">
        <f>VLOOKUP($A10,'Data shares'!$C:$FA,25)</f>
        <v>2.4</v>
      </c>
    </row>
    <row r="11" spans="1:8" x14ac:dyDescent="0.25">
      <c r="A11" s="101" t="str">
        <f>'Data shares'!C7</f>
        <v>ADANIGREEN</v>
      </c>
      <c r="B11" s="144">
        <f>VLOOKUP($A11,'Data shares'!$C:$FA,7)</f>
        <v>1017.1</v>
      </c>
      <c r="C11" s="144">
        <f>VLOOKUP($A11,'Data shares'!$C:$FA,3)</f>
        <v>1016.5</v>
      </c>
      <c r="D11" s="144">
        <f>VLOOKUP($A11,'Data shares'!$C:$FA,23)</f>
        <v>-0.6</v>
      </c>
      <c r="E11" s="145">
        <f>VLOOKUP($A11,'Data shares'!$C:$FA,26)*100</f>
        <v>-0.06</v>
      </c>
      <c r="F11" s="144">
        <f>VLOOKUP($A11,'Data shares'!$C:$FA,24)</f>
        <v>-1.3</v>
      </c>
      <c r="G11" s="144">
        <f>VLOOKUP($A11,'Data shares'!$C:$FA,25)</f>
        <v>0.7</v>
      </c>
    </row>
    <row r="12" spans="1:8" x14ac:dyDescent="0.25">
      <c r="A12" s="101" t="str">
        <f>'Data shares'!C8</f>
        <v>ADANIPORTS</v>
      </c>
      <c r="B12" s="144">
        <f>VLOOKUP($A12,'Data shares'!$C:$FA,7)</f>
        <v>1420.6</v>
      </c>
      <c r="C12" s="144">
        <f>VLOOKUP($A12,'Data shares'!$C:$FA,3)</f>
        <v>1421.6</v>
      </c>
      <c r="D12" s="144">
        <f>VLOOKUP($A12,'Data shares'!$C:$FA,23)</f>
        <v>1</v>
      </c>
      <c r="E12" s="145">
        <f>VLOOKUP($A12,'Data shares'!$C:$FA,26)*100</f>
        <v>6.9999999999999993E-2</v>
      </c>
      <c r="F12" s="144">
        <f>VLOOKUP($A12,'Data shares'!$C:$FA,24)</f>
        <v>-1.3</v>
      </c>
      <c r="G12" s="144">
        <f>VLOOKUP($A12,'Data shares'!$C:$FA,25)</f>
        <v>2.2999999999999998</v>
      </c>
    </row>
    <row r="13" spans="1:8" x14ac:dyDescent="0.25">
      <c r="A13" s="101" t="str">
        <f>'Data shares'!C9</f>
        <v>ALKEM</v>
      </c>
      <c r="B13" s="144">
        <f>VLOOKUP($A13,'Data shares'!$C:$FA,7)</f>
        <v>5475.5</v>
      </c>
      <c r="C13" s="144">
        <f>VLOOKUP($A13,'Data shares'!$C:$FA,3)</f>
        <v>5469.5</v>
      </c>
      <c r="D13" s="144">
        <f>VLOOKUP($A13,'Data shares'!$C:$FA,23)</f>
        <v>-6</v>
      </c>
      <c r="E13" s="145">
        <f>VLOOKUP($A13,'Data shares'!$C:$FA,26)*100</f>
        <v>-0.11</v>
      </c>
      <c r="F13" s="144">
        <f>VLOOKUP($A13,'Data shares'!$C:$FA,24)</f>
        <v>-7.5</v>
      </c>
      <c r="G13" s="144">
        <f>VLOOKUP($A13,'Data shares'!$C:$FA,25)</f>
        <v>1.5</v>
      </c>
    </row>
    <row r="14" spans="1:8" x14ac:dyDescent="0.25">
      <c r="A14" s="101" t="str">
        <f>'Data shares'!C10</f>
        <v>AMBER</v>
      </c>
      <c r="B14" s="144">
        <f>VLOOKUP($A14,'Data shares'!$C:$FA,7)</f>
        <v>8476</v>
      </c>
      <c r="C14" s="144">
        <f>VLOOKUP($A14,'Data shares'!$C:$FA,3)</f>
        <v>8466</v>
      </c>
      <c r="D14" s="144">
        <f>VLOOKUP($A14,'Data shares'!$C:$FA,23)</f>
        <v>-10</v>
      </c>
      <c r="E14" s="145">
        <f>VLOOKUP($A14,'Data shares'!$C:$FA,26)*100</f>
        <v>-0.12</v>
      </c>
      <c r="F14" s="144">
        <f>VLOOKUP($A14,'Data shares'!$C:$FA,24)</f>
        <v>-3.5</v>
      </c>
      <c r="G14" s="144">
        <f>VLOOKUP($A14,'Data shares'!$C:$FA,25)</f>
        <v>-6.5</v>
      </c>
    </row>
    <row r="15" spans="1:8" x14ac:dyDescent="0.25">
      <c r="A15" s="101" t="str">
        <f>'Data shares'!C11</f>
        <v>AMBUJACEM</v>
      </c>
      <c r="B15" s="144">
        <f>VLOOKUP($A15,'Data shares'!$C:$FA,7)</f>
        <v>560.25</v>
      </c>
      <c r="C15" s="144">
        <f>VLOOKUP($A15,'Data shares'!$C:$FA,3)</f>
        <v>561.04999999999995</v>
      </c>
      <c r="D15" s="144">
        <f>VLOOKUP($A15,'Data shares'!$C:$FA,23)</f>
        <v>0.8</v>
      </c>
      <c r="E15" s="145">
        <f>VLOOKUP($A15,'Data shares'!$C:$FA,26)*100</f>
        <v>0.13999999999999999</v>
      </c>
      <c r="F15" s="144">
        <f>VLOOKUP($A15,'Data shares'!$C:$FA,24)</f>
        <v>0.95</v>
      </c>
      <c r="G15" s="144">
        <f>VLOOKUP($A15,'Data shares'!$C:$FA,25)</f>
        <v>-0.15</v>
      </c>
    </row>
    <row r="16" spans="1:8" x14ac:dyDescent="0.25">
      <c r="A16" s="101" t="str">
        <f>'Data shares'!C12</f>
        <v>ANGELONE</v>
      </c>
      <c r="B16" s="144">
        <f>VLOOKUP($A16,'Data shares'!$C:$FA,7)</f>
        <v>2577</v>
      </c>
      <c r="C16" s="144">
        <f>VLOOKUP($A16,'Data shares'!$C:$FA,3)</f>
        <v>2574.5</v>
      </c>
      <c r="D16" s="144">
        <f>VLOOKUP($A16,'Data shares'!$C:$FA,23)</f>
        <v>-2.5</v>
      </c>
      <c r="E16" s="145">
        <f>VLOOKUP($A16,'Data shares'!$C:$FA,26)*100</f>
        <v>-0.1</v>
      </c>
      <c r="F16" s="144">
        <f>VLOOKUP($A16,'Data shares'!$C:$FA,24)</f>
        <v>-0.6</v>
      </c>
      <c r="G16" s="144">
        <f>VLOOKUP($A16,'Data shares'!$C:$FA,25)</f>
        <v>-1.9</v>
      </c>
    </row>
    <row r="17" spans="1:7" x14ac:dyDescent="0.25">
      <c r="A17" s="101" t="str">
        <f>'Data shares'!C13</f>
        <v>APLAPOLLO</v>
      </c>
      <c r="B17" s="144">
        <f>VLOOKUP($A17,'Data shares'!$C:$FA,7)</f>
        <v>1767</v>
      </c>
      <c r="C17" s="144">
        <f>VLOOKUP($A17,'Data shares'!$C:$FA,3)</f>
        <v>1768</v>
      </c>
      <c r="D17" s="144">
        <f>VLOOKUP($A17,'Data shares'!$C:$FA,23)</f>
        <v>1</v>
      </c>
      <c r="E17" s="145">
        <f>VLOOKUP($A17,'Data shares'!$C:$FA,26)*100</f>
        <v>0.06</v>
      </c>
      <c r="F17" s="144">
        <f>VLOOKUP($A17,'Data shares'!$C:$FA,24)</f>
        <v>0.5</v>
      </c>
      <c r="G17" s="144">
        <f>VLOOKUP($A17,'Data shares'!$C:$FA,25)</f>
        <v>0.5</v>
      </c>
    </row>
    <row r="18" spans="1:7" x14ac:dyDescent="0.25">
      <c r="A18" s="101" t="str">
        <f>'Data shares'!C14</f>
        <v>APOLLOHOSP</v>
      </c>
      <c r="B18" s="144">
        <f>VLOOKUP($A18,'Data shares'!$C:$FA,7)</f>
        <v>7845.5</v>
      </c>
      <c r="C18" s="144">
        <f>VLOOKUP($A18,'Data shares'!$C:$FA,3)</f>
        <v>7855.5</v>
      </c>
      <c r="D18" s="144">
        <f>VLOOKUP($A18,'Data shares'!$C:$FA,23)</f>
        <v>10</v>
      </c>
      <c r="E18" s="145">
        <f>VLOOKUP($A18,'Data shares'!$C:$FA,26)*100</f>
        <v>0.13</v>
      </c>
      <c r="F18" s="144">
        <f>VLOOKUP($A18,'Data shares'!$C:$FA,24)</f>
        <v>8</v>
      </c>
      <c r="G18" s="144">
        <f>VLOOKUP($A18,'Data shares'!$C:$FA,25)</f>
        <v>2</v>
      </c>
    </row>
    <row r="19" spans="1:7" x14ac:dyDescent="0.25">
      <c r="A19" s="101" t="str">
        <f>'Data shares'!C15</f>
        <v>ASHOKLEY</v>
      </c>
      <c r="B19" s="144">
        <f>VLOOKUP($A19,'Data shares'!$C:$FA,7)</f>
        <v>140.81</v>
      </c>
      <c r="C19" s="144">
        <f>VLOOKUP($A19,'Data shares'!$C:$FA,3)</f>
        <v>141.22</v>
      </c>
      <c r="D19" s="144">
        <f>VLOOKUP($A19,'Data shares'!$C:$FA,23)</f>
        <v>0.41</v>
      </c>
      <c r="E19" s="145">
        <f>VLOOKUP($A19,'Data shares'!$C:$FA,26)*100</f>
        <v>0.28999999999999998</v>
      </c>
      <c r="F19" s="144">
        <f>VLOOKUP($A19,'Data shares'!$C:$FA,24)</f>
        <v>0.28000000000000003</v>
      </c>
      <c r="G19" s="144">
        <f>VLOOKUP($A19,'Data shares'!$C:$FA,25)</f>
        <v>0.13</v>
      </c>
    </row>
    <row r="20" spans="1:7" x14ac:dyDescent="0.25">
      <c r="A20" s="101" t="str">
        <f>'Data shares'!C16</f>
        <v>ASIANPAINT</v>
      </c>
      <c r="B20" s="144">
        <f>VLOOKUP($A20,'Data shares'!$C:$FA,7)</f>
        <v>2518.8000000000002</v>
      </c>
      <c r="C20" s="144">
        <f>VLOOKUP($A20,'Data shares'!$C:$FA,3)</f>
        <v>2518.4</v>
      </c>
      <c r="D20" s="144">
        <f>VLOOKUP($A20,'Data shares'!$C:$FA,23)</f>
        <v>-0.4</v>
      </c>
      <c r="E20" s="145">
        <f>VLOOKUP($A20,'Data shares'!$C:$FA,26)*100</f>
        <v>-0.02</v>
      </c>
      <c r="F20" s="144">
        <f>VLOOKUP($A20,'Data shares'!$C:$FA,24)</f>
        <v>1.8</v>
      </c>
      <c r="G20" s="144">
        <f>VLOOKUP($A20,'Data shares'!$C:$FA,25)</f>
        <v>-2.2000000000000002</v>
      </c>
    </row>
    <row r="21" spans="1:7" x14ac:dyDescent="0.25">
      <c r="A21" s="101" t="str">
        <f>'Data shares'!C17</f>
        <v>ASTRAL</v>
      </c>
      <c r="B21" s="144">
        <f>VLOOKUP($A21,'Data shares'!$C:$FA,7)</f>
        <v>1435.2</v>
      </c>
      <c r="C21" s="144">
        <f>VLOOKUP($A21,'Data shares'!$C:$FA,3)</f>
        <v>1434.2</v>
      </c>
      <c r="D21" s="144">
        <f>VLOOKUP($A21,'Data shares'!$C:$FA,23)</f>
        <v>-1</v>
      </c>
      <c r="E21" s="145">
        <f>VLOOKUP($A21,'Data shares'!$C:$FA,26)*100</f>
        <v>-6.9999999999999993E-2</v>
      </c>
      <c r="F21" s="144">
        <f>VLOOKUP($A21,'Data shares'!$C:$FA,24)</f>
        <v>-2.2000000000000002</v>
      </c>
      <c r="G21" s="144">
        <f>VLOOKUP($A21,'Data shares'!$C:$FA,25)</f>
        <v>1.2</v>
      </c>
    </row>
    <row r="22" spans="1:7" x14ac:dyDescent="0.25">
      <c r="A22" s="101" t="str">
        <f>'Data shares'!C18</f>
        <v>AUBANK</v>
      </c>
      <c r="B22" s="144">
        <f>VLOOKUP($A22,'Data shares'!$C:$FA,7)</f>
        <v>864.2</v>
      </c>
      <c r="C22" s="144">
        <f>VLOOKUP($A22,'Data shares'!$C:$FA,3)</f>
        <v>864.3</v>
      </c>
      <c r="D22" s="144">
        <f>VLOOKUP($A22,'Data shares'!$C:$FA,23)</f>
        <v>0.1</v>
      </c>
      <c r="E22" s="145">
        <f>VLOOKUP($A22,'Data shares'!$C:$FA,26)*100</f>
        <v>0.01</v>
      </c>
      <c r="F22" s="144">
        <f>VLOOKUP($A22,'Data shares'!$C:$FA,24)</f>
        <v>0</v>
      </c>
      <c r="G22" s="144">
        <f>VLOOKUP($A22,'Data shares'!$C:$FA,25)</f>
        <v>0.1</v>
      </c>
    </row>
    <row r="23" spans="1:7" x14ac:dyDescent="0.25">
      <c r="A23" s="101" t="str">
        <f>'Data shares'!C19</f>
        <v>AUROPHARMA</v>
      </c>
      <c r="B23" s="144">
        <f>VLOOKUP($A23,'Data shares'!$C:$FA,7)</f>
        <v>1094.7</v>
      </c>
      <c r="C23" s="144">
        <f>VLOOKUP($A23,'Data shares'!$C:$FA,3)</f>
        <v>1094.5</v>
      </c>
      <c r="D23" s="144">
        <f>VLOOKUP($A23,'Data shares'!$C:$FA,23)</f>
        <v>-0.2</v>
      </c>
      <c r="E23" s="145">
        <f>VLOOKUP($A23,'Data shares'!$C:$FA,26)*100</f>
        <v>-0.02</v>
      </c>
      <c r="F23" s="144">
        <f>VLOOKUP($A23,'Data shares'!$C:$FA,24)</f>
        <v>0.3</v>
      </c>
      <c r="G23" s="144">
        <f>VLOOKUP($A23,'Data shares'!$C:$FA,25)</f>
        <v>-0.5</v>
      </c>
    </row>
    <row r="24" spans="1:7" x14ac:dyDescent="0.25">
      <c r="A24" s="101" t="str">
        <f>'Data shares'!C20</f>
        <v>AXISBANK</v>
      </c>
      <c r="B24" s="144">
        <f>VLOOKUP($A24,'Data shares'!$C:$FA,7)</f>
        <v>1254.0999999999999</v>
      </c>
      <c r="C24" s="144">
        <f>VLOOKUP($A24,'Data shares'!$C:$FA,3)</f>
        <v>1252.7</v>
      </c>
      <c r="D24" s="144">
        <f>VLOOKUP($A24,'Data shares'!$C:$FA,23)</f>
        <v>-1.4</v>
      </c>
      <c r="E24" s="145">
        <f>VLOOKUP($A24,'Data shares'!$C:$FA,26)*100</f>
        <v>-0.11</v>
      </c>
      <c r="F24" s="144">
        <f>VLOOKUP($A24,'Data shares'!$C:$FA,24)</f>
        <v>1.1000000000000001</v>
      </c>
      <c r="G24" s="144">
        <f>VLOOKUP($A24,'Data shares'!$C:$FA,25)</f>
        <v>-2.5</v>
      </c>
    </row>
    <row r="25" spans="1:7" x14ac:dyDescent="0.25">
      <c r="A25" s="101" t="str">
        <f>'Data shares'!C21</f>
        <v>BAJAJ-AUTO</v>
      </c>
      <c r="B25" s="144">
        <f>VLOOKUP($A25,'Data shares'!$C:$FA,7)</f>
        <v>9095.5</v>
      </c>
      <c r="C25" s="144">
        <f>VLOOKUP($A25,'Data shares'!$C:$FA,3)</f>
        <v>9117.5</v>
      </c>
      <c r="D25" s="144">
        <f>VLOOKUP($A25,'Data shares'!$C:$FA,23)</f>
        <v>22</v>
      </c>
      <c r="E25" s="145">
        <f>VLOOKUP($A25,'Data shares'!$C:$FA,26)*100</f>
        <v>0.24</v>
      </c>
      <c r="F25" s="144">
        <f>VLOOKUP($A25,'Data shares'!$C:$FA,24)</f>
        <v>-11</v>
      </c>
      <c r="G25" s="144">
        <f>VLOOKUP($A25,'Data shares'!$C:$FA,25)</f>
        <v>33</v>
      </c>
    </row>
    <row r="26" spans="1:7" x14ac:dyDescent="0.25">
      <c r="A26" s="101" t="str">
        <f>'Data shares'!C22</f>
        <v>BAJAJFINSV</v>
      </c>
      <c r="B26" s="144">
        <f>VLOOKUP($A26,'Data shares'!$C:$FA,7)</f>
        <v>2170.1999999999998</v>
      </c>
      <c r="C26" s="144">
        <f>VLOOKUP($A26,'Data shares'!$C:$FA,3)</f>
        <v>2169.9</v>
      </c>
      <c r="D26" s="144">
        <f>VLOOKUP($A26,'Data shares'!$C:$FA,23)</f>
        <v>-0.3</v>
      </c>
      <c r="E26" s="145">
        <f>VLOOKUP($A26,'Data shares'!$C:$FA,26)*100</f>
        <v>-0.01</v>
      </c>
      <c r="F26" s="144">
        <f>VLOOKUP($A26,'Data shares'!$C:$FA,24)</f>
        <v>0.3</v>
      </c>
      <c r="G26" s="144">
        <f>VLOOKUP($A26,'Data shares'!$C:$FA,25)</f>
        <v>-0.6</v>
      </c>
    </row>
    <row r="27" spans="1:7" x14ac:dyDescent="0.25">
      <c r="A27" s="101" t="str">
        <f>'Data shares'!C23</f>
        <v>BAJFINANCE</v>
      </c>
      <c r="B27" s="144">
        <f>VLOOKUP($A27,'Data shares'!$C:$FA,7)</f>
        <v>1084.4000000000001</v>
      </c>
      <c r="C27" s="144">
        <f>VLOOKUP($A27,'Data shares'!$C:$FA,3)</f>
        <v>1085.7</v>
      </c>
      <c r="D27" s="144">
        <f>VLOOKUP($A27,'Data shares'!$C:$FA,23)</f>
        <v>1.3</v>
      </c>
      <c r="E27" s="145">
        <f>VLOOKUP($A27,'Data shares'!$C:$FA,26)*100</f>
        <v>0.12</v>
      </c>
      <c r="F27" s="144">
        <f>VLOOKUP($A27,'Data shares'!$C:$FA,24)</f>
        <v>-0.35</v>
      </c>
      <c r="G27" s="144">
        <f>VLOOKUP($A27,'Data shares'!$C:$FA,25)</f>
        <v>1.65</v>
      </c>
    </row>
    <row r="28" spans="1:7" x14ac:dyDescent="0.25">
      <c r="A28" s="101" t="str">
        <f>'Data shares'!C24</f>
        <v>BANDHANBNK</v>
      </c>
      <c r="B28" s="144">
        <f>VLOOKUP($A28,'Data shares'!$C:$FA,7)</f>
        <v>172.04</v>
      </c>
      <c r="C28" s="144">
        <f>VLOOKUP($A28,'Data shares'!$C:$FA,3)</f>
        <v>171.99</v>
      </c>
      <c r="D28" s="144">
        <f>VLOOKUP($A28,'Data shares'!$C:$FA,23)</f>
        <v>-0.05</v>
      </c>
      <c r="E28" s="145">
        <f>VLOOKUP($A28,'Data shares'!$C:$FA,26)*100</f>
        <v>-0.03</v>
      </c>
      <c r="F28" s="144">
        <f>VLOOKUP($A28,'Data shares'!$C:$FA,24)</f>
        <v>7.0000000000000007E-2</v>
      </c>
      <c r="G28" s="144">
        <f>VLOOKUP($A28,'Data shares'!$C:$FA,25)</f>
        <v>-0.12</v>
      </c>
    </row>
    <row r="29" spans="1:7" x14ac:dyDescent="0.25">
      <c r="A29" s="101" t="str">
        <f>'Data shares'!C25</f>
        <v>BANKBARODA</v>
      </c>
      <c r="B29" s="144">
        <f>VLOOKUP($A29,'Data shares'!$C:$FA,7)</f>
        <v>273.64999999999998</v>
      </c>
      <c r="C29" s="144">
        <f>VLOOKUP($A29,'Data shares'!$C:$FA,3)</f>
        <v>273.2</v>
      </c>
      <c r="D29" s="144">
        <f>VLOOKUP($A29,'Data shares'!$C:$FA,23)</f>
        <v>-0.45</v>
      </c>
      <c r="E29" s="145">
        <f>VLOOKUP($A29,'Data shares'!$C:$FA,26)*100</f>
        <v>-0.16</v>
      </c>
      <c r="F29" s="144">
        <f>VLOOKUP($A29,'Data shares'!$C:$FA,24)</f>
        <v>-0.05</v>
      </c>
      <c r="G29" s="144">
        <f>VLOOKUP($A29,'Data shares'!$C:$FA,25)</f>
        <v>-0.4</v>
      </c>
    </row>
    <row r="30" spans="1:7" x14ac:dyDescent="0.25">
      <c r="A30" s="101" t="str">
        <f>'Data shares'!C26</f>
        <v>BANKINDIA</v>
      </c>
      <c r="B30" s="144">
        <f>VLOOKUP($A30,'Data shares'!$C:$FA,7)</f>
        <v>139.71</v>
      </c>
      <c r="C30" s="144">
        <f>VLOOKUP($A30,'Data shares'!$C:$FA,3)</f>
        <v>139.86000000000001</v>
      </c>
      <c r="D30" s="144">
        <f>VLOOKUP($A30,'Data shares'!$C:$FA,23)</f>
        <v>0.15</v>
      </c>
      <c r="E30" s="145">
        <f>VLOOKUP($A30,'Data shares'!$C:$FA,26)*100</f>
        <v>0.11</v>
      </c>
      <c r="F30" s="144">
        <f>VLOOKUP($A30,'Data shares'!$C:$FA,24)</f>
        <v>-0.15</v>
      </c>
      <c r="G30" s="144">
        <f>VLOOKUP($A30,'Data shares'!$C:$FA,25)</f>
        <v>0.3</v>
      </c>
    </row>
    <row r="31" spans="1:7" x14ac:dyDescent="0.25">
      <c r="A31" s="101" t="str">
        <f>'Data shares'!C27</f>
        <v>BANKNIFTY</v>
      </c>
      <c r="B31" s="144">
        <f>VLOOKUP($A31,'Data shares'!$C:$FA,7)</f>
        <v>58114.25</v>
      </c>
      <c r="C31" s="144">
        <f>VLOOKUP($A31,'Data shares'!$C:$FA,3)</f>
        <v>58183.199999999997</v>
      </c>
      <c r="D31" s="144">
        <f>VLOOKUP($A31,'Data shares'!$C:$FA,23)</f>
        <v>68.95</v>
      </c>
      <c r="E31" s="145">
        <f>VLOOKUP($A31,'Data shares'!$C:$FA,26)*100</f>
        <v>0.12</v>
      </c>
      <c r="F31" s="144">
        <f>VLOOKUP($A31,'Data shares'!$C:$FA,24)</f>
        <v>3.6</v>
      </c>
      <c r="G31" s="144">
        <f>VLOOKUP($A31,'Data shares'!$C:$FA,25)</f>
        <v>65.349999999999994</v>
      </c>
    </row>
    <row r="32" spans="1:7" x14ac:dyDescent="0.25">
      <c r="A32" s="101" t="str">
        <f>'Data shares'!C28</f>
        <v>BDL</v>
      </c>
      <c r="B32" s="144">
        <f>VLOOKUP($A32,'Data shares'!$C:$FA,7)</f>
        <v>1537.8</v>
      </c>
      <c r="C32" s="144">
        <f>VLOOKUP($A32,'Data shares'!$C:$FA,3)</f>
        <v>1537.8</v>
      </c>
      <c r="D32" s="144">
        <f>VLOOKUP($A32,'Data shares'!$C:$FA,23)</f>
        <v>0</v>
      </c>
      <c r="E32" s="145">
        <f>VLOOKUP($A32,'Data shares'!$C:$FA,26)*100</f>
        <v>0</v>
      </c>
      <c r="F32" s="144">
        <f>VLOOKUP($A32,'Data shares'!$C:$FA,24)</f>
        <v>-1.7</v>
      </c>
      <c r="G32" s="144">
        <f>VLOOKUP($A32,'Data shares'!$C:$FA,25)</f>
        <v>1.7</v>
      </c>
    </row>
    <row r="33" spans="1:7" x14ac:dyDescent="0.25">
      <c r="A33" s="101" t="str">
        <f>'Data shares'!C29</f>
        <v>BEL</v>
      </c>
      <c r="B33" s="144">
        <f>VLOOKUP($A33,'Data shares'!$C:$FA,7)</f>
        <v>415.15</v>
      </c>
      <c r="C33" s="144">
        <f>VLOOKUP($A33,'Data shares'!$C:$FA,3)</f>
        <v>414.85</v>
      </c>
      <c r="D33" s="144">
        <f>VLOOKUP($A33,'Data shares'!$C:$FA,23)</f>
        <v>-0.3</v>
      </c>
      <c r="E33" s="145">
        <f>VLOOKUP($A33,'Data shares'!$C:$FA,26)*100</f>
        <v>-6.9999999999999993E-2</v>
      </c>
      <c r="F33" s="144">
        <f>VLOOKUP($A33,'Data shares'!$C:$FA,24)</f>
        <v>-0.5</v>
      </c>
      <c r="G33" s="144">
        <f>VLOOKUP($A33,'Data shares'!$C:$FA,25)</f>
        <v>0.2</v>
      </c>
    </row>
    <row r="34" spans="1:7" x14ac:dyDescent="0.25">
      <c r="A34" s="101" t="str">
        <f>'Data shares'!C30</f>
        <v>BHARATFORG</v>
      </c>
      <c r="B34" s="144">
        <f>VLOOKUP($A34,'Data shares'!$C:$FA,7)</f>
        <v>1301.4000000000001</v>
      </c>
      <c r="C34" s="144">
        <f>VLOOKUP($A34,'Data shares'!$C:$FA,3)</f>
        <v>1303.7</v>
      </c>
      <c r="D34" s="144">
        <f>VLOOKUP($A34,'Data shares'!$C:$FA,23)</f>
        <v>2.2999999999999998</v>
      </c>
      <c r="E34" s="145">
        <f>VLOOKUP($A34,'Data shares'!$C:$FA,26)*100</f>
        <v>0.18</v>
      </c>
      <c r="F34" s="144">
        <f>VLOOKUP($A34,'Data shares'!$C:$FA,24)</f>
        <v>-2.1</v>
      </c>
      <c r="G34" s="144">
        <f>VLOOKUP($A34,'Data shares'!$C:$FA,25)</f>
        <v>4.4000000000000004</v>
      </c>
    </row>
    <row r="35" spans="1:7" x14ac:dyDescent="0.25">
      <c r="A35" s="101" t="str">
        <f>'Data shares'!C31</f>
        <v>BHARTIARTL</v>
      </c>
      <c r="B35" s="144">
        <f>VLOOKUP($A35,'Data shares'!$C:$FA,7)</f>
        <v>2080.1</v>
      </c>
      <c r="C35" s="144">
        <f>VLOOKUP($A35,'Data shares'!$C:$FA,3)</f>
        <v>2076.6</v>
      </c>
      <c r="D35" s="144">
        <f>VLOOKUP($A35,'Data shares'!$C:$FA,23)</f>
        <v>-3.5</v>
      </c>
      <c r="E35" s="145">
        <f>VLOOKUP($A35,'Data shares'!$C:$FA,26)*100</f>
        <v>-0.16999999999999998</v>
      </c>
      <c r="F35" s="144">
        <f>VLOOKUP($A35,'Data shares'!$C:$FA,24)</f>
        <v>-2.7</v>
      </c>
      <c r="G35" s="144">
        <f>VLOOKUP($A35,'Data shares'!$C:$FA,25)</f>
        <v>-0.8</v>
      </c>
    </row>
    <row r="36" spans="1:7" x14ac:dyDescent="0.25">
      <c r="A36" s="101" t="str">
        <f>'Data shares'!C32</f>
        <v>BHEL</v>
      </c>
      <c r="B36" s="144">
        <f>VLOOKUP($A36,'Data shares'!$C:$FA,7)</f>
        <v>235</v>
      </c>
      <c r="C36" s="144">
        <f>VLOOKUP($A36,'Data shares'!$C:$FA,3)</f>
        <v>235.43</v>
      </c>
      <c r="D36" s="144">
        <f>VLOOKUP($A36,'Data shares'!$C:$FA,23)</f>
        <v>0.43</v>
      </c>
      <c r="E36" s="145">
        <f>VLOOKUP($A36,'Data shares'!$C:$FA,26)*100</f>
        <v>0.18</v>
      </c>
      <c r="F36" s="144">
        <f>VLOOKUP($A36,'Data shares'!$C:$FA,24)</f>
        <v>-0.15</v>
      </c>
      <c r="G36" s="144">
        <f>VLOOKUP($A36,'Data shares'!$C:$FA,25)</f>
        <v>0.57999999999999996</v>
      </c>
    </row>
    <row r="37" spans="1:7" x14ac:dyDescent="0.25">
      <c r="A37" s="101" t="str">
        <f>'Data shares'!C33</f>
        <v>BIOCON</v>
      </c>
      <c r="B37" s="144">
        <f>VLOOKUP($A37,'Data shares'!$C:$FA,7)</f>
        <v>360.45</v>
      </c>
      <c r="C37" s="144">
        <f>VLOOKUP($A37,'Data shares'!$C:$FA,3)</f>
        <v>360.25</v>
      </c>
      <c r="D37" s="144">
        <f>VLOOKUP($A37,'Data shares'!$C:$FA,23)</f>
        <v>-0.2</v>
      </c>
      <c r="E37" s="145">
        <f>VLOOKUP($A37,'Data shares'!$C:$FA,26)*100</f>
        <v>-0.06</v>
      </c>
      <c r="F37" s="144">
        <f>VLOOKUP($A37,'Data shares'!$C:$FA,24)</f>
        <v>-0.15</v>
      </c>
      <c r="G37" s="144">
        <f>VLOOKUP($A37,'Data shares'!$C:$FA,25)</f>
        <v>-0.05</v>
      </c>
    </row>
    <row r="38" spans="1:7" x14ac:dyDescent="0.25">
      <c r="A38" s="101" t="str">
        <f>'Data shares'!C34</f>
        <v>BLUESTARCO</v>
      </c>
      <c r="B38" s="144">
        <f>VLOOKUP($A38,'Data shares'!$C:$FA,7)</f>
        <v>1979.6</v>
      </c>
      <c r="C38" s="144">
        <f>VLOOKUP($A38,'Data shares'!$C:$FA,3)</f>
        <v>1984.2</v>
      </c>
      <c r="D38" s="144">
        <f>VLOOKUP($A38,'Data shares'!$C:$FA,23)</f>
        <v>4.5999999999999996</v>
      </c>
      <c r="E38" s="145">
        <f>VLOOKUP($A38,'Data shares'!$C:$FA,26)*100</f>
        <v>0.22999999999999998</v>
      </c>
      <c r="F38" s="144">
        <f>VLOOKUP($A38,'Data shares'!$C:$FA,24)</f>
        <v>1.6</v>
      </c>
      <c r="G38" s="144">
        <f>VLOOKUP($A38,'Data shares'!$C:$FA,25)</f>
        <v>3</v>
      </c>
    </row>
    <row r="39" spans="1:7" x14ac:dyDescent="0.25">
      <c r="A39" s="101" t="str">
        <f>'Data shares'!C35</f>
        <v>BOSCHLTD</v>
      </c>
      <c r="B39" s="144">
        <f>VLOOKUP($A39,'Data shares'!$C:$FA,7)</f>
        <v>39005</v>
      </c>
      <c r="C39" s="144">
        <f>VLOOKUP($A39,'Data shares'!$C:$FA,3)</f>
        <v>38965</v>
      </c>
      <c r="D39" s="144">
        <f>VLOOKUP($A39,'Data shares'!$C:$FA,23)</f>
        <v>-40</v>
      </c>
      <c r="E39" s="145">
        <f>VLOOKUP($A39,'Data shares'!$C:$FA,26)*100</f>
        <v>-0.1</v>
      </c>
      <c r="F39" s="144">
        <f>VLOOKUP($A39,'Data shares'!$C:$FA,24)</f>
        <v>-35</v>
      </c>
      <c r="G39" s="144">
        <f>VLOOKUP($A39,'Data shares'!$C:$FA,25)</f>
        <v>-5</v>
      </c>
    </row>
    <row r="40" spans="1:7" x14ac:dyDescent="0.25">
      <c r="A40" s="101" t="str">
        <f>'Data shares'!C36</f>
        <v>BPCL</v>
      </c>
      <c r="B40" s="144">
        <f>VLOOKUP($A40,'Data shares'!$C:$FA,7)</f>
        <v>343</v>
      </c>
      <c r="C40" s="144">
        <f>VLOOKUP($A40,'Data shares'!$C:$FA,3)</f>
        <v>342.75</v>
      </c>
      <c r="D40" s="144">
        <f>VLOOKUP($A40,'Data shares'!$C:$FA,23)</f>
        <v>-0.25</v>
      </c>
      <c r="E40" s="145">
        <f>VLOOKUP($A40,'Data shares'!$C:$FA,26)*100</f>
        <v>-6.9999999999999993E-2</v>
      </c>
      <c r="F40" s="144">
        <f>VLOOKUP($A40,'Data shares'!$C:$FA,24)</f>
        <v>0.2</v>
      </c>
      <c r="G40" s="144">
        <f>VLOOKUP($A40,'Data shares'!$C:$FA,25)</f>
        <v>-0.45</v>
      </c>
    </row>
    <row r="41" spans="1:7" x14ac:dyDescent="0.25">
      <c r="A41" s="101" t="str">
        <f>'Data shares'!C37</f>
        <v>BRITANNIA</v>
      </c>
      <c r="B41" s="144">
        <f>VLOOKUP($A41,'Data shares'!$C:$FA,7)</f>
        <v>5912</v>
      </c>
      <c r="C41" s="144">
        <f>VLOOKUP($A41,'Data shares'!$C:$FA,3)</f>
        <v>5910.5</v>
      </c>
      <c r="D41" s="144">
        <f>VLOOKUP($A41,'Data shares'!$C:$FA,23)</f>
        <v>-1.5</v>
      </c>
      <c r="E41" s="145">
        <f>VLOOKUP($A41,'Data shares'!$C:$FA,26)*100</f>
        <v>-0.03</v>
      </c>
      <c r="F41" s="144">
        <f>VLOOKUP($A41,'Data shares'!$C:$FA,24)</f>
        <v>-1</v>
      </c>
      <c r="G41" s="144">
        <f>VLOOKUP($A41,'Data shares'!$C:$FA,25)</f>
        <v>-0.5</v>
      </c>
    </row>
    <row r="42" spans="1:7" x14ac:dyDescent="0.25">
      <c r="A42" s="101" t="str">
        <f>'Data shares'!C38</f>
        <v>BSE</v>
      </c>
      <c r="B42" s="144">
        <f>VLOOKUP($A42,'Data shares'!$C:$FA,7)</f>
        <v>2510.1999999999998</v>
      </c>
      <c r="C42" s="144">
        <f>VLOOKUP($A42,'Data shares'!$C:$FA,3)</f>
        <v>2511.4</v>
      </c>
      <c r="D42" s="144">
        <f>VLOOKUP($A42,'Data shares'!$C:$FA,23)</f>
        <v>1.2</v>
      </c>
      <c r="E42" s="145">
        <f>VLOOKUP($A42,'Data shares'!$C:$FA,26)*100</f>
        <v>0.05</v>
      </c>
      <c r="F42" s="144">
        <f>VLOOKUP($A42,'Data shares'!$C:$FA,24)</f>
        <v>1.3</v>
      </c>
      <c r="G42" s="144">
        <f>VLOOKUP($A42,'Data shares'!$C:$FA,25)</f>
        <v>-0.1</v>
      </c>
    </row>
    <row r="43" spans="1:7" x14ac:dyDescent="0.25">
      <c r="A43" s="101" t="str">
        <f>'Data shares'!C39</f>
        <v>CAMS</v>
      </c>
      <c r="B43" s="144">
        <f>VLOOKUP($A43,'Data shares'!$C:$FA,7)</f>
        <v>3965.4</v>
      </c>
      <c r="C43" s="144">
        <f>VLOOKUP($A43,'Data shares'!$C:$FA,3)</f>
        <v>3973.9</v>
      </c>
      <c r="D43" s="144">
        <f>VLOOKUP($A43,'Data shares'!$C:$FA,23)</f>
        <v>8.5</v>
      </c>
      <c r="E43" s="145">
        <f>VLOOKUP($A43,'Data shares'!$C:$FA,26)*100</f>
        <v>0.21</v>
      </c>
      <c r="F43" s="144">
        <f>VLOOKUP($A43,'Data shares'!$C:$FA,24)</f>
        <v>0.7</v>
      </c>
      <c r="G43" s="144">
        <f>VLOOKUP($A43,'Data shares'!$C:$FA,25)</f>
        <v>7.8</v>
      </c>
    </row>
    <row r="44" spans="1:7" x14ac:dyDescent="0.25">
      <c r="A44" s="101" t="str">
        <f>'Data shares'!C40</f>
        <v>CANBK</v>
      </c>
      <c r="B44" s="144">
        <f>VLOOKUP($A44,'Data shares'!$C:$FA,7)</f>
        <v>129.13</v>
      </c>
      <c r="C44" s="144">
        <f>VLOOKUP($A44,'Data shares'!$C:$FA,3)</f>
        <v>129.22999999999999</v>
      </c>
      <c r="D44" s="144">
        <f>VLOOKUP($A44,'Data shares'!$C:$FA,23)</f>
        <v>0.1</v>
      </c>
      <c r="E44" s="145">
        <f>VLOOKUP($A44,'Data shares'!$C:$FA,26)*100</f>
        <v>0.08</v>
      </c>
      <c r="F44" s="144">
        <f>VLOOKUP($A44,'Data shares'!$C:$FA,24)</f>
        <v>-0.16</v>
      </c>
      <c r="G44" s="144">
        <f>VLOOKUP($A44,'Data shares'!$C:$FA,25)</f>
        <v>0.26</v>
      </c>
    </row>
    <row r="45" spans="1:7" x14ac:dyDescent="0.25">
      <c r="A45" s="101" t="str">
        <f>'Data shares'!C41</f>
        <v>CDSL</v>
      </c>
      <c r="B45" s="144">
        <f>VLOOKUP($A45,'Data shares'!$C:$FA,7)</f>
        <v>1636.5</v>
      </c>
      <c r="C45" s="144">
        <f>VLOOKUP($A45,'Data shares'!$C:$FA,3)</f>
        <v>1639.4</v>
      </c>
      <c r="D45" s="144">
        <f>VLOOKUP($A45,'Data shares'!$C:$FA,23)</f>
        <v>2.9</v>
      </c>
      <c r="E45" s="145">
        <f>VLOOKUP($A45,'Data shares'!$C:$FA,26)*100</f>
        <v>0.18</v>
      </c>
      <c r="F45" s="144">
        <f>VLOOKUP($A45,'Data shares'!$C:$FA,24)</f>
        <v>0.9</v>
      </c>
      <c r="G45" s="144">
        <f>VLOOKUP($A45,'Data shares'!$C:$FA,25)</f>
        <v>2</v>
      </c>
    </row>
    <row r="46" spans="1:7" x14ac:dyDescent="0.25">
      <c r="A46" s="101" t="str">
        <f>'Data shares'!C42</f>
        <v>CGPOWER</v>
      </c>
      <c r="B46" s="144">
        <f>VLOOKUP($A46,'Data shares'!$C:$FA,7)</f>
        <v>728.35</v>
      </c>
      <c r="C46" s="144">
        <f>VLOOKUP($A46,'Data shares'!$C:$FA,3)</f>
        <v>727.65</v>
      </c>
      <c r="D46" s="144">
        <f>VLOOKUP($A46,'Data shares'!$C:$FA,23)</f>
        <v>-0.7</v>
      </c>
      <c r="E46" s="145">
        <f>VLOOKUP($A46,'Data shares'!$C:$FA,26)*100</f>
        <v>-0.1</v>
      </c>
      <c r="F46" s="144">
        <f>VLOOKUP($A46,'Data shares'!$C:$FA,24)</f>
        <v>-0.7</v>
      </c>
      <c r="G46" s="144">
        <f>VLOOKUP($A46,'Data shares'!$C:$FA,25)</f>
        <v>0</v>
      </c>
    </row>
    <row r="47" spans="1:7" x14ac:dyDescent="0.25">
      <c r="A47" s="101" t="str">
        <f>'Data shares'!C43</f>
        <v>CHOLAFIN</v>
      </c>
      <c r="B47" s="144">
        <f>VLOOKUP($A47,'Data shares'!$C:$FA,7)</f>
        <v>1732.4</v>
      </c>
      <c r="C47" s="144">
        <f>VLOOKUP($A47,'Data shares'!$C:$FA,3)</f>
        <v>1734.6</v>
      </c>
      <c r="D47" s="144">
        <f>VLOOKUP($A47,'Data shares'!$C:$FA,23)</f>
        <v>2.2000000000000002</v>
      </c>
      <c r="E47" s="145">
        <f>VLOOKUP($A47,'Data shares'!$C:$FA,26)*100</f>
        <v>0.13</v>
      </c>
      <c r="F47" s="144">
        <f>VLOOKUP($A47,'Data shares'!$C:$FA,24)</f>
        <v>-11</v>
      </c>
      <c r="G47" s="144">
        <f>VLOOKUP($A47,'Data shares'!$C:$FA,25)</f>
        <v>13.2</v>
      </c>
    </row>
    <row r="48" spans="1:7" x14ac:dyDescent="0.25">
      <c r="A48" s="101" t="str">
        <f>'Data shares'!C44</f>
        <v>CIPLA</v>
      </c>
      <c r="B48" s="144">
        <f>VLOOKUP($A48,'Data shares'!$C:$FA,7)</f>
        <v>1584</v>
      </c>
      <c r="C48" s="144">
        <f>VLOOKUP($A48,'Data shares'!$C:$FA,3)</f>
        <v>1582.8</v>
      </c>
      <c r="D48" s="144">
        <f>VLOOKUP($A48,'Data shares'!$C:$FA,23)</f>
        <v>-1.2</v>
      </c>
      <c r="E48" s="145">
        <f>VLOOKUP($A48,'Data shares'!$C:$FA,26)*100</f>
        <v>-0.08</v>
      </c>
      <c r="F48" s="144">
        <f>VLOOKUP($A48,'Data shares'!$C:$FA,24)</f>
        <v>-1.3</v>
      </c>
      <c r="G48" s="144">
        <f>VLOOKUP($A48,'Data shares'!$C:$FA,25)</f>
        <v>0.1</v>
      </c>
    </row>
    <row r="49" spans="1:7" x14ac:dyDescent="0.25">
      <c r="A49" s="101" t="str">
        <f>'Data shares'!C45</f>
        <v>COALINDIA</v>
      </c>
      <c r="B49" s="144">
        <f>VLOOKUP($A49,'Data shares'!$C:$FA,7)</f>
        <v>396.7</v>
      </c>
      <c r="C49" s="144">
        <f>VLOOKUP($A49,'Data shares'!$C:$FA,3)</f>
        <v>396.55</v>
      </c>
      <c r="D49" s="144">
        <f>VLOOKUP($A49,'Data shares'!$C:$FA,23)</f>
        <v>-0.15</v>
      </c>
      <c r="E49" s="145">
        <f>VLOOKUP($A49,'Data shares'!$C:$FA,26)*100</f>
        <v>-0.04</v>
      </c>
      <c r="F49" s="144">
        <f>VLOOKUP($A49,'Data shares'!$C:$FA,24)</f>
        <v>-0.1</v>
      </c>
      <c r="G49" s="144">
        <f>VLOOKUP($A49,'Data shares'!$C:$FA,25)</f>
        <v>-0.05</v>
      </c>
    </row>
    <row r="50" spans="1:7" x14ac:dyDescent="0.25">
      <c r="A50" s="101" t="str">
        <f>'Data shares'!C46</f>
        <v>COFORGE</v>
      </c>
      <c r="B50" s="144">
        <f>VLOOKUP($A50,'Data shares'!$C:$FA,7)</f>
        <v>1830.6</v>
      </c>
      <c r="C50" s="144">
        <f>VLOOKUP($A50,'Data shares'!$C:$FA,3)</f>
        <v>1830.5</v>
      </c>
      <c r="D50" s="144">
        <f>VLOOKUP($A50,'Data shares'!$C:$FA,23)</f>
        <v>-0.1</v>
      </c>
      <c r="E50" s="145">
        <f>VLOOKUP($A50,'Data shares'!$C:$FA,26)*100</f>
        <v>-0.01</v>
      </c>
      <c r="F50" s="144">
        <f>VLOOKUP($A50,'Data shares'!$C:$FA,24)</f>
        <v>-0.6</v>
      </c>
      <c r="G50" s="144">
        <f>VLOOKUP($A50,'Data shares'!$C:$FA,25)</f>
        <v>0.5</v>
      </c>
    </row>
    <row r="51" spans="1:7" x14ac:dyDescent="0.25">
      <c r="A51" s="101" t="str">
        <f>'Data shares'!C47</f>
        <v>COLPAL</v>
      </c>
      <c r="B51" s="144">
        <f>VLOOKUP($A51,'Data shares'!$C:$FA,7)</f>
        <v>2216.5</v>
      </c>
      <c r="C51" s="144">
        <f>VLOOKUP($A51,'Data shares'!$C:$FA,3)</f>
        <v>2221.5</v>
      </c>
      <c r="D51" s="144">
        <f>VLOOKUP($A51,'Data shares'!$C:$FA,23)</f>
        <v>5</v>
      </c>
      <c r="E51" s="145">
        <f>VLOOKUP($A51,'Data shares'!$C:$FA,26)*100</f>
        <v>0.22999999999999998</v>
      </c>
      <c r="F51" s="144">
        <f>VLOOKUP($A51,'Data shares'!$C:$FA,24)</f>
        <v>-4.3</v>
      </c>
      <c r="G51" s="144">
        <f>VLOOKUP($A51,'Data shares'!$C:$FA,25)</f>
        <v>9.3000000000000007</v>
      </c>
    </row>
    <row r="52" spans="1:7" x14ac:dyDescent="0.25">
      <c r="A52" s="101" t="str">
        <f>'Data shares'!C48</f>
        <v>CONCOR</v>
      </c>
      <c r="B52" s="144">
        <f>VLOOKUP($A52,'Data shares'!$C:$FA,7)</f>
        <v>540.75</v>
      </c>
      <c r="C52" s="144">
        <f>VLOOKUP($A52,'Data shares'!$C:$FA,3)</f>
        <v>541</v>
      </c>
      <c r="D52" s="144">
        <f>VLOOKUP($A52,'Data shares'!$C:$FA,23)</f>
        <v>0.25</v>
      </c>
      <c r="E52" s="145">
        <f>VLOOKUP($A52,'Data shares'!$C:$FA,26)*100</f>
        <v>0.05</v>
      </c>
      <c r="F52" s="144">
        <f>VLOOKUP($A52,'Data shares'!$C:$FA,24)</f>
        <v>1.6</v>
      </c>
      <c r="G52" s="144">
        <f>VLOOKUP($A52,'Data shares'!$C:$FA,25)</f>
        <v>-1.35</v>
      </c>
    </row>
    <row r="53" spans="1:7" x14ac:dyDescent="0.25">
      <c r="A53" s="101" t="str">
        <f>'Data shares'!C49</f>
        <v>CROMPTON</v>
      </c>
      <c r="B53" s="144">
        <f>VLOOKUP($A53,'Data shares'!$C:$FA,7)</f>
        <v>292.05</v>
      </c>
      <c r="C53" s="144">
        <f>VLOOKUP($A53,'Data shares'!$C:$FA,3)</f>
        <v>292.25</v>
      </c>
      <c r="D53" s="144">
        <f>VLOOKUP($A53,'Data shares'!$C:$FA,23)</f>
        <v>0.2</v>
      </c>
      <c r="E53" s="145">
        <f>VLOOKUP($A53,'Data shares'!$C:$FA,26)*100</f>
        <v>6.9999999999999993E-2</v>
      </c>
      <c r="F53" s="144">
        <f>VLOOKUP($A53,'Data shares'!$C:$FA,24)</f>
        <v>0.2</v>
      </c>
      <c r="G53" s="144">
        <f>VLOOKUP($A53,'Data shares'!$C:$FA,25)</f>
        <v>0</v>
      </c>
    </row>
    <row r="54" spans="1:7" x14ac:dyDescent="0.25">
      <c r="A54" s="101" t="str">
        <f>'Data shares'!C50</f>
        <v>CUMMINSIND</v>
      </c>
      <c r="B54" s="144">
        <f>VLOOKUP($A54,'Data shares'!$C:$FA,7)</f>
        <v>4311.5</v>
      </c>
      <c r="C54" s="144">
        <f>VLOOKUP($A54,'Data shares'!$C:$FA,3)</f>
        <v>4310.8999999999996</v>
      </c>
      <c r="D54" s="144">
        <f>VLOOKUP($A54,'Data shares'!$C:$FA,23)</f>
        <v>-0.6</v>
      </c>
      <c r="E54" s="145">
        <f>VLOOKUP($A54,'Data shares'!$C:$FA,26)*100</f>
        <v>-0.01</v>
      </c>
      <c r="F54" s="144">
        <f>VLOOKUP($A54,'Data shares'!$C:$FA,24)</f>
        <v>9.1</v>
      </c>
      <c r="G54" s="144">
        <f>VLOOKUP($A54,'Data shares'!$C:$FA,25)</f>
        <v>-9.6999999999999993</v>
      </c>
    </row>
    <row r="55" spans="1:7" x14ac:dyDescent="0.25">
      <c r="A55" s="101" t="str">
        <f>'Data shares'!C51</f>
        <v>CYIENT</v>
      </c>
      <c r="B55" s="144">
        <f>VLOOKUP($A55,'Data shares'!$C:$FA,7)</f>
        <v>1208.0999999999999</v>
      </c>
      <c r="C55" s="144">
        <f>VLOOKUP($A55,'Data shares'!$C:$FA,3)</f>
        <v>1209.2</v>
      </c>
      <c r="D55" s="144">
        <f>VLOOKUP($A55,'Data shares'!$C:$FA,23)</f>
        <v>1.1000000000000001</v>
      </c>
      <c r="E55" s="145">
        <f>VLOOKUP($A55,'Data shares'!$C:$FA,26)*100</f>
        <v>0.09</v>
      </c>
      <c r="F55" s="144">
        <f>VLOOKUP($A55,'Data shares'!$C:$FA,24)</f>
        <v>1.9</v>
      </c>
      <c r="G55" s="144">
        <f>VLOOKUP($A55,'Data shares'!$C:$FA,25)</f>
        <v>-0.8</v>
      </c>
    </row>
    <row r="56" spans="1:7" x14ac:dyDescent="0.25">
      <c r="A56" s="101" t="str">
        <f>'Data shares'!C52</f>
        <v>DABUR</v>
      </c>
      <c r="B56" s="144">
        <f>VLOOKUP($A56,'Data shares'!$C:$FA,7)</f>
        <v>507.05</v>
      </c>
      <c r="C56" s="144">
        <f>VLOOKUP($A56,'Data shares'!$C:$FA,3)</f>
        <v>506.45</v>
      </c>
      <c r="D56" s="144">
        <f>VLOOKUP($A56,'Data shares'!$C:$FA,23)</f>
        <v>-0.6</v>
      </c>
      <c r="E56" s="145">
        <f>VLOOKUP($A56,'Data shares'!$C:$FA,26)*100</f>
        <v>-0.12</v>
      </c>
      <c r="F56" s="144">
        <f>VLOOKUP($A56,'Data shares'!$C:$FA,24)</f>
        <v>-0.7</v>
      </c>
      <c r="G56" s="144">
        <f>VLOOKUP($A56,'Data shares'!$C:$FA,25)</f>
        <v>0.1</v>
      </c>
    </row>
    <row r="57" spans="1:7" x14ac:dyDescent="0.25">
      <c r="A57" s="101" t="str">
        <f>'Data shares'!C53</f>
        <v>DALBHARAT</v>
      </c>
      <c r="B57" s="144">
        <f>VLOOKUP($A57,'Data shares'!$C:$FA,7)</f>
        <v>2093.1999999999998</v>
      </c>
      <c r="C57" s="144">
        <f>VLOOKUP($A57,'Data shares'!$C:$FA,3)</f>
        <v>2096.9</v>
      </c>
      <c r="D57" s="144">
        <f>VLOOKUP($A57,'Data shares'!$C:$FA,23)</f>
        <v>3.7</v>
      </c>
      <c r="E57" s="145">
        <f>VLOOKUP($A57,'Data shares'!$C:$FA,26)*100</f>
        <v>0.18</v>
      </c>
      <c r="F57" s="144">
        <f>VLOOKUP($A57,'Data shares'!$C:$FA,24)</f>
        <v>3</v>
      </c>
      <c r="G57" s="144">
        <f>VLOOKUP($A57,'Data shares'!$C:$FA,25)</f>
        <v>0.7</v>
      </c>
    </row>
    <row r="58" spans="1:7" x14ac:dyDescent="0.25">
      <c r="A58" s="101" t="str">
        <f>'Data shares'!C54</f>
        <v>DELHIVERY</v>
      </c>
      <c r="B58" s="144">
        <f>VLOOKUP($A58,'Data shares'!$C:$FA,7)</f>
        <v>473</v>
      </c>
      <c r="C58" s="144">
        <f>VLOOKUP($A58,'Data shares'!$C:$FA,3)</f>
        <v>472.55</v>
      </c>
      <c r="D58" s="144">
        <f>VLOOKUP($A58,'Data shares'!$C:$FA,23)</f>
        <v>-0.45</v>
      </c>
      <c r="E58" s="145">
        <f>VLOOKUP($A58,'Data shares'!$C:$FA,26)*100</f>
        <v>-0.1</v>
      </c>
      <c r="F58" s="144">
        <f>VLOOKUP($A58,'Data shares'!$C:$FA,24)</f>
        <v>-0.5</v>
      </c>
      <c r="G58" s="144">
        <f>VLOOKUP($A58,'Data shares'!$C:$FA,25)</f>
        <v>0.05</v>
      </c>
    </row>
    <row r="59" spans="1:7" x14ac:dyDescent="0.25">
      <c r="A59" s="101" t="str">
        <f>'Data shares'!C55</f>
        <v>DIVISLAB</v>
      </c>
      <c r="B59" s="144">
        <f>VLOOKUP($A59,'Data shares'!$C:$FA,7)</f>
        <v>6490</v>
      </c>
      <c r="C59" s="144">
        <f>VLOOKUP($A59,'Data shares'!$C:$FA,3)</f>
        <v>6485</v>
      </c>
      <c r="D59" s="144">
        <f>VLOOKUP($A59,'Data shares'!$C:$FA,23)</f>
        <v>-5</v>
      </c>
      <c r="E59" s="145">
        <f>VLOOKUP($A59,'Data shares'!$C:$FA,26)*100</f>
        <v>-0.08</v>
      </c>
      <c r="F59" s="144">
        <f>VLOOKUP($A59,'Data shares'!$C:$FA,24)</f>
        <v>-5.5</v>
      </c>
      <c r="G59" s="144">
        <f>VLOOKUP($A59,'Data shares'!$C:$FA,25)</f>
        <v>0.5</v>
      </c>
    </row>
    <row r="60" spans="1:7" x14ac:dyDescent="0.25">
      <c r="A60" s="101" t="str">
        <f>'Data shares'!C56</f>
        <v>DIXON</v>
      </c>
      <c r="B60" s="144">
        <f>VLOOKUP($A60,'Data shares'!$C:$FA,7)</f>
        <v>15505</v>
      </c>
      <c r="C60" s="144">
        <f>VLOOKUP($A60,'Data shares'!$C:$FA,3)</f>
        <v>15528</v>
      </c>
      <c r="D60" s="144">
        <f>VLOOKUP($A60,'Data shares'!$C:$FA,23)</f>
        <v>23</v>
      </c>
      <c r="E60" s="145">
        <f>VLOOKUP($A60,'Data shares'!$C:$FA,26)*100</f>
        <v>0.15</v>
      </c>
      <c r="F60" s="144">
        <f>VLOOKUP($A60,'Data shares'!$C:$FA,24)</f>
        <v>33</v>
      </c>
      <c r="G60" s="144">
        <f>VLOOKUP($A60,'Data shares'!$C:$FA,25)</f>
        <v>-10</v>
      </c>
    </row>
    <row r="61" spans="1:7" x14ac:dyDescent="0.25">
      <c r="A61" s="101" t="str">
        <f>'Data shares'!C57</f>
        <v>DLF</v>
      </c>
      <c r="B61" s="144">
        <f>VLOOKUP($A61,'Data shares'!$C:$FA,7)</f>
        <v>779.5</v>
      </c>
      <c r="C61" s="144">
        <f>VLOOKUP($A61,'Data shares'!$C:$FA,3)</f>
        <v>778.95</v>
      </c>
      <c r="D61" s="144">
        <f>VLOOKUP($A61,'Data shares'!$C:$FA,23)</f>
        <v>-0.55000000000000004</v>
      </c>
      <c r="E61" s="145">
        <f>VLOOKUP($A61,'Data shares'!$C:$FA,26)*100</f>
        <v>-6.9999999999999993E-2</v>
      </c>
      <c r="F61" s="144">
        <f>VLOOKUP($A61,'Data shares'!$C:$FA,24)</f>
        <v>0.95</v>
      </c>
      <c r="G61" s="144">
        <f>VLOOKUP($A61,'Data shares'!$C:$FA,25)</f>
        <v>-1.5</v>
      </c>
    </row>
    <row r="62" spans="1:7" x14ac:dyDescent="0.25">
      <c r="A62" s="101" t="str">
        <f>'Data shares'!C58</f>
        <v>DMART</v>
      </c>
      <c r="B62" s="144">
        <f>VLOOKUP($A62,'Data shares'!$C:$FA,7)</f>
        <v>4257.8999999999996</v>
      </c>
      <c r="C62" s="144">
        <f>VLOOKUP($A62,'Data shares'!$C:$FA,3)</f>
        <v>4269</v>
      </c>
      <c r="D62" s="144">
        <f>VLOOKUP($A62,'Data shares'!$C:$FA,23)</f>
        <v>11.1</v>
      </c>
      <c r="E62" s="145">
        <f>VLOOKUP($A62,'Data shares'!$C:$FA,26)*100</f>
        <v>0.26</v>
      </c>
      <c r="F62" s="144">
        <f>VLOOKUP($A62,'Data shares'!$C:$FA,24)</f>
        <v>12.8</v>
      </c>
      <c r="G62" s="144">
        <f>VLOOKUP($A62,'Data shares'!$C:$FA,25)</f>
        <v>-1.7</v>
      </c>
    </row>
    <row r="63" spans="1:7" x14ac:dyDescent="0.25">
      <c r="A63" s="101" t="str">
        <f>'Data shares'!C59</f>
        <v>DRREDDY</v>
      </c>
      <c r="B63" s="144">
        <f>VLOOKUP($A63,'Data shares'!$C:$FA,7)</f>
        <v>1284.3</v>
      </c>
      <c r="C63" s="144">
        <f>VLOOKUP($A63,'Data shares'!$C:$FA,3)</f>
        <v>1286.7</v>
      </c>
      <c r="D63" s="144">
        <f>VLOOKUP($A63,'Data shares'!$C:$FA,23)</f>
        <v>2.4</v>
      </c>
      <c r="E63" s="145">
        <f>VLOOKUP($A63,'Data shares'!$C:$FA,26)*100</f>
        <v>0.19</v>
      </c>
      <c r="F63" s="144">
        <f>VLOOKUP($A63,'Data shares'!$C:$FA,24)</f>
        <v>-1.1000000000000001</v>
      </c>
      <c r="G63" s="144">
        <f>VLOOKUP($A63,'Data shares'!$C:$FA,25)</f>
        <v>3.5</v>
      </c>
    </row>
    <row r="64" spans="1:7" x14ac:dyDescent="0.25">
      <c r="A64" s="101" t="str">
        <f>'Data shares'!C60</f>
        <v>EICHERMOT</v>
      </c>
      <c r="B64" s="144">
        <f>VLOOKUP($A64,'Data shares'!$C:$FA,7)</f>
        <v>6906.5</v>
      </c>
      <c r="C64" s="144">
        <f>VLOOKUP($A64,'Data shares'!$C:$FA,3)</f>
        <v>6911.5</v>
      </c>
      <c r="D64" s="144">
        <f>VLOOKUP($A64,'Data shares'!$C:$FA,23)</f>
        <v>5</v>
      </c>
      <c r="E64" s="145">
        <f>VLOOKUP($A64,'Data shares'!$C:$FA,26)*100</f>
        <v>6.9999999999999993E-2</v>
      </c>
      <c r="F64" s="144">
        <f>VLOOKUP($A64,'Data shares'!$C:$FA,24)</f>
        <v>6.5</v>
      </c>
      <c r="G64" s="144">
        <f>VLOOKUP($A64,'Data shares'!$C:$FA,25)</f>
        <v>-1.5</v>
      </c>
    </row>
    <row r="65" spans="1:7" x14ac:dyDescent="0.25">
      <c r="A65" s="101" t="str">
        <f>'Data shares'!C61</f>
        <v>ETERNAL</v>
      </c>
      <c r="B65" s="144">
        <f>VLOOKUP($A65,'Data shares'!$C:$FA,7)</f>
        <v>333.7</v>
      </c>
      <c r="C65" s="144">
        <f>VLOOKUP($A65,'Data shares'!$C:$FA,3)</f>
        <v>334.15</v>
      </c>
      <c r="D65" s="144">
        <f>VLOOKUP($A65,'Data shares'!$C:$FA,23)</f>
        <v>0.45</v>
      </c>
      <c r="E65" s="145">
        <f>VLOOKUP($A65,'Data shares'!$C:$FA,26)*100</f>
        <v>0.13</v>
      </c>
      <c r="F65" s="144">
        <f>VLOOKUP($A65,'Data shares'!$C:$FA,24)</f>
        <v>0.55000000000000004</v>
      </c>
      <c r="G65" s="144">
        <f>VLOOKUP($A65,'Data shares'!$C:$FA,25)</f>
        <v>-0.1</v>
      </c>
    </row>
    <row r="66" spans="1:7" x14ac:dyDescent="0.25">
      <c r="A66" s="101" t="str">
        <f>'Data shares'!C62</f>
        <v>EXIDEIND</v>
      </c>
      <c r="B66" s="144">
        <f>VLOOKUP($A66,'Data shares'!$C:$FA,7)</f>
        <v>379.95</v>
      </c>
      <c r="C66" s="144">
        <f>VLOOKUP($A66,'Data shares'!$C:$FA,3)</f>
        <v>380.05</v>
      </c>
      <c r="D66" s="144">
        <f>VLOOKUP($A66,'Data shares'!$C:$FA,23)</f>
        <v>0.1</v>
      </c>
      <c r="E66" s="145">
        <f>VLOOKUP($A66,'Data shares'!$C:$FA,26)*100</f>
        <v>0.03</v>
      </c>
      <c r="F66" s="144">
        <f>VLOOKUP($A66,'Data shares'!$C:$FA,24)</f>
        <v>-0.45</v>
      </c>
      <c r="G66" s="144">
        <f>VLOOKUP($A66,'Data shares'!$C:$FA,25)</f>
        <v>0.55000000000000004</v>
      </c>
    </row>
    <row r="67" spans="1:7" x14ac:dyDescent="0.25">
      <c r="A67" s="101" t="str">
        <f>'Data shares'!C63</f>
        <v>FEDERALBNK</v>
      </c>
      <c r="B67" s="144">
        <f>VLOOKUP($A67,'Data shares'!$C:$FA,7)</f>
        <v>234.04</v>
      </c>
      <c r="C67" s="144">
        <f>VLOOKUP($A67,'Data shares'!$C:$FA,3)</f>
        <v>233.69</v>
      </c>
      <c r="D67" s="144">
        <f>VLOOKUP($A67,'Data shares'!$C:$FA,23)</f>
        <v>-0.35</v>
      </c>
      <c r="E67" s="145">
        <f>VLOOKUP($A67,'Data shares'!$C:$FA,26)*100</f>
        <v>-0.15</v>
      </c>
      <c r="F67" s="144">
        <f>VLOOKUP($A67,'Data shares'!$C:$FA,24)</f>
        <v>0.09</v>
      </c>
      <c r="G67" s="144">
        <f>VLOOKUP($A67,'Data shares'!$C:$FA,25)</f>
        <v>-0.44</v>
      </c>
    </row>
    <row r="68" spans="1:7" x14ac:dyDescent="0.25">
      <c r="A68" s="101" t="str">
        <f>'Data shares'!C64</f>
        <v>FINNIFTY</v>
      </c>
      <c r="B68" s="144">
        <f>VLOOKUP($A68,'Data shares'!$C:$FA,7)</f>
        <v>27519</v>
      </c>
      <c r="C68" s="144">
        <f>VLOOKUP($A68,'Data shares'!$C:$FA,3)</f>
        <v>27568.6</v>
      </c>
      <c r="D68" s="144">
        <f>VLOOKUP($A68,'Data shares'!$C:$FA,23)</f>
        <v>49.6</v>
      </c>
      <c r="E68" s="145">
        <f>VLOOKUP($A68,'Data shares'!$C:$FA,26)*100</f>
        <v>0.18</v>
      </c>
      <c r="F68" s="144">
        <f>VLOOKUP($A68,'Data shares'!$C:$FA,24)</f>
        <v>5.3</v>
      </c>
      <c r="G68" s="144">
        <f>VLOOKUP($A68,'Data shares'!$C:$FA,25)</f>
        <v>44.3</v>
      </c>
    </row>
    <row r="69" spans="1:7" x14ac:dyDescent="0.25">
      <c r="A69" s="101" t="str">
        <f>'Data shares'!C65</f>
        <v>FORTIS</v>
      </c>
      <c r="B69" s="144">
        <f>VLOOKUP($A69,'Data shares'!$C:$FA,7)</f>
        <v>1052.55</v>
      </c>
      <c r="C69" s="144">
        <f>VLOOKUP($A69,'Data shares'!$C:$FA,3)</f>
        <v>1053.05</v>
      </c>
      <c r="D69" s="144">
        <f>VLOOKUP($A69,'Data shares'!$C:$FA,23)</f>
        <v>0.5</v>
      </c>
      <c r="E69" s="145">
        <f>VLOOKUP($A69,'Data shares'!$C:$FA,26)*100</f>
        <v>0.05</v>
      </c>
      <c r="F69" s="144">
        <f>VLOOKUP($A69,'Data shares'!$C:$FA,24)</f>
        <v>1.7</v>
      </c>
      <c r="G69" s="144">
        <f>VLOOKUP($A69,'Data shares'!$C:$FA,25)</f>
        <v>-1.2</v>
      </c>
    </row>
    <row r="70" spans="1:7" x14ac:dyDescent="0.25">
      <c r="A70" s="101" t="str">
        <f>'Data shares'!C66</f>
        <v>GAIL</v>
      </c>
      <c r="B70" s="144">
        <f>VLOOKUP($A70,'Data shares'!$C:$FA,7)</f>
        <v>180.17</v>
      </c>
      <c r="C70" s="144">
        <f>VLOOKUP($A70,'Data shares'!$C:$FA,3)</f>
        <v>179.96</v>
      </c>
      <c r="D70" s="144">
        <f>VLOOKUP($A70,'Data shares'!$C:$FA,23)</f>
        <v>-0.21</v>
      </c>
      <c r="E70" s="145">
        <f>VLOOKUP($A70,'Data shares'!$C:$FA,26)*100</f>
        <v>-0.12</v>
      </c>
      <c r="F70" s="144">
        <f>VLOOKUP($A70,'Data shares'!$C:$FA,24)</f>
        <v>-0.23</v>
      </c>
      <c r="G70" s="144">
        <f>VLOOKUP($A70,'Data shares'!$C:$FA,25)</f>
        <v>0.02</v>
      </c>
    </row>
    <row r="71" spans="1:7" x14ac:dyDescent="0.25">
      <c r="A71" s="101" t="str">
        <f>'Data shares'!C67</f>
        <v>GLENMARK</v>
      </c>
      <c r="B71" s="144">
        <f>VLOOKUP($A71,'Data shares'!$C:$FA,7)</f>
        <v>1812.7</v>
      </c>
      <c r="C71" s="144">
        <f>VLOOKUP($A71,'Data shares'!$C:$FA,3)</f>
        <v>1817.3</v>
      </c>
      <c r="D71" s="144">
        <f>VLOOKUP($A71,'Data shares'!$C:$FA,23)</f>
        <v>4.5999999999999996</v>
      </c>
      <c r="E71" s="145">
        <f>VLOOKUP($A71,'Data shares'!$C:$FA,26)*100</f>
        <v>0.25</v>
      </c>
      <c r="F71" s="144">
        <f>VLOOKUP($A71,'Data shares'!$C:$FA,24)</f>
        <v>-1.1000000000000001</v>
      </c>
      <c r="G71" s="144">
        <f>VLOOKUP($A71,'Data shares'!$C:$FA,25)</f>
        <v>5.7</v>
      </c>
    </row>
    <row r="72" spans="1:7" x14ac:dyDescent="0.25">
      <c r="A72" s="101" t="str">
        <f>'Data shares'!C68</f>
        <v>GMRAIRPORT</v>
      </c>
      <c r="B72" s="144">
        <f>VLOOKUP($A72,'Data shares'!$C:$FA,7)</f>
        <v>92.34</v>
      </c>
      <c r="C72" s="144">
        <f>VLOOKUP($A72,'Data shares'!$C:$FA,3)</f>
        <v>92.51</v>
      </c>
      <c r="D72" s="144">
        <f>VLOOKUP($A72,'Data shares'!$C:$FA,23)</f>
        <v>0.17</v>
      </c>
      <c r="E72" s="145">
        <f>VLOOKUP($A72,'Data shares'!$C:$FA,26)*100</f>
        <v>0.18</v>
      </c>
      <c r="F72" s="144">
        <f>VLOOKUP($A72,'Data shares'!$C:$FA,24)</f>
        <v>-7.0000000000000007E-2</v>
      </c>
      <c r="G72" s="144">
        <f>VLOOKUP($A72,'Data shares'!$C:$FA,25)</f>
        <v>0.24</v>
      </c>
    </row>
    <row r="73" spans="1:7" x14ac:dyDescent="0.25">
      <c r="A73" s="101" t="str">
        <f>'Data shares'!C69</f>
        <v>GODREJCP</v>
      </c>
      <c r="B73" s="144">
        <f>VLOOKUP($A73,'Data shares'!$C:$FA,7)</f>
        <v>1124.7</v>
      </c>
      <c r="C73" s="144">
        <f>VLOOKUP($A73,'Data shares'!$C:$FA,3)</f>
        <v>1128.0999999999999</v>
      </c>
      <c r="D73" s="144">
        <f>VLOOKUP($A73,'Data shares'!$C:$FA,23)</f>
        <v>3.4</v>
      </c>
      <c r="E73" s="145">
        <f>VLOOKUP($A73,'Data shares'!$C:$FA,26)*100</f>
        <v>0.3</v>
      </c>
      <c r="F73" s="144">
        <f>VLOOKUP($A73,'Data shares'!$C:$FA,24)</f>
        <v>-0.9</v>
      </c>
      <c r="G73" s="144">
        <f>VLOOKUP($A73,'Data shares'!$C:$FA,25)</f>
        <v>4.3</v>
      </c>
    </row>
    <row r="74" spans="1:7" x14ac:dyDescent="0.25">
      <c r="A74" s="101" t="str">
        <f>'Data shares'!C70</f>
        <v>GODREJPROP</v>
      </c>
      <c r="B74" s="144">
        <f>VLOOKUP($A74,'Data shares'!$C:$FA,7)</f>
        <v>2320.3000000000002</v>
      </c>
      <c r="C74" s="144">
        <f>VLOOKUP($A74,'Data shares'!$C:$FA,3)</f>
        <v>2318.1</v>
      </c>
      <c r="D74" s="144">
        <f>VLOOKUP($A74,'Data shares'!$C:$FA,23)</f>
        <v>-2.2000000000000002</v>
      </c>
      <c r="E74" s="145">
        <f>VLOOKUP($A74,'Data shares'!$C:$FA,26)*100</f>
        <v>-0.09</v>
      </c>
      <c r="F74" s="144">
        <f>VLOOKUP($A74,'Data shares'!$C:$FA,24)</f>
        <v>-3.2</v>
      </c>
      <c r="G74" s="144">
        <f>VLOOKUP($A74,'Data shares'!$C:$FA,25)</f>
        <v>1</v>
      </c>
    </row>
    <row r="75" spans="1:7" x14ac:dyDescent="0.25">
      <c r="A75" s="101" t="str">
        <f>'Data shares'!C71</f>
        <v>GRASIM</v>
      </c>
      <c r="B75" s="144">
        <f>VLOOKUP($A75,'Data shares'!$C:$FA,7)</f>
        <v>2923.9</v>
      </c>
      <c r="C75" s="144">
        <f>VLOOKUP($A75,'Data shares'!$C:$FA,3)</f>
        <v>2922.6</v>
      </c>
      <c r="D75" s="144">
        <f>VLOOKUP($A75,'Data shares'!$C:$FA,23)</f>
        <v>-1.3</v>
      </c>
      <c r="E75" s="145">
        <f>VLOOKUP($A75,'Data shares'!$C:$FA,26)*100</f>
        <v>-0.04</v>
      </c>
      <c r="F75" s="144">
        <f>VLOOKUP($A75,'Data shares'!$C:$FA,24)</f>
        <v>0.5</v>
      </c>
      <c r="G75" s="144">
        <f>VLOOKUP($A75,'Data shares'!$C:$FA,25)</f>
        <v>-1.8</v>
      </c>
    </row>
    <row r="76" spans="1:7" x14ac:dyDescent="0.25">
      <c r="A76" s="101" t="str">
        <f>'Data shares'!C72</f>
        <v>HAL</v>
      </c>
      <c r="B76" s="144">
        <f>VLOOKUP($A76,'Data shares'!$C:$FA,7)</f>
        <v>4756.8</v>
      </c>
      <c r="C76" s="144">
        <f>VLOOKUP($A76,'Data shares'!$C:$FA,3)</f>
        <v>4763.5</v>
      </c>
      <c r="D76" s="144">
        <f>VLOOKUP($A76,'Data shares'!$C:$FA,23)</f>
        <v>6.7</v>
      </c>
      <c r="E76" s="145">
        <f>VLOOKUP($A76,'Data shares'!$C:$FA,26)*100</f>
        <v>0.13999999999999999</v>
      </c>
      <c r="F76" s="144">
        <f>VLOOKUP($A76,'Data shares'!$C:$FA,24)</f>
        <v>1.2</v>
      </c>
      <c r="G76" s="144">
        <f>VLOOKUP($A76,'Data shares'!$C:$FA,25)</f>
        <v>5.5</v>
      </c>
    </row>
    <row r="77" spans="1:7" x14ac:dyDescent="0.25">
      <c r="A77" s="101" t="str">
        <f>'Data shares'!C73</f>
        <v>HAVELLS</v>
      </c>
      <c r="B77" s="144">
        <f>VLOOKUP($A77,'Data shares'!$C:$FA,7)</f>
        <v>1492.6</v>
      </c>
      <c r="C77" s="144">
        <f>VLOOKUP($A77,'Data shares'!$C:$FA,3)</f>
        <v>1492.1</v>
      </c>
      <c r="D77" s="144">
        <f>VLOOKUP($A77,'Data shares'!$C:$FA,23)</f>
        <v>-0.5</v>
      </c>
      <c r="E77" s="145">
        <f>VLOOKUP($A77,'Data shares'!$C:$FA,26)*100</f>
        <v>-0.03</v>
      </c>
      <c r="F77" s="144">
        <f>VLOOKUP($A77,'Data shares'!$C:$FA,24)</f>
        <v>0.2</v>
      </c>
      <c r="G77" s="144">
        <f>VLOOKUP($A77,'Data shares'!$C:$FA,25)</f>
        <v>-0.7</v>
      </c>
    </row>
    <row r="78" spans="1:7" x14ac:dyDescent="0.25">
      <c r="A78" s="101" t="str">
        <f>'Data shares'!C74</f>
        <v>HCLTECH</v>
      </c>
      <c r="B78" s="144">
        <f>VLOOKUP($A78,'Data shares'!$C:$FA,7)</f>
        <v>1533.5</v>
      </c>
      <c r="C78" s="144">
        <f>VLOOKUP($A78,'Data shares'!$C:$FA,3)</f>
        <v>1535.4</v>
      </c>
      <c r="D78" s="144">
        <f>VLOOKUP($A78,'Data shares'!$C:$FA,23)</f>
        <v>1.9</v>
      </c>
      <c r="E78" s="145">
        <f>VLOOKUP($A78,'Data shares'!$C:$FA,26)*100</f>
        <v>0.12</v>
      </c>
      <c r="F78" s="144">
        <f>VLOOKUP($A78,'Data shares'!$C:$FA,24)</f>
        <v>-1.2</v>
      </c>
      <c r="G78" s="144">
        <f>VLOOKUP($A78,'Data shares'!$C:$FA,25)</f>
        <v>3.1</v>
      </c>
    </row>
    <row r="79" spans="1:7" x14ac:dyDescent="0.25">
      <c r="A79" s="101" t="str">
        <f>'Data shares'!C75</f>
        <v>HDFCAMC</v>
      </c>
      <c r="B79" s="144">
        <f>VLOOKUP($A79,'Data shares'!$C:$FA,7)</f>
        <v>5559</v>
      </c>
      <c r="C79" s="144">
        <f>VLOOKUP($A79,'Data shares'!$C:$FA,3)</f>
        <v>5570</v>
      </c>
      <c r="D79" s="144">
        <f>VLOOKUP($A79,'Data shares'!$C:$FA,23)</f>
        <v>11</v>
      </c>
      <c r="E79" s="145">
        <f>VLOOKUP($A79,'Data shares'!$C:$FA,26)*100</f>
        <v>0.2</v>
      </c>
      <c r="F79" s="144">
        <f>VLOOKUP($A79,'Data shares'!$C:$FA,24)</f>
        <v>-7.5</v>
      </c>
      <c r="G79" s="144">
        <f>VLOOKUP($A79,'Data shares'!$C:$FA,25)</f>
        <v>18.5</v>
      </c>
    </row>
    <row r="80" spans="1:7" x14ac:dyDescent="0.25">
      <c r="A80" s="101" t="str">
        <f>'Data shares'!C76</f>
        <v>HDFCBANK</v>
      </c>
      <c r="B80" s="144">
        <f>VLOOKUP($A80,'Data shares'!$C:$FA,7)</f>
        <v>1002.95</v>
      </c>
      <c r="C80" s="144">
        <f>VLOOKUP($A80,'Data shares'!$C:$FA,3)</f>
        <v>1004.3</v>
      </c>
      <c r="D80" s="144">
        <f>VLOOKUP($A80,'Data shares'!$C:$FA,23)</f>
        <v>1.35</v>
      </c>
      <c r="E80" s="145">
        <f>VLOOKUP($A80,'Data shares'!$C:$FA,26)*100</f>
        <v>0.13</v>
      </c>
      <c r="F80" s="144">
        <f>VLOOKUP($A80,'Data shares'!$C:$FA,24)</f>
        <v>-0.6</v>
      </c>
      <c r="G80" s="144">
        <f>VLOOKUP($A80,'Data shares'!$C:$FA,25)</f>
        <v>1.95</v>
      </c>
    </row>
    <row r="81" spans="1:7" x14ac:dyDescent="0.25">
      <c r="A81" s="101" t="str">
        <f>'Data shares'!C77</f>
        <v>HDFCLIFE</v>
      </c>
      <c r="B81" s="144">
        <f>VLOOKUP($A81,'Data shares'!$C:$FA,7)</f>
        <v>737.25</v>
      </c>
      <c r="C81" s="144">
        <f>VLOOKUP($A81,'Data shares'!$C:$FA,3)</f>
        <v>739.3</v>
      </c>
      <c r="D81" s="144">
        <f>VLOOKUP($A81,'Data shares'!$C:$FA,23)</f>
        <v>2.0499999999999998</v>
      </c>
      <c r="E81" s="145">
        <f>VLOOKUP($A81,'Data shares'!$C:$FA,26)*100</f>
        <v>0.27999999999999997</v>
      </c>
      <c r="F81" s="144">
        <f>VLOOKUP($A81,'Data shares'!$C:$FA,24)</f>
        <v>0.85</v>
      </c>
      <c r="G81" s="144">
        <f>VLOOKUP($A81,'Data shares'!$C:$FA,25)</f>
        <v>1.2</v>
      </c>
    </row>
    <row r="82" spans="1:7" x14ac:dyDescent="0.25">
      <c r="A82" s="101" t="str">
        <f>'Data shares'!C78</f>
        <v>HEROMOTOCO</v>
      </c>
      <c r="B82" s="144">
        <f>VLOOKUP($A82,'Data shares'!$C:$FA,7)</f>
        <v>5646.5</v>
      </c>
      <c r="C82" s="144">
        <f>VLOOKUP($A82,'Data shares'!$C:$FA,3)</f>
        <v>5650</v>
      </c>
      <c r="D82" s="144">
        <f>VLOOKUP($A82,'Data shares'!$C:$FA,23)</f>
        <v>3.5</v>
      </c>
      <c r="E82" s="145">
        <f>VLOOKUP($A82,'Data shares'!$C:$FA,26)*100</f>
        <v>0.06</v>
      </c>
      <c r="F82" s="144">
        <f>VLOOKUP($A82,'Data shares'!$C:$FA,24)</f>
        <v>-5.5</v>
      </c>
      <c r="G82" s="144">
        <f>VLOOKUP($A82,'Data shares'!$C:$FA,25)</f>
        <v>9</v>
      </c>
    </row>
    <row r="83" spans="1:7" x14ac:dyDescent="0.25">
      <c r="A83" s="101" t="str">
        <f>'Data shares'!C79</f>
        <v>HFCL</v>
      </c>
      <c r="B83" s="144">
        <f>VLOOKUP($A83,'Data shares'!$C:$FA,7)</f>
        <v>76.849999999999994</v>
      </c>
      <c r="C83" s="144">
        <f>VLOOKUP($A83,'Data shares'!$C:$FA,3)</f>
        <v>76.86</v>
      </c>
      <c r="D83" s="144">
        <f>VLOOKUP($A83,'Data shares'!$C:$FA,23)</f>
        <v>0.01</v>
      </c>
      <c r="E83" s="145">
        <f>VLOOKUP($A83,'Data shares'!$C:$FA,26)*100</f>
        <v>0.01</v>
      </c>
      <c r="F83" s="144">
        <f>VLOOKUP($A83,'Data shares'!$C:$FA,24)</f>
        <v>0.06</v>
      </c>
      <c r="G83" s="144">
        <f>VLOOKUP($A83,'Data shares'!$C:$FA,25)</f>
        <v>-0.05</v>
      </c>
    </row>
    <row r="84" spans="1:7" x14ac:dyDescent="0.25">
      <c r="A84" s="101" t="str">
        <f>'Data shares'!C80</f>
        <v>HINDALCO</v>
      </c>
      <c r="B84" s="144">
        <f>VLOOKUP($A84,'Data shares'!$C:$FA,7)</f>
        <v>840.85</v>
      </c>
      <c r="C84" s="144">
        <f>VLOOKUP($A84,'Data shares'!$C:$FA,3)</f>
        <v>840.8</v>
      </c>
      <c r="D84" s="144">
        <f>VLOOKUP($A84,'Data shares'!$C:$FA,23)</f>
        <v>-0.05</v>
      </c>
      <c r="E84" s="145">
        <f>VLOOKUP($A84,'Data shares'!$C:$FA,26)*100</f>
        <v>-0.01</v>
      </c>
      <c r="F84" s="144">
        <f>VLOOKUP($A84,'Data shares'!$C:$FA,24)</f>
        <v>-1.8</v>
      </c>
      <c r="G84" s="144">
        <f>VLOOKUP($A84,'Data shares'!$C:$FA,25)</f>
        <v>1.75</v>
      </c>
    </row>
    <row r="85" spans="1:7" x14ac:dyDescent="0.25">
      <c r="A85" s="101" t="str">
        <f>'Data shares'!C81</f>
        <v>HINDPETRO</v>
      </c>
      <c r="B85" s="144">
        <f>VLOOKUP($A85,'Data shares'!$C:$FA,7)</f>
        <v>453.75</v>
      </c>
      <c r="C85" s="144">
        <f>VLOOKUP($A85,'Data shares'!$C:$FA,3)</f>
        <v>453.25</v>
      </c>
      <c r="D85" s="144">
        <f>VLOOKUP($A85,'Data shares'!$C:$FA,23)</f>
        <v>-0.5</v>
      </c>
      <c r="E85" s="145">
        <f>VLOOKUP($A85,'Data shares'!$C:$FA,26)*100</f>
        <v>-0.11</v>
      </c>
      <c r="F85" s="144">
        <f>VLOOKUP($A85,'Data shares'!$C:$FA,24)</f>
        <v>0.35</v>
      </c>
      <c r="G85" s="144">
        <f>VLOOKUP($A85,'Data shares'!$C:$FA,25)</f>
        <v>-0.85</v>
      </c>
    </row>
    <row r="86" spans="1:7" x14ac:dyDescent="0.25">
      <c r="A86" s="101" t="str">
        <f>'Data shares'!C82</f>
        <v>HINDUNILVR</v>
      </c>
      <c r="B86" s="144">
        <f>VLOOKUP($A86,'Data shares'!$C:$FA,7)</f>
        <v>2511.8000000000002</v>
      </c>
      <c r="C86" s="144">
        <f>VLOOKUP($A86,'Data shares'!$C:$FA,3)</f>
        <v>2517.1999999999998</v>
      </c>
      <c r="D86" s="144">
        <f>VLOOKUP($A86,'Data shares'!$C:$FA,23)</f>
        <v>5.4</v>
      </c>
      <c r="E86" s="145">
        <f>VLOOKUP($A86,'Data shares'!$C:$FA,26)*100</f>
        <v>0.21</v>
      </c>
      <c r="F86" s="144">
        <f>VLOOKUP($A86,'Data shares'!$C:$FA,24)</f>
        <v>-2.6</v>
      </c>
      <c r="G86" s="144">
        <f>VLOOKUP($A86,'Data shares'!$C:$FA,25)</f>
        <v>8</v>
      </c>
    </row>
    <row r="87" spans="1:7" x14ac:dyDescent="0.25">
      <c r="A87" s="101" t="str">
        <f>'Data shares'!C83</f>
        <v>HINDZINC</v>
      </c>
      <c r="B87" s="144">
        <f>VLOOKUP($A87,'Data shares'!$C:$FA,7)</f>
        <v>482.3</v>
      </c>
      <c r="C87" s="144">
        <f>VLOOKUP($A87,'Data shares'!$C:$FA,3)</f>
        <v>483.15</v>
      </c>
      <c r="D87" s="144">
        <f>VLOOKUP($A87,'Data shares'!$C:$FA,23)</f>
        <v>0.85</v>
      </c>
      <c r="E87" s="145">
        <f>VLOOKUP($A87,'Data shares'!$C:$FA,26)*100</f>
        <v>0.18</v>
      </c>
      <c r="F87" s="144">
        <f>VLOOKUP($A87,'Data shares'!$C:$FA,24)</f>
        <v>0.5</v>
      </c>
      <c r="G87" s="144">
        <f>VLOOKUP($A87,'Data shares'!$C:$FA,25)</f>
        <v>0.35</v>
      </c>
    </row>
    <row r="88" spans="1:7" x14ac:dyDescent="0.25">
      <c r="A88" s="101" t="str">
        <f>'Data shares'!C84</f>
        <v>HUDCO</v>
      </c>
      <c r="B88" s="144">
        <f>VLOOKUP($A88,'Data shares'!$C:$FA,7)</f>
        <v>227.01</v>
      </c>
      <c r="C88" s="144">
        <f>VLOOKUP($A88,'Data shares'!$C:$FA,3)</f>
        <v>227.44</v>
      </c>
      <c r="D88" s="144">
        <f>VLOOKUP($A88,'Data shares'!$C:$FA,23)</f>
        <v>0.43</v>
      </c>
      <c r="E88" s="145">
        <f>VLOOKUP($A88,'Data shares'!$C:$FA,26)*100</f>
        <v>0.19</v>
      </c>
      <c r="F88" s="144">
        <f>VLOOKUP($A88,'Data shares'!$C:$FA,24)</f>
        <v>0.11</v>
      </c>
      <c r="G88" s="144">
        <f>VLOOKUP($A88,'Data shares'!$C:$FA,25)</f>
        <v>0.32</v>
      </c>
    </row>
    <row r="89" spans="1:7" x14ac:dyDescent="0.25">
      <c r="A89" s="101" t="str">
        <f>'Data shares'!C85</f>
        <v>ICICIBANK</v>
      </c>
      <c r="B89" s="144">
        <f>VLOOKUP($A89,'Data shares'!$C:$FA,7)</f>
        <v>1377.6</v>
      </c>
      <c r="C89" s="144">
        <f>VLOOKUP($A89,'Data shares'!$C:$FA,3)</f>
        <v>1378</v>
      </c>
      <c r="D89" s="144">
        <f>VLOOKUP($A89,'Data shares'!$C:$FA,23)</f>
        <v>0.4</v>
      </c>
      <c r="E89" s="145">
        <f>VLOOKUP($A89,'Data shares'!$C:$FA,26)*100</f>
        <v>0.03</v>
      </c>
      <c r="F89" s="144">
        <f>VLOOKUP($A89,'Data shares'!$C:$FA,24)</f>
        <v>0.3</v>
      </c>
      <c r="G89" s="144">
        <f>VLOOKUP($A89,'Data shares'!$C:$FA,25)</f>
        <v>0.1</v>
      </c>
    </row>
    <row r="90" spans="1:7" x14ac:dyDescent="0.25">
      <c r="A90" s="101" t="str">
        <f>'Data shares'!C86</f>
        <v>ICICIGI</v>
      </c>
      <c r="B90" s="144">
        <f>VLOOKUP($A90,'Data shares'!$C:$FA,7)</f>
        <v>1986.4</v>
      </c>
      <c r="C90" s="144">
        <f>VLOOKUP($A90,'Data shares'!$C:$FA,3)</f>
        <v>1989.3</v>
      </c>
      <c r="D90" s="144">
        <f>VLOOKUP($A90,'Data shares'!$C:$FA,23)</f>
        <v>2.9</v>
      </c>
      <c r="E90" s="145">
        <f>VLOOKUP($A90,'Data shares'!$C:$FA,26)*100</f>
        <v>0.15</v>
      </c>
      <c r="F90" s="144">
        <f>VLOOKUP($A90,'Data shares'!$C:$FA,24)</f>
        <v>-1.8</v>
      </c>
      <c r="G90" s="144">
        <f>VLOOKUP($A90,'Data shares'!$C:$FA,25)</f>
        <v>4.7</v>
      </c>
    </row>
    <row r="91" spans="1:7" x14ac:dyDescent="0.25">
      <c r="A91" s="101" t="str">
        <f>'Data shares'!C87</f>
        <v>ICICIPRULI</v>
      </c>
      <c r="B91" s="144">
        <f>VLOOKUP($A91,'Data shares'!$C:$FA,7)</f>
        <v>600.75</v>
      </c>
      <c r="C91" s="144">
        <f>VLOOKUP($A91,'Data shares'!$C:$FA,3)</f>
        <v>601.6</v>
      </c>
      <c r="D91" s="144">
        <f>VLOOKUP($A91,'Data shares'!$C:$FA,23)</f>
        <v>0.85</v>
      </c>
      <c r="E91" s="145">
        <f>VLOOKUP($A91,'Data shares'!$C:$FA,26)*100</f>
        <v>0.13999999999999999</v>
      </c>
      <c r="F91" s="144">
        <f>VLOOKUP($A91,'Data shares'!$C:$FA,24)</f>
        <v>-0.45</v>
      </c>
      <c r="G91" s="144">
        <f>VLOOKUP($A91,'Data shares'!$C:$FA,25)</f>
        <v>1.3</v>
      </c>
    </row>
    <row r="92" spans="1:7" x14ac:dyDescent="0.25">
      <c r="A92" s="101" t="str">
        <f>'Data shares'!C88</f>
        <v>IDEA</v>
      </c>
      <c r="B92" s="144">
        <f>VLOOKUP($A92,'Data shares'!$C:$FA,7)</f>
        <v>9.9700000000000006</v>
      </c>
      <c r="C92" s="144">
        <f>VLOOKUP($A92,'Data shares'!$C:$FA,3)</f>
        <v>9.99</v>
      </c>
      <c r="D92" s="144">
        <f>VLOOKUP($A92,'Data shares'!$C:$FA,23)</f>
        <v>0.02</v>
      </c>
      <c r="E92" s="145">
        <f>VLOOKUP($A92,'Data shares'!$C:$FA,26)*100</f>
        <v>0.2</v>
      </c>
      <c r="F92" s="144">
        <f>VLOOKUP($A92,'Data shares'!$C:$FA,24)</f>
        <v>0.02</v>
      </c>
      <c r="G92" s="144">
        <f>VLOOKUP($A92,'Data shares'!$C:$FA,25)</f>
        <v>0</v>
      </c>
    </row>
    <row r="93" spans="1:7" x14ac:dyDescent="0.25">
      <c r="A93" s="101" t="str">
        <f>'Data shares'!C89</f>
        <v>IDFCFIRSTB</v>
      </c>
      <c r="B93" s="144">
        <f>VLOOKUP($A93,'Data shares'!$C:$FA,7)</f>
        <v>78.03</v>
      </c>
      <c r="C93" s="144">
        <f>VLOOKUP($A93,'Data shares'!$C:$FA,3)</f>
        <v>78.13</v>
      </c>
      <c r="D93" s="144">
        <f>VLOOKUP($A93,'Data shares'!$C:$FA,23)</f>
        <v>0.1</v>
      </c>
      <c r="E93" s="145">
        <f>VLOOKUP($A93,'Data shares'!$C:$FA,26)*100</f>
        <v>0.13</v>
      </c>
      <c r="F93" s="144">
        <f>VLOOKUP($A93,'Data shares'!$C:$FA,24)</f>
        <v>0.04</v>
      </c>
      <c r="G93" s="144">
        <f>VLOOKUP($A93,'Data shares'!$C:$FA,25)</f>
        <v>0.06</v>
      </c>
    </row>
    <row r="94" spans="1:7" x14ac:dyDescent="0.25">
      <c r="A94" s="101" t="str">
        <f>'Data shares'!C90</f>
        <v>IEX</v>
      </c>
      <c r="B94" s="144">
        <f>VLOOKUP($A94,'Data shares'!$C:$FA,7)</f>
        <v>147.13999999999999</v>
      </c>
      <c r="C94" s="144">
        <f>VLOOKUP($A94,'Data shares'!$C:$FA,3)</f>
        <v>147.16</v>
      </c>
      <c r="D94" s="144">
        <f>VLOOKUP($A94,'Data shares'!$C:$FA,23)</f>
        <v>0.02</v>
      </c>
      <c r="E94" s="145">
        <f>VLOOKUP($A94,'Data shares'!$C:$FA,26)*100</f>
        <v>0.01</v>
      </c>
      <c r="F94" s="144">
        <f>VLOOKUP($A94,'Data shares'!$C:$FA,24)</f>
        <v>0.33</v>
      </c>
      <c r="G94" s="144">
        <f>VLOOKUP($A94,'Data shares'!$C:$FA,25)</f>
        <v>-0.31</v>
      </c>
    </row>
    <row r="95" spans="1:7" x14ac:dyDescent="0.25">
      <c r="A95" s="101" t="str">
        <f>'Data shares'!C91</f>
        <v>IGL</v>
      </c>
      <c r="B95" s="144">
        <f>VLOOKUP($A95,'Data shares'!$C:$FA,7)</f>
        <v>213.47</v>
      </c>
      <c r="C95" s="144">
        <f>VLOOKUP($A95,'Data shares'!$C:$FA,3)</f>
        <v>213.88</v>
      </c>
      <c r="D95" s="144">
        <f>VLOOKUP($A95,'Data shares'!$C:$FA,23)</f>
        <v>0.41</v>
      </c>
      <c r="E95" s="145">
        <f>VLOOKUP($A95,'Data shares'!$C:$FA,26)*100</f>
        <v>0.19</v>
      </c>
      <c r="F95" s="144">
        <f>VLOOKUP($A95,'Data shares'!$C:$FA,24)</f>
        <v>0.4</v>
      </c>
      <c r="G95" s="144">
        <f>VLOOKUP($A95,'Data shares'!$C:$FA,25)</f>
        <v>0.01</v>
      </c>
    </row>
    <row r="96" spans="1:7" x14ac:dyDescent="0.25">
      <c r="A96" s="101" t="str">
        <f>'Data shares'!C92</f>
        <v>IIFL</v>
      </c>
      <c r="B96" s="144">
        <f>VLOOKUP($A96,'Data shares'!$C:$FA,7)</f>
        <v>505.35</v>
      </c>
      <c r="C96" s="144">
        <f>VLOOKUP($A96,'Data shares'!$C:$FA,3)</f>
        <v>505.75</v>
      </c>
      <c r="D96" s="144">
        <f>VLOOKUP($A96,'Data shares'!$C:$FA,23)</f>
        <v>0.4</v>
      </c>
      <c r="E96" s="145">
        <f>VLOOKUP($A96,'Data shares'!$C:$FA,26)*100</f>
        <v>0.08</v>
      </c>
      <c r="F96" s="144">
        <f>VLOOKUP($A96,'Data shares'!$C:$FA,24)</f>
        <v>0.45</v>
      </c>
      <c r="G96" s="144">
        <f>VLOOKUP($A96,'Data shares'!$C:$FA,25)</f>
        <v>-0.05</v>
      </c>
    </row>
    <row r="97" spans="1:7" x14ac:dyDescent="0.25">
      <c r="A97" s="101" t="str">
        <f>'Data shares'!C93</f>
        <v>INDHOTEL</v>
      </c>
      <c r="B97" s="144">
        <f>VLOOKUP($A97,'Data shares'!$C:$FA,7)</f>
        <v>746.55</v>
      </c>
      <c r="C97" s="144">
        <f>VLOOKUP($A97,'Data shares'!$C:$FA,3)</f>
        <v>746.45</v>
      </c>
      <c r="D97" s="144">
        <f>VLOOKUP($A97,'Data shares'!$C:$FA,23)</f>
        <v>-0.1</v>
      </c>
      <c r="E97" s="145">
        <f>VLOOKUP($A97,'Data shares'!$C:$FA,26)*100</f>
        <v>-0.01</v>
      </c>
      <c r="F97" s="144">
        <f>VLOOKUP($A97,'Data shares'!$C:$FA,24)</f>
        <v>-0.9</v>
      </c>
      <c r="G97" s="144">
        <f>VLOOKUP($A97,'Data shares'!$C:$FA,25)</f>
        <v>0.8</v>
      </c>
    </row>
    <row r="98" spans="1:7" x14ac:dyDescent="0.25">
      <c r="A98" s="101" t="str">
        <f>'Data shares'!C94</f>
        <v>INDIANB</v>
      </c>
      <c r="B98" s="144">
        <f>VLOOKUP($A98,'Data shares'!$C:$FA,7)</f>
        <v>825.85</v>
      </c>
      <c r="C98" s="144">
        <f>VLOOKUP($A98,'Data shares'!$C:$FA,3)</f>
        <v>829.9</v>
      </c>
      <c r="D98" s="144">
        <f>VLOOKUP($A98,'Data shares'!$C:$FA,23)</f>
        <v>4.05</v>
      </c>
      <c r="E98" s="145">
        <f>VLOOKUP($A98,'Data shares'!$C:$FA,26)*100</f>
        <v>0.49</v>
      </c>
      <c r="F98" s="144">
        <f>VLOOKUP($A98,'Data shares'!$C:$FA,24)</f>
        <v>0</v>
      </c>
      <c r="G98" s="144">
        <f>VLOOKUP($A98,'Data shares'!$C:$FA,25)</f>
        <v>4.05</v>
      </c>
    </row>
    <row r="99" spans="1:7" x14ac:dyDescent="0.25">
      <c r="A99" s="101" t="str">
        <f>'Data shares'!C95</f>
        <v>INDIAVIX</v>
      </c>
      <c r="B99" s="144">
        <f>VLOOKUP($A99,'Data shares'!$C:$FA,7)</f>
        <v>11.86</v>
      </c>
      <c r="C99" s="144">
        <f>VLOOKUP($A99,'Data shares'!$C:$FA,3)</f>
        <v>11.86</v>
      </c>
      <c r="D99" s="144">
        <f>VLOOKUP($A99,'Data shares'!$C:$FA,23)</f>
        <v>0</v>
      </c>
      <c r="E99" s="145">
        <f>VLOOKUP($A99,'Data shares'!$C:$FA,26)*100</f>
        <v>0</v>
      </c>
      <c r="F99" s="144">
        <f>VLOOKUP($A99,'Data shares'!$C:$FA,24)</f>
        <v>0</v>
      </c>
      <c r="G99" s="144">
        <f>VLOOKUP($A99,'Data shares'!$C:$FA,25)</f>
        <v>0</v>
      </c>
    </row>
    <row r="100" spans="1:7" x14ac:dyDescent="0.25">
      <c r="A100" s="101" t="str">
        <f>'Data shares'!C96</f>
        <v>INDIGO</v>
      </c>
      <c r="B100" s="144">
        <f>VLOOKUP($A100,'Data shares'!$C:$FA,7)</f>
        <v>5835</v>
      </c>
      <c r="C100" s="144">
        <f>VLOOKUP($A100,'Data shares'!$C:$FA,3)</f>
        <v>5836.5</v>
      </c>
      <c r="D100" s="144">
        <f>VLOOKUP($A100,'Data shares'!$C:$FA,23)</f>
        <v>1.5</v>
      </c>
      <c r="E100" s="145">
        <f>VLOOKUP($A100,'Data shares'!$C:$FA,26)*100</f>
        <v>0.03</v>
      </c>
      <c r="F100" s="144">
        <f>VLOOKUP($A100,'Data shares'!$C:$FA,24)</f>
        <v>-14</v>
      </c>
      <c r="G100" s="144">
        <f>VLOOKUP($A100,'Data shares'!$C:$FA,25)</f>
        <v>15.5</v>
      </c>
    </row>
    <row r="101" spans="1:7" x14ac:dyDescent="0.25">
      <c r="A101" s="101" t="str">
        <f>'Data shares'!C97</f>
        <v>INDUSINDBK</v>
      </c>
      <c r="B101" s="144">
        <f>VLOOKUP($A101,'Data shares'!$C:$FA,7)</f>
        <v>770.05</v>
      </c>
      <c r="C101" s="144">
        <f>VLOOKUP($A101,'Data shares'!$C:$FA,3)</f>
        <v>770</v>
      </c>
      <c r="D101" s="144">
        <f>VLOOKUP($A101,'Data shares'!$C:$FA,23)</f>
        <v>-0.05</v>
      </c>
      <c r="E101" s="145">
        <f>VLOOKUP($A101,'Data shares'!$C:$FA,26)*100</f>
        <v>-0.01</v>
      </c>
      <c r="F101" s="144">
        <f>VLOOKUP($A101,'Data shares'!$C:$FA,24)</f>
        <v>-0.65</v>
      </c>
      <c r="G101" s="144">
        <f>VLOOKUP($A101,'Data shares'!$C:$FA,25)</f>
        <v>0.6</v>
      </c>
    </row>
    <row r="102" spans="1:7" x14ac:dyDescent="0.25">
      <c r="A102" s="101" t="str">
        <f>'Data shares'!C98</f>
        <v>INDUSTOWER</v>
      </c>
      <c r="B102" s="144">
        <f>VLOOKUP($A102,'Data shares'!$C:$FA,7)</f>
        <v>371.3</v>
      </c>
      <c r="C102" s="144">
        <f>VLOOKUP($A102,'Data shares'!$C:$FA,3)</f>
        <v>372.05</v>
      </c>
      <c r="D102" s="144">
        <f>VLOOKUP($A102,'Data shares'!$C:$FA,23)</f>
        <v>0.75</v>
      </c>
      <c r="E102" s="145">
        <f>VLOOKUP($A102,'Data shares'!$C:$FA,26)*100</f>
        <v>0.2</v>
      </c>
      <c r="F102" s="144">
        <f>VLOOKUP($A102,'Data shares'!$C:$FA,24)</f>
        <v>0.65</v>
      </c>
      <c r="G102" s="144">
        <f>VLOOKUP($A102,'Data shares'!$C:$FA,25)</f>
        <v>0.1</v>
      </c>
    </row>
    <row r="103" spans="1:7" x14ac:dyDescent="0.25">
      <c r="A103" s="101" t="str">
        <f>'Data shares'!C99</f>
        <v>INFY</v>
      </c>
      <c r="B103" s="144">
        <f>VLOOKUP($A103,'Data shares'!$C:$FA,7)</f>
        <v>1504.5</v>
      </c>
      <c r="C103" s="144">
        <f>VLOOKUP($A103,'Data shares'!$C:$FA,3)</f>
        <v>1505.4</v>
      </c>
      <c r="D103" s="144">
        <f>VLOOKUP($A103,'Data shares'!$C:$FA,23)</f>
        <v>0.9</v>
      </c>
      <c r="E103" s="145">
        <f>VLOOKUP($A103,'Data shares'!$C:$FA,26)*100</f>
        <v>0.06</v>
      </c>
      <c r="F103" s="144">
        <f>VLOOKUP($A103,'Data shares'!$C:$FA,24)</f>
        <v>-24.1</v>
      </c>
      <c r="G103" s="144">
        <f>VLOOKUP($A103,'Data shares'!$C:$FA,25)</f>
        <v>25</v>
      </c>
    </row>
    <row r="104" spans="1:7" x14ac:dyDescent="0.25">
      <c r="A104" s="101" t="str">
        <f>'Data shares'!C100</f>
        <v>INOXWIND</v>
      </c>
      <c r="B104" s="144">
        <f>VLOOKUP($A104,'Data shares'!$C:$FA,7)</f>
        <v>153.1</v>
      </c>
      <c r="C104" s="144">
        <f>VLOOKUP($A104,'Data shares'!$C:$FA,3)</f>
        <v>153.22</v>
      </c>
      <c r="D104" s="144">
        <f>VLOOKUP($A104,'Data shares'!$C:$FA,23)</f>
        <v>0.12</v>
      </c>
      <c r="E104" s="145">
        <f>VLOOKUP($A104,'Data shares'!$C:$FA,26)*100</f>
        <v>0.08</v>
      </c>
      <c r="F104" s="144">
        <f>VLOOKUP($A104,'Data shares'!$C:$FA,24)</f>
        <v>-0.23</v>
      </c>
      <c r="G104" s="144">
        <f>VLOOKUP($A104,'Data shares'!$C:$FA,25)</f>
        <v>0.35</v>
      </c>
    </row>
    <row r="105" spans="1:7" x14ac:dyDescent="0.25">
      <c r="A105" s="101" t="str">
        <f>'Data shares'!C101</f>
        <v>IOC</v>
      </c>
      <c r="B105" s="144">
        <f>VLOOKUP($A105,'Data shares'!$C:$FA,7)</f>
        <v>155.19999999999999</v>
      </c>
      <c r="C105" s="144">
        <f>VLOOKUP($A105,'Data shares'!$C:$FA,3)</f>
        <v>155.16</v>
      </c>
      <c r="D105" s="144">
        <f>VLOOKUP($A105,'Data shares'!$C:$FA,23)</f>
        <v>-0.04</v>
      </c>
      <c r="E105" s="145">
        <f>VLOOKUP($A105,'Data shares'!$C:$FA,26)*100</f>
        <v>-0.03</v>
      </c>
      <c r="F105" s="144">
        <f>VLOOKUP($A105,'Data shares'!$C:$FA,24)</f>
        <v>0</v>
      </c>
      <c r="G105" s="144">
        <f>VLOOKUP($A105,'Data shares'!$C:$FA,25)</f>
        <v>-0.04</v>
      </c>
    </row>
    <row r="106" spans="1:7" x14ac:dyDescent="0.25">
      <c r="A106" s="101" t="str">
        <f>'Data shares'!C102</f>
        <v>IRCTC</v>
      </c>
      <c r="B106" s="144">
        <f>VLOOKUP($A106,'Data shares'!$C:$FA,7)</f>
        <v>724.1</v>
      </c>
      <c r="C106" s="144">
        <f>VLOOKUP($A106,'Data shares'!$C:$FA,3)</f>
        <v>723.35</v>
      </c>
      <c r="D106" s="144">
        <f>VLOOKUP($A106,'Data shares'!$C:$FA,23)</f>
        <v>-0.75</v>
      </c>
      <c r="E106" s="145">
        <f>VLOOKUP($A106,'Data shares'!$C:$FA,26)*100</f>
        <v>-0.1</v>
      </c>
      <c r="F106" s="144">
        <f>VLOOKUP($A106,'Data shares'!$C:$FA,24)</f>
        <v>1.75</v>
      </c>
      <c r="G106" s="144">
        <f>VLOOKUP($A106,'Data shares'!$C:$FA,25)</f>
        <v>-2.5</v>
      </c>
    </row>
    <row r="107" spans="1:7" x14ac:dyDescent="0.25">
      <c r="A107" s="101" t="str">
        <f>'Data shares'!C103</f>
        <v>IREDA</v>
      </c>
      <c r="B107" s="144">
        <f>VLOOKUP($A107,'Data shares'!$C:$FA,7)</f>
        <v>153.37</v>
      </c>
      <c r="C107" s="144">
        <f>VLOOKUP($A107,'Data shares'!$C:$FA,3)</f>
        <v>153.79</v>
      </c>
      <c r="D107" s="144">
        <f>VLOOKUP($A107,'Data shares'!$C:$FA,23)</f>
        <v>0.42</v>
      </c>
      <c r="E107" s="145">
        <f>VLOOKUP($A107,'Data shares'!$C:$FA,26)*100</f>
        <v>0.27</v>
      </c>
      <c r="F107" s="144">
        <f>VLOOKUP($A107,'Data shares'!$C:$FA,24)</f>
        <v>0.46</v>
      </c>
      <c r="G107" s="144">
        <f>VLOOKUP($A107,'Data shares'!$C:$FA,25)</f>
        <v>-0.04</v>
      </c>
    </row>
    <row r="108" spans="1:7" x14ac:dyDescent="0.25">
      <c r="A108" s="101" t="str">
        <f>'Data shares'!C104</f>
        <v>IRFC</v>
      </c>
      <c r="B108" s="144">
        <f>VLOOKUP($A108,'Data shares'!$C:$FA,7)</f>
        <v>123.45</v>
      </c>
      <c r="C108" s="144">
        <f>VLOOKUP($A108,'Data shares'!$C:$FA,3)</f>
        <v>123.66</v>
      </c>
      <c r="D108" s="144">
        <f>VLOOKUP($A108,'Data shares'!$C:$FA,23)</f>
        <v>0.21</v>
      </c>
      <c r="E108" s="145">
        <f>VLOOKUP($A108,'Data shares'!$C:$FA,26)*100</f>
        <v>0.16999999999999998</v>
      </c>
      <c r="F108" s="144">
        <f>VLOOKUP($A108,'Data shares'!$C:$FA,24)</f>
        <v>-0.11</v>
      </c>
      <c r="G108" s="144">
        <f>VLOOKUP($A108,'Data shares'!$C:$FA,25)</f>
        <v>0.32</v>
      </c>
    </row>
    <row r="109" spans="1:7" x14ac:dyDescent="0.25">
      <c r="A109" s="101" t="str">
        <f>'Data shares'!C105</f>
        <v>ITC</v>
      </c>
      <c r="B109" s="144">
        <f>VLOOKUP($A109,'Data shares'!$C:$FA,7)</f>
        <v>420.65</v>
      </c>
      <c r="C109" s="144">
        <f>VLOOKUP($A109,'Data shares'!$C:$FA,3)</f>
        <v>420.7</v>
      </c>
      <c r="D109" s="144">
        <f>VLOOKUP($A109,'Data shares'!$C:$FA,23)</f>
        <v>0.05</v>
      </c>
      <c r="E109" s="145">
        <f>VLOOKUP($A109,'Data shares'!$C:$FA,26)*100</f>
        <v>0.01</v>
      </c>
      <c r="F109" s="144">
        <f>VLOOKUP($A109,'Data shares'!$C:$FA,24)</f>
        <v>0.55000000000000004</v>
      </c>
      <c r="G109" s="144">
        <f>VLOOKUP($A109,'Data shares'!$C:$FA,25)</f>
        <v>-0.5</v>
      </c>
    </row>
    <row r="110" spans="1:7" x14ac:dyDescent="0.25">
      <c r="A110" s="101" t="str">
        <f>'Data shares'!C106</f>
        <v>JINDALSTEL</v>
      </c>
      <c r="B110" s="144">
        <f>VLOOKUP($A110,'Data shares'!$C:$FA,7)</f>
        <v>1034.3</v>
      </c>
      <c r="C110" s="144">
        <f>VLOOKUP($A110,'Data shares'!$C:$FA,3)</f>
        <v>1033.8</v>
      </c>
      <c r="D110" s="144">
        <f>VLOOKUP($A110,'Data shares'!$C:$FA,23)</f>
        <v>-0.5</v>
      </c>
      <c r="E110" s="145">
        <f>VLOOKUP($A110,'Data shares'!$C:$FA,26)*100</f>
        <v>-0.05</v>
      </c>
      <c r="F110" s="144">
        <f>VLOOKUP($A110,'Data shares'!$C:$FA,24)</f>
        <v>-0.7</v>
      </c>
      <c r="G110" s="144">
        <f>VLOOKUP($A110,'Data shares'!$C:$FA,25)</f>
        <v>0.2</v>
      </c>
    </row>
    <row r="111" spans="1:7" x14ac:dyDescent="0.25">
      <c r="A111" s="101" t="str">
        <f>'Data shares'!C107</f>
        <v>JIOFIN</v>
      </c>
      <c r="B111" s="144">
        <f>VLOOKUP($A111,'Data shares'!$C:$FA,7)</f>
        <v>305.55</v>
      </c>
      <c r="C111" s="144">
        <f>VLOOKUP($A111,'Data shares'!$C:$FA,3)</f>
        <v>305.85000000000002</v>
      </c>
      <c r="D111" s="144">
        <f>VLOOKUP($A111,'Data shares'!$C:$FA,23)</f>
        <v>0.3</v>
      </c>
      <c r="E111" s="145">
        <f>VLOOKUP($A111,'Data shares'!$C:$FA,26)*100</f>
        <v>0.1</v>
      </c>
      <c r="F111" s="144">
        <f>VLOOKUP($A111,'Data shares'!$C:$FA,24)</f>
        <v>-0.2</v>
      </c>
      <c r="G111" s="144">
        <f>VLOOKUP($A111,'Data shares'!$C:$FA,25)</f>
        <v>0.5</v>
      </c>
    </row>
    <row r="112" spans="1:7" x14ac:dyDescent="0.25">
      <c r="A112" s="101" t="str">
        <f>'Data shares'!C108</f>
        <v>JSWENERGY</v>
      </c>
      <c r="B112" s="144">
        <f>VLOOKUP($A112,'Data shares'!$C:$FA,7)</f>
        <v>529.35</v>
      </c>
      <c r="C112" s="144">
        <f>VLOOKUP($A112,'Data shares'!$C:$FA,3)</f>
        <v>529.75</v>
      </c>
      <c r="D112" s="144">
        <f>VLOOKUP($A112,'Data shares'!$C:$FA,23)</f>
        <v>0.4</v>
      </c>
      <c r="E112" s="145">
        <f>VLOOKUP($A112,'Data shares'!$C:$FA,26)*100</f>
        <v>0.08</v>
      </c>
      <c r="F112" s="144">
        <f>VLOOKUP($A112,'Data shares'!$C:$FA,24)</f>
        <v>-0.5</v>
      </c>
      <c r="G112" s="144">
        <f>VLOOKUP($A112,'Data shares'!$C:$FA,25)</f>
        <v>0.9</v>
      </c>
    </row>
    <row r="113" spans="1:7" x14ac:dyDescent="0.25">
      <c r="A113" s="101" t="str">
        <f>'Data shares'!C109</f>
        <v>JSWSTEEL</v>
      </c>
      <c r="B113" s="144">
        <f>VLOOKUP($A113,'Data shares'!$C:$FA,7)</f>
        <v>1150.5999999999999</v>
      </c>
      <c r="C113" s="144">
        <f>VLOOKUP($A113,'Data shares'!$C:$FA,3)</f>
        <v>1149.2</v>
      </c>
      <c r="D113" s="144">
        <f>VLOOKUP($A113,'Data shares'!$C:$FA,23)</f>
        <v>-1.4</v>
      </c>
      <c r="E113" s="145">
        <f>VLOOKUP($A113,'Data shares'!$C:$FA,26)*100</f>
        <v>-0.12</v>
      </c>
      <c r="F113" s="144">
        <f>VLOOKUP($A113,'Data shares'!$C:$FA,24)</f>
        <v>1</v>
      </c>
      <c r="G113" s="144">
        <f>VLOOKUP($A113,'Data shares'!$C:$FA,25)</f>
        <v>-2.4</v>
      </c>
    </row>
    <row r="114" spans="1:7" x14ac:dyDescent="0.25">
      <c r="A114" s="101" t="str">
        <f>'Data shares'!C110</f>
        <v>JUBLFOOD</v>
      </c>
      <c r="B114" s="144">
        <f>VLOOKUP($A114,'Data shares'!$C:$FA,7)</f>
        <v>595.70000000000005</v>
      </c>
      <c r="C114" s="144">
        <f>VLOOKUP($A114,'Data shares'!$C:$FA,3)</f>
        <v>595.4</v>
      </c>
      <c r="D114" s="144">
        <f>VLOOKUP($A114,'Data shares'!$C:$FA,23)</f>
        <v>-0.3</v>
      </c>
      <c r="E114" s="145">
        <f>VLOOKUP($A114,'Data shares'!$C:$FA,26)*100</f>
        <v>-0.05</v>
      </c>
      <c r="F114" s="144">
        <f>VLOOKUP($A114,'Data shares'!$C:$FA,24)</f>
        <v>-0.25</v>
      </c>
      <c r="G114" s="144">
        <f>VLOOKUP($A114,'Data shares'!$C:$FA,25)</f>
        <v>-0.05</v>
      </c>
    </row>
    <row r="115" spans="1:7" x14ac:dyDescent="0.25">
      <c r="A115" s="101" t="str">
        <f>'Data shares'!C111</f>
        <v>KALYANKJIL</v>
      </c>
      <c r="B115" s="144">
        <f>VLOOKUP($A115,'Data shares'!$C:$FA,7)</f>
        <v>505.85</v>
      </c>
      <c r="C115" s="144">
        <f>VLOOKUP($A115,'Data shares'!$C:$FA,3)</f>
        <v>506.7</v>
      </c>
      <c r="D115" s="144">
        <f>VLOOKUP($A115,'Data shares'!$C:$FA,23)</f>
        <v>0.85</v>
      </c>
      <c r="E115" s="145">
        <f>VLOOKUP($A115,'Data shares'!$C:$FA,26)*100</f>
        <v>0.16999999999999998</v>
      </c>
      <c r="F115" s="144">
        <f>VLOOKUP($A115,'Data shares'!$C:$FA,24)</f>
        <v>-0.5</v>
      </c>
      <c r="G115" s="144">
        <f>VLOOKUP($A115,'Data shares'!$C:$FA,25)</f>
        <v>1.35</v>
      </c>
    </row>
    <row r="116" spans="1:7" x14ac:dyDescent="0.25">
      <c r="A116" s="101" t="str">
        <f>'Data shares'!C112</f>
        <v>KAYNES</v>
      </c>
      <c r="B116" s="144">
        <f>VLOOKUP($A116,'Data shares'!$C:$FA,7)</f>
        <v>6737.5</v>
      </c>
      <c r="C116" s="144">
        <f>VLOOKUP($A116,'Data shares'!$C:$FA,3)</f>
        <v>6733.5</v>
      </c>
      <c r="D116" s="144">
        <f>VLOOKUP($A116,'Data shares'!$C:$FA,23)</f>
        <v>-4</v>
      </c>
      <c r="E116" s="145">
        <f>VLOOKUP($A116,'Data shares'!$C:$FA,26)*100</f>
        <v>-0.06</v>
      </c>
      <c r="F116" s="144">
        <f>VLOOKUP($A116,'Data shares'!$C:$FA,24)</f>
        <v>1</v>
      </c>
      <c r="G116" s="144">
        <f>VLOOKUP($A116,'Data shares'!$C:$FA,25)</f>
        <v>-5</v>
      </c>
    </row>
    <row r="117" spans="1:7" x14ac:dyDescent="0.25">
      <c r="A117" s="101" t="str">
        <f>'Data shares'!C113</f>
        <v>KEI</v>
      </c>
      <c r="B117" s="144">
        <f>VLOOKUP($A117,'Data shares'!$C:$FA,7)</f>
        <v>4084.8</v>
      </c>
      <c r="C117" s="144">
        <f>VLOOKUP($A117,'Data shares'!$C:$FA,3)</f>
        <v>4095.7</v>
      </c>
      <c r="D117" s="144">
        <f>VLOOKUP($A117,'Data shares'!$C:$FA,23)</f>
        <v>10.9</v>
      </c>
      <c r="E117" s="145">
        <f>VLOOKUP($A117,'Data shares'!$C:$FA,26)*100</f>
        <v>0.27</v>
      </c>
      <c r="F117" s="144">
        <f>VLOOKUP($A117,'Data shares'!$C:$FA,24)</f>
        <v>13.2</v>
      </c>
      <c r="G117" s="144">
        <f>VLOOKUP($A117,'Data shares'!$C:$FA,25)</f>
        <v>-2.2999999999999998</v>
      </c>
    </row>
    <row r="118" spans="1:7" x14ac:dyDescent="0.25">
      <c r="A118" s="101" t="str">
        <f>'Data shares'!C114</f>
        <v>KFINTECH</v>
      </c>
      <c r="B118" s="144">
        <f>VLOOKUP($A118,'Data shares'!$C:$FA,7)</f>
        <v>1168.9000000000001</v>
      </c>
      <c r="C118" s="144">
        <f>VLOOKUP($A118,'Data shares'!$C:$FA,3)</f>
        <v>1167.4000000000001</v>
      </c>
      <c r="D118" s="144">
        <f>VLOOKUP($A118,'Data shares'!$C:$FA,23)</f>
        <v>-1.5</v>
      </c>
      <c r="E118" s="145">
        <f>VLOOKUP($A118,'Data shares'!$C:$FA,26)*100</f>
        <v>-0.13</v>
      </c>
      <c r="F118" s="144">
        <f>VLOOKUP($A118,'Data shares'!$C:$FA,24)</f>
        <v>1.9</v>
      </c>
      <c r="G118" s="144">
        <f>VLOOKUP($A118,'Data shares'!$C:$FA,25)</f>
        <v>-3.4</v>
      </c>
    </row>
    <row r="119" spans="1:7" x14ac:dyDescent="0.25">
      <c r="A119" s="101" t="str">
        <f>'Data shares'!C115</f>
        <v>KOTAKBANK</v>
      </c>
      <c r="B119" s="144">
        <f>VLOOKUP($A119,'Data shares'!$C:$FA,7)</f>
        <v>2148.6</v>
      </c>
      <c r="C119" s="144">
        <f>VLOOKUP($A119,'Data shares'!$C:$FA,3)</f>
        <v>2151.1</v>
      </c>
      <c r="D119" s="144">
        <f>VLOOKUP($A119,'Data shares'!$C:$FA,23)</f>
        <v>2.5</v>
      </c>
      <c r="E119" s="145">
        <f>VLOOKUP($A119,'Data shares'!$C:$FA,26)*100</f>
        <v>0.12</v>
      </c>
      <c r="F119" s="144">
        <f>VLOOKUP($A119,'Data shares'!$C:$FA,24)</f>
        <v>2.1</v>
      </c>
      <c r="G119" s="144">
        <f>VLOOKUP($A119,'Data shares'!$C:$FA,25)</f>
        <v>0.4</v>
      </c>
    </row>
    <row r="120" spans="1:7" x14ac:dyDescent="0.25">
      <c r="A120" s="101" t="str">
        <f>'Data shares'!C116</f>
        <v>KPITTECH</v>
      </c>
      <c r="B120" s="144">
        <f>VLOOKUP($A120,'Data shares'!$C:$FA,7)</f>
        <v>1207</v>
      </c>
      <c r="C120" s="144">
        <f>VLOOKUP($A120,'Data shares'!$C:$FA,3)</f>
        <v>1209.5999999999999</v>
      </c>
      <c r="D120" s="144">
        <f>VLOOKUP($A120,'Data shares'!$C:$FA,23)</f>
        <v>2.6</v>
      </c>
      <c r="E120" s="145">
        <f>VLOOKUP($A120,'Data shares'!$C:$FA,26)*100</f>
        <v>0.22</v>
      </c>
      <c r="F120" s="144">
        <f>VLOOKUP($A120,'Data shares'!$C:$FA,24)</f>
        <v>-0.8</v>
      </c>
      <c r="G120" s="144">
        <f>VLOOKUP($A120,'Data shares'!$C:$FA,25)</f>
        <v>3.4</v>
      </c>
    </row>
    <row r="121" spans="1:7" x14ac:dyDescent="0.25">
      <c r="A121" s="101" t="str">
        <f>'Data shares'!C117</f>
        <v>LAURUSLABS</v>
      </c>
      <c r="B121" s="144">
        <f>VLOOKUP($A121,'Data shares'!$C:$FA,7)</f>
        <v>940.15</v>
      </c>
      <c r="C121" s="144">
        <f>VLOOKUP($A121,'Data shares'!$C:$FA,3)</f>
        <v>939.5</v>
      </c>
      <c r="D121" s="144">
        <f>VLOOKUP($A121,'Data shares'!$C:$FA,23)</f>
        <v>-0.65</v>
      </c>
      <c r="E121" s="145">
        <f>VLOOKUP($A121,'Data shares'!$C:$FA,26)*100</f>
        <v>-6.9999999999999993E-2</v>
      </c>
      <c r="F121" s="144">
        <f>VLOOKUP($A121,'Data shares'!$C:$FA,24)</f>
        <v>-0.35</v>
      </c>
      <c r="G121" s="144">
        <f>VLOOKUP($A121,'Data shares'!$C:$FA,25)</f>
        <v>-0.3</v>
      </c>
    </row>
    <row r="122" spans="1:7" x14ac:dyDescent="0.25">
      <c r="A122" s="101" t="str">
        <f>'Data shares'!C118</f>
        <v>LICHSGFIN</v>
      </c>
      <c r="B122" s="144">
        <f>VLOOKUP($A122,'Data shares'!$C:$FA,7)</f>
        <v>584.35</v>
      </c>
      <c r="C122" s="144">
        <f>VLOOKUP($A122,'Data shares'!$C:$FA,3)</f>
        <v>585.1</v>
      </c>
      <c r="D122" s="144">
        <f>VLOOKUP($A122,'Data shares'!$C:$FA,23)</f>
        <v>0.75</v>
      </c>
      <c r="E122" s="145">
        <f>VLOOKUP($A122,'Data shares'!$C:$FA,26)*100</f>
        <v>0.13</v>
      </c>
      <c r="F122" s="144">
        <f>VLOOKUP($A122,'Data shares'!$C:$FA,24)</f>
        <v>0.2</v>
      </c>
      <c r="G122" s="144">
        <f>VLOOKUP($A122,'Data shares'!$C:$FA,25)</f>
        <v>0.55000000000000004</v>
      </c>
    </row>
    <row r="123" spans="1:7" x14ac:dyDescent="0.25">
      <c r="A123" s="101" t="str">
        <f>'Data shares'!C119</f>
        <v>LICI</v>
      </c>
      <c r="B123" s="144">
        <f>VLOOKUP($A123,'Data shares'!$C:$FA,7)</f>
        <v>897.65</v>
      </c>
      <c r="C123" s="144">
        <f>VLOOKUP($A123,'Data shares'!$C:$FA,3)</f>
        <v>898.75</v>
      </c>
      <c r="D123" s="144">
        <f>VLOOKUP($A123,'Data shares'!$C:$FA,23)</f>
        <v>1.1000000000000001</v>
      </c>
      <c r="E123" s="145">
        <f>VLOOKUP($A123,'Data shares'!$C:$FA,26)*100</f>
        <v>0.12</v>
      </c>
      <c r="F123" s="144">
        <f>VLOOKUP($A123,'Data shares'!$C:$FA,24)</f>
        <v>0.95</v>
      </c>
      <c r="G123" s="144">
        <f>VLOOKUP($A123,'Data shares'!$C:$FA,25)</f>
        <v>0.15</v>
      </c>
    </row>
    <row r="124" spans="1:7" x14ac:dyDescent="0.25">
      <c r="A124" s="101" t="str">
        <f>'Data shares'!C120</f>
        <v>LODHA</v>
      </c>
      <c r="B124" s="144">
        <f>VLOOKUP($A124,'Data shares'!$C:$FA,7)</f>
        <v>1177</v>
      </c>
      <c r="C124" s="144">
        <f>VLOOKUP($A124,'Data shares'!$C:$FA,3)</f>
        <v>1176.5999999999999</v>
      </c>
      <c r="D124" s="144">
        <f>VLOOKUP($A124,'Data shares'!$C:$FA,23)</f>
        <v>-0.4</v>
      </c>
      <c r="E124" s="145">
        <f>VLOOKUP($A124,'Data shares'!$C:$FA,26)*100</f>
        <v>-0.03</v>
      </c>
      <c r="F124" s="144">
        <f>VLOOKUP($A124,'Data shares'!$C:$FA,24)</f>
        <v>-1.5</v>
      </c>
      <c r="G124" s="144">
        <f>VLOOKUP($A124,'Data shares'!$C:$FA,25)</f>
        <v>1.1000000000000001</v>
      </c>
    </row>
    <row r="125" spans="1:7" x14ac:dyDescent="0.25">
      <c r="A125" s="101" t="str">
        <f>'Data shares'!C121</f>
        <v>LT</v>
      </c>
      <c r="B125" s="144">
        <f>VLOOKUP($A125,'Data shares'!$C:$FA,7)</f>
        <v>3923.8</v>
      </c>
      <c r="C125" s="144">
        <f>VLOOKUP($A125,'Data shares'!$C:$FA,3)</f>
        <v>3926.8</v>
      </c>
      <c r="D125" s="144">
        <f>VLOOKUP($A125,'Data shares'!$C:$FA,23)</f>
        <v>3</v>
      </c>
      <c r="E125" s="145">
        <f>VLOOKUP($A125,'Data shares'!$C:$FA,26)*100</f>
        <v>0.08</v>
      </c>
      <c r="F125" s="144">
        <f>VLOOKUP($A125,'Data shares'!$C:$FA,24)</f>
        <v>3.6</v>
      </c>
      <c r="G125" s="144">
        <f>VLOOKUP($A125,'Data shares'!$C:$FA,25)</f>
        <v>-0.6</v>
      </c>
    </row>
    <row r="126" spans="1:7" x14ac:dyDescent="0.25">
      <c r="A126" s="101" t="str">
        <f>'Data shares'!C122</f>
        <v>LTF</v>
      </c>
      <c r="B126" s="144">
        <f>VLOOKUP($A126,'Data shares'!$C:$FA,7)</f>
        <v>267.14999999999998</v>
      </c>
      <c r="C126" s="144">
        <f>VLOOKUP($A126,'Data shares'!$C:$FA,3)</f>
        <v>267.45999999999998</v>
      </c>
      <c r="D126" s="144">
        <f>VLOOKUP($A126,'Data shares'!$C:$FA,23)</f>
        <v>0.31</v>
      </c>
      <c r="E126" s="145">
        <f>VLOOKUP($A126,'Data shares'!$C:$FA,26)*100</f>
        <v>0.12</v>
      </c>
      <c r="F126" s="144">
        <f>VLOOKUP($A126,'Data shares'!$C:$FA,24)</f>
        <v>0.43</v>
      </c>
      <c r="G126" s="144">
        <f>VLOOKUP($A126,'Data shares'!$C:$FA,25)</f>
        <v>-0.12</v>
      </c>
    </row>
    <row r="127" spans="1:7" x14ac:dyDescent="0.25">
      <c r="A127" s="101" t="str">
        <f>'Data shares'!C123</f>
        <v>LTIM</v>
      </c>
      <c r="B127" s="144">
        <f>VLOOKUP($A127,'Data shares'!$C:$FA,7)</f>
        <v>5640</v>
      </c>
      <c r="C127" s="144">
        <f>VLOOKUP($A127,'Data shares'!$C:$FA,3)</f>
        <v>5639.5</v>
      </c>
      <c r="D127" s="144">
        <f>VLOOKUP($A127,'Data shares'!$C:$FA,23)</f>
        <v>-0.5</v>
      </c>
      <c r="E127" s="145">
        <f>VLOOKUP($A127,'Data shares'!$C:$FA,26)*100</f>
        <v>-0.01</v>
      </c>
      <c r="F127" s="144">
        <f>VLOOKUP($A127,'Data shares'!$C:$FA,24)</f>
        <v>1.5</v>
      </c>
      <c r="G127" s="144">
        <f>VLOOKUP($A127,'Data shares'!$C:$FA,25)</f>
        <v>-2</v>
      </c>
    </row>
    <row r="128" spans="1:7" x14ac:dyDescent="0.25">
      <c r="A128" s="101" t="str">
        <f>'Data shares'!C124</f>
        <v>LUPIN</v>
      </c>
      <c r="B128" s="144">
        <f>VLOOKUP($A128,'Data shares'!$C:$FA,7)</f>
        <v>1922.9</v>
      </c>
      <c r="C128" s="144">
        <f>VLOOKUP($A128,'Data shares'!$C:$FA,3)</f>
        <v>1924.7</v>
      </c>
      <c r="D128" s="144">
        <f>VLOOKUP($A128,'Data shares'!$C:$FA,23)</f>
        <v>1.8</v>
      </c>
      <c r="E128" s="145">
        <f>VLOOKUP($A128,'Data shares'!$C:$FA,26)*100</f>
        <v>0.09</v>
      </c>
      <c r="F128" s="144">
        <f>VLOOKUP($A128,'Data shares'!$C:$FA,24)</f>
        <v>-0.5</v>
      </c>
      <c r="G128" s="144">
        <f>VLOOKUP($A128,'Data shares'!$C:$FA,25)</f>
        <v>2.2999999999999998</v>
      </c>
    </row>
    <row r="129" spans="1:7" x14ac:dyDescent="0.25">
      <c r="A129" s="101" t="str">
        <f>'Data shares'!C125</f>
        <v>M&amp;M</v>
      </c>
      <c r="B129" s="144">
        <f>VLOOKUP($A129,'Data shares'!$C:$FA,7)</f>
        <v>3611.6</v>
      </c>
      <c r="C129" s="144">
        <f>VLOOKUP($A129,'Data shares'!$C:$FA,3)</f>
        <v>3615.6</v>
      </c>
      <c r="D129" s="144">
        <f>VLOOKUP($A129,'Data shares'!$C:$FA,23)</f>
        <v>4</v>
      </c>
      <c r="E129" s="145">
        <f>VLOOKUP($A129,'Data shares'!$C:$FA,26)*100</f>
        <v>0.11</v>
      </c>
      <c r="F129" s="144">
        <f>VLOOKUP($A129,'Data shares'!$C:$FA,24)</f>
        <v>-4.9000000000000004</v>
      </c>
      <c r="G129" s="144">
        <f>VLOOKUP($A129,'Data shares'!$C:$FA,25)</f>
        <v>8.9</v>
      </c>
    </row>
    <row r="130" spans="1:7" x14ac:dyDescent="0.25">
      <c r="A130" s="101" t="str">
        <f>'Data shares'!C126</f>
        <v>MANAPPURAM</v>
      </c>
      <c r="B130" s="144">
        <f>VLOOKUP($A130,'Data shares'!$C:$FA,7)</f>
        <v>276.39999999999998</v>
      </c>
      <c r="C130" s="144">
        <f>VLOOKUP($A130,'Data shares'!$C:$FA,3)</f>
        <v>276.05</v>
      </c>
      <c r="D130" s="144">
        <f>VLOOKUP($A130,'Data shares'!$C:$FA,23)</f>
        <v>-0.35</v>
      </c>
      <c r="E130" s="145">
        <f>VLOOKUP($A130,'Data shares'!$C:$FA,26)*100</f>
        <v>-0.13</v>
      </c>
      <c r="F130" s="144">
        <f>VLOOKUP($A130,'Data shares'!$C:$FA,24)</f>
        <v>-0.15</v>
      </c>
      <c r="G130" s="144">
        <f>VLOOKUP($A130,'Data shares'!$C:$FA,25)</f>
        <v>-0.2</v>
      </c>
    </row>
    <row r="131" spans="1:7" x14ac:dyDescent="0.25">
      <c r="A131" s="101" t="str">
        <f>'Data shares'!C127</f>
        <v>MANKIND</v>
      </c>
      <c r="B131" s="144">
        <f>VLOOKUP($A131,'Data shares'!$C:$FA,7)</f>
        <v>2416.6999999999998</v>
      </c>
      <c r="C131" s="144">
        <f>VLOOKUP($A131,'Data shares'!$C:$FA,3)</f>
        <v>2417.3000000000002</v>
      </c>
      <c r="D131" s="144">
        <f>VLOOKUP($A131,'Data shares'!$C:$FA,23)</f>
        <v>0.6</v>
      </c>
      <c r="E131" s="145">
        <f>VLOOKUP($A131,'Data shares'!$C:$FA,26)*100</f>
        <v>0.02</v>
      </c>
      <c r="F131" s="144">
        <f>VLOOKUP($A131,'Data shares'!$C:$FA,24)</f>
        <v>-5.2</v>
      </c>
      <c r="G131" s="144">
        <f>VLOOKUP($A131,'Data shares'!$C:$FA,25)</f>
        <v>5.8</v>
      </c>
    </row>
    <row r="132" spans="1:7" x14ac:dyDescent="0.25">
      <c r="A132" s="101" t="str">
        <f>'Data shares'!C128</f>
        <v>MARICO</v>
      </c>
      <c r="B132" s="144">
        <f>VLOOKUP($A132,'Data shares'!$C:$FA,7)</f>
        <v>723.6</v>
      </c>
      <c r="C132" s="144">
        <f>VLOOKUP($A132,'Data shares'!$C:$FA,3)</f>
        <v>722.9</v>
      </c>
      <c r="D132" s="144">
        <f>VLOOKUP($A132,'Data shares'!$C:$FA,23)</f>
        <v>-0.7</v>
      </c>
      <c r="E132" s="145">
        <f>VLOOKUP($A132,'Data shares'!$C:$FA,26)*100</f>
        <v>-0.1</v>
      </c>
      <c r="F132" s="144">
        <f>VLOOKUP($A132,'Data shares'!$C:$FA,24)</f>
        <v>-0.55000000000000004</v>
      </c>
      <c r="G132" s="144">
        <f>VLOOKUP($A132,'Data shares'!$C:$FA,25)</f>
        <v>-0.15</v>
      </c>
    </row>
    <row r="133" spans="1:7" x14ac:dyDescent="0.25">
      <c r="A133" s="101" t="str">
        <f>'Data shares'!C129</f>
        <v>MARUTI</v>
      </c>
      <c r="B133" s="144">
        <f>VLOOKUP($A133,'Data shares'!$C:$FA,7)</f>
        <v>16388</v>
      </c>
      <c r="C133" s="144">
        <f>VLOOKUP($A133,'Data shares'!$C:$FA,3)</f>
        <v>16404</v>
      </c>
      <c r="D133" s="144">
        <f>VLOOKUP($A133,'Data shares'!$C:$FA,23)</f>
        <v>16</v>
      </c>
      <c r="E133" s="145">
        <f>VLOOKUP($A133,'Data shares'!$C:$FA,26)*100</f>
        <v>0.1</v>
      </c>
      <c r="F133" s="144">
        <f>VLOOKUP($A133,'Data shares'!$C:$FA,24)</f>
        <v>-13</v>
      </c>
      <c r="G133" s="144">
        <f>VLOOKUP($A133,'Data shares'!$C:$FA,25)</f>
        <v>29</v>
      </c>
    </row>
    <row r="134" spans="1:7" x14ac:dyDescent="0.25">
      <c r="A134" s="101" t="str">
        <f>'Data shares'!C130</f>
        <v>MAXHEALTH</v>
      </c>
      <c r="B134" s="144">
        <f>VLOOKUP($A134,'Data shares'!$C:$FA,7)</f>
        <v>1186.4000000000001</v>
      </c>
      <c r="C134" s="144">
        <f>VLOOKUP($A134,'Data shares'!$C:$FA,3)</f>
        <v>1187.9000000000001</v>
      </c>
      <c r="D134" s="144">
        <f>VLOOKUP($A134,'Data shares'!$C:$FA,23)</f>
        <v>1.5</v>
      </c>
      <c r="E134" s="145">
        <f>VLOOKUP($A134,'Data shares'!$C:$FA,26)*100</f>
        <v>0.13</v>
      </c>
      <c r="F134" s="144">
        <f>VLOOKUP($A134,'Data shares'!$C:$FA,24)</f>
        <v>1</v>
      </c>
      <c r="G134" s="144">
        <f>VLOOKUP($A134,'Data shares'!$C:$FA,25)</f>
        <v>0.5</v>
      </c>
    </row>
    <row r="135" spans="1:7" x14ac:dyDescent="0.25">
      <c r="A135" s="101" t="str">
        <f>'Data shares'!C131</f>
        <v>MAZDOCK</v>
      </c>
      <c r="B135" s="144">
        <f>VLOOKUP($A135,'Data shares'!$C:$FA,7)</f>
        <v>2810.4</v>
      </c>
      <c r="C135" s="144">
        <f>VLOOKUP($A135,'Data shares'!$C:$FA,3)</f>
        <v>2810.2</v>
      </c>
      <c r="D135" s="144">
        <f>VLOOKUP($A135,'Data shares'!$C:$FA,23)</f>
        <v>-0.2</v>
      </c>
      <c r="E135" s="145">
        <f>VLOOKUP($A135,'Data shares'!$C:$FA,26)*100</f>
        <v>-0.01</v>
      </c>
      <c r="F135" s="144">
        <f>VLOOKUP($A135,'Data shares'!$C:$FA,24)</f>
        <v>-3.6</v>
      </c>
      <c r="G135" s="144">
        <f>VLOOKUP($A135,'Data shares'!$C:$FA,25)</f>
        <v>3.4</v>
      </c>
    </row>
    <row r="136" spans="1:7" x14ac:dyDescent="0.25">
      <c r="A136" s="101" t="str">
        <f>'Data shares'!C132</f>
        <v>MCX</v>
      </c>
      <c r="B136" s="144">
        <f>VLOOKUP($A136,'Data shares'!$C:$FA,7)</f>
        <v>9305.5</v>
      </c>
      <c r="C136" s="144">
        <f>VLOOKUP($A136,'Data shares'!$C:$FA,3)</f>
        <v>9310.5</v>
      </c>
      <c r="D136" s="144">
        <f>VLOOKUP($A136,'Data shares'!$C:$FA,23)</f>
        <v>5</v>
      </c>
      <c r="E136" s="145">
        <f>VLOOKUP($A136,'Data shares'!$C:$FA,26)*100</f>
        <v>0.05</v>
      </c>
      <c r="F136" s="144">
        <f>VLOOKUP($A136,'Data shares'!$C:$FA,24)</f>
        <v>0.5</v>
      </c>
      <c r="G136" s="144">
        <f>VLOOKUP($A136,'Data shares'!$C:$FA,25)</f>
        <v>4.5</v>
      </c>
    </row>
    <row r="137" spans="1:7" x14ac:dyDescent="0.25">
      <c r="A137" s="101" t="str">
        <f>'Data shares'!C133</f>
        <v>MFSL</v>
      </c>
      <c r="B137" s="144">
        <f>VLOOKUP($A137,'Data shares'!$C:$FA,7)</f>
        <v>1513.6</v>
      </c>
      <c r="C137" s="144">
        <f>VLOOKUP($A137,'Data shares'!$C:$FA,3)</f>
        <v>1512.2</v>
      </c>
      <c r="D137" s="144">
        <f>VLOOKUP($A137,'Data shares'!$C:$FA,23)</f>
        <v>-1.4</v>
      </c>
      <c r="E137" s="145">
        <f>VLOOKUP($A137,'Data shares'!$C:$FA,26)*100</f>
        <v>-0.09</v>
      </c>
      <c r="F137" s="144">
        <f>VLOOKUP($A137,'Data shares'!$C:$FA,24)</f>
        <v>-1</v>
      </c>
      <c r="G137" s="144">
        <f>VLOOKUP($A137,'Data shares'!$C:$FA,25)</f>
        <v>-0.4</v>
      </c>
    </row>
    <row r="138" spans="1:7" x14ac:dyDescent="0.25">
      <c r="A138" s="101" t="str">
        <f>'Data shares'!C134</f>
        <v>MIDCPNIFTY</v>
      </c>
      <c r="B138" s="144">
        <f>VLOOKUP($A138,'Data shares'!$C:$FA,7)</f>
        <v>13345.3</v>
      </c>
      <c r="C138" s="144">
        <f>VLOOKUP($A138,'Data shares'!$C:$FA,3)</f>
        <v>13367.75</v>
      </c>
      <c r="D138" s="144">
        <f>VLOOKUP($A138,'Data shares'!$C:$FA,23)</f>
        <v>22.45</v>
      </c>
      <c r="E138" s="145">
        <f>VLOOKUP($A138,'Data shares'!$C:$FA,26)*100</f>
        <v>0.16999999999999998</v>
      </c>
      <c r="F138" s="144">
        <f>VLOOKUP($A138,'Data shares'!$C:$FA,24)</f>
        <v>3.5</v>
      </c>
      <c r="G138" s="144">
        <f>VLOOKUP($A138,'Data shares'!$C:$FA,25)</f>
        <v>18.95</v>
      </c>
    </row>
    <row r="139" spans="1:7" x14ac:dyDescent="0.25">
      <c r="A139" s="101" t="str">
        <f>'Data shares'!C135</f>
        <v>MOTHERSON</v>
      </c>
      <c r="B139" s="144">
        <f>VLOOKUP($A139,'Data shares'!$C:$FA,7)</f>
        <v>106.93</v>
      </c>
      <c r="C139" s="144">
        <f>VLOOKUP($A139,'Data shares'!$C:$FA,3)</f>
        <v>107.08</v>
      </c>
      <c r="D139" s="144">
        <f>VLOOKUP($A139,'Data shares'!$C:$FA,23)</f>
        <v>0.15</v>
      </c>
      <c r="E139" s="145">
        <f>VLOOKUP($A139,'Data shares'!$C:$FA,26)*100</f>
        <v>0.13999999999999999</v>
      </c>
      <c r="F139" s="144">
        <f>VLOOKUP($A139,'Data shares'!$C:$FA,24)</f>
        <v>-0.12</v>
      </c>
      <c r="G139" s="144">
        <f>VLOOKUP($A139,'Data shares'!$C:$FA,25)</f>
        <v>0.27</v>
      </c>
    </row>
    <row r="140" spans="1:7" x14ac:dyDescent="0.25">
      <c r="A140" s="101" t="str">
        <f>'Data shares'!C136</f>
        <v>MPHASIS</v>
      </c>
      <c r="B140" s="144">
        <f>VLOOKUP($A140,'Data shares'!$C:$FA,7)</f>
        <v>2888.7</v>
      </c>
      <c r="C140" s="144">
        <f>VLOOKUP($A140,'Data shares'!$C:$FA,3)</f>
        <v>2889.3</v>
      </c>
      <c r="D140" s="144">
        <f>VLOOKUP($A140,'Data shares'!$C:$FA,23)</f>
        <v>0.6</v>
      </c>
      <c r="E140" s="145">
        <f>VLOOKUP($A140,'Data shares'!$C:$FA,26)*100</f>
        <v>0.02</v>
      </c>
      <c r="F140" s="144">
        <f>VLOOKUP($A140,'Data shares'!$C:$FA,24)</f>
        <v>-3.6</v>
      </c>
      <c r="G140" s="144">
        <f>VLOOKUP($A140,'Data shares'!$C:$FA,25)</f>
        <v>4.2</v>
      </c>
    </row>
    <row r="141" spans="1:7" x14ac:dyDescent="0.25">
      <c r="A141" s="101" t="str">
        <f>'Data shares'!C137</f>
        <v>MUTHOOTFIN</v>
      </c>
      <c r="B141" s="144">
        <f>VLOOKUP($A141,'Data shares'!$C:$FA,7)</f>
        <v>3145.9</v>
      </c>
      <c r="C141" s="144">
        <f>VLOOKUP($A141,'Data shares'!$C:$FA,3)</f>
        <v>3153.7</v>
      </c>
      <c r="D141" s="144">
        <f>VLOOKUP($A141,'Data shares'!$C:$FA,23)</f>
        <v>7.8</v>
      </c>
      <c r="E141" s="145">
        <f>VLOOKUP($A141,'Data shares'!$C:$FA,26)*100</f>
        <v>0.25</v>
      </c>
      <c r="F141" s="144">
        <f>VLOOKUP($A141,'Data shares'!$C:$FA,24)</f>
        <v>4.5999999999999996</v>
      </c>
      <c r="G141" s="144">
        <f>VLOOKUP($A141,'Data shares'!$C:$FA,25)</f>
        <v>3.2</v>
      </c>
    </row>
    <row r="142" spans="1:7" x14ac:dyDescent="0.25">
      <c r="A142" s="101" t="str">
        <f>'Data shares'!C138</f>
        <v>NATIONALUM</v>
      </c>
      <c r="B142" s="144">
        <f>VLOOKUP($A142,'Data shares'!$C:$FA,7)</f>
        <v>237.87</v>
      </c>
      <c r="C142" s="144">
        <f>VLOOKUP($A142,'Data shares'!$C:$FA,3)</f>
        <v>238.17</v>
      </c>
      <c r="D142" s="144">
        <f>VLOOKUP($A142,'Data shares'!$C:$FA,23)</f>
        <v>0.3</v>
      </c>
      <c r="E142" s="145">
        <f>VLOOKUP($A142,'Data shares'!$C:$FA,26)*100</f>
        <v>0.13</v>
      </c>
      <c r="F142" s="144">
        <f>VLOOKUP($A142,'Data shares'!$C:$FA,24)</f>
        <v>-0.05</v>
      </c>
      <c r="G142" s="144">
        <f>VLOOKUP($A142,'Data shares'!$C:$FA,25)</f>
        <v>0.35</v>
      </c>
    </row>
    <row r="143" spans="1:7" x14ac:dyDescent="0.25">
      <c r="A143" s="101" t="str">
        <f>'Data shares'!C139</f>
        <v>NAUKRI</v>
      </c>
      <c r="B143" s="144">
        <f>VLOOKUP($A143,'Data shares'!$C:$FA,7)</f>
        <v>1364.7</v>
      </c>
      <c r="C143" s="144">
        <f>VLOOKUP($A143,'Data shares'!$C:$FA,3)</f>
        <v>1366.7</v>
      </c>
      <c r="D143" s="144">
        <f>VLOOKUP($A143,'Data shares'!$C:$FA,23)</f>
        <v>2</v>
      </c>
      <c r="E143" s="145">
        <f>VLOOKUP($A143,'Data shares'!$C:$FA,26)*100</f>
        <v>0.15</v>
      </c>
      <c r="F143" s="144">
        <f>VLOOKUP($A143,'Data shares'!$C:$FA,24)</f>
        <v>-1.2</v>
      </c>
      <c r="G143" s="144">
        <f>VLOOKUP($A143,'Data shares'!$C:$FA,25)</f>
        <v>3.2</v>
      </c>
    </row>
    <row r="144" spans="1:7" x14ac:dyDescent="0.25">
      <c r="A144" s="101" t="str">
        <f>'Data shares'!C140</f>
        <v>NBCC</v>
      </c>
      <c r="B144" s="144">
        <f>VLOOKUP($A144,'Data shares'!$C:$FA,7)</f>
        <v>111.5</v>
      </c>
      <c r="C144" s="144">
        <f>VLOOKUP($A144,'Data shares'!$C:$FA,3)</f>
        <v>111.67</v>
      </c>
      <c r="D144" s="144">
        <f>VLOOKUP($A144,'Data shares'!$C:$FA,23)</f>
        <v>0.17</v>
      </c>
      <c r="E144" s="145">
        <f>VLOOKUP($A144,'Data shares'!$C:$FA,26)*100</f>
        <v>0.15</v>
      </c>
      <c r="F144" s="144">
        <f>VLOOKUP($A144,'Data shares'!$C:$FA,24)</f>
        <v>-7.0000000000000007E-2</v>
      </c>
      <c r="G144" s="144">
        <f>VLOOKUP($A144,'Data shares'!$C:$FA,25)</f>
        <v>0.24</v>
      </c>
    </row>
    <row r="145" spans="1:7" x14ac:dyDescent="0.25">
      <c r="A145" s="101" t="str">
        <f>'Data shares'!C141</f>
        <v>NCC</v>
      </c>
      <c r="B145" s="144">
        <f>VLOOKUP($A145,'Data shares'!$C:$FA,7)</f>
        <v>213.55</v>
      </c>
      <c r="C145" s="144">
        <f>VLOOKUP($A145,'Data shares'!$C:$FA,3)</f>
        <v>213.92</v>
      </c>
      <c r="D145" s="144">
        <f>VLOOKUP($A145,'Data shares'!$C:$FA,23)</f>
        <v>0.37</v>
      </c>
      <c r="E145" s="145">
        <f>VLOOKUP($A145,'Data shares'!$C:$FA,26)*100</f>
        <v>0.16999999999999998</v>
      </c>
      <c r="F145" s="144">
        <f>VLOOKUP($A145,'Data shares'!$C:$FA,24)</f>
        <v>-0.05</v>
      </c>
      <c r="G145" s="144">
        <f>VLOOKUP($A145,'Data shares'!$C:$FA,25)</f>
        <v>0.42</v>
      </c>
    </row>
    <row r="146" spans="1:7" x14ac:dyDescent="0.25">
      <c r="A146" s="101" t="str">
        <f>'Data shares'!C142</f>
        <v>NESTLEIND</v>
      </c>
      <c r="B146" s="144">
        <f>VLOOKUP($A146,'Data shares'!$C:$FA,7)</f>
        <v>1283</v>
      </c>
      <c r="C146" s="144">
        <f>VLOOKUP($A146,'Data shares'!$C:$FA,3)</f>
        <v>1284.5999999999999</v>
      </c>
      <c r="D146" s="144">
        <f>VLOOKUP($A146,'Data shares'!$C:$FA,23)</f>
        <v>1.6</v>
      </c>
      <c r="E146" s="145">
        <f>VLOOKUP($A146,'Data shares'!$C:$FA,26)*100</f>
        <v>0.12</v>
      </c>
      <c r="F146" s="144">
        <f>VLOOKUP($A146,'Data shares'!$C:$FA,24)</f>
        <v>0.7</v>
      </c>
      <c r="G146" s="144">
        <f>VLOOKUP($A146,'Data shares'!$C:$FA,25)</f>
        <v>0.9</v>
      </c>
    </row>
    <row r="147" spans="1:7" x14ac:dyDescent="0.25">
      <c r="A147" s="101" t="str">
        <f>'Data shares'!C143</f>
        <v>NHPC</v>
      </c>
      <c r="B147" s="144">
        <f>VLOOKUP($A147,'Data shares'!$C:$FA,7)</f>
        <v>85.02</v>
      </c>
      <c r="C147" s="144">
        <f>VLOOKUP($A147,'Data shares'!$C:$FA,3)</f>
        <v>85.1</v>
      </c>
      <c r="D147" s="144">
        <f>VLOOKUP($A147,'Data shares'!$C:$FA,23)</f>
        <v>0.08</v>
      </c>
      <c r="E147" s="145">
        <f>VLOOKUP($A147,'Data shares'!$C:$FA,26)*100</f>
        <v>0.09</v>
      </c>
      <c r="F147" s="144">
        <f>VLOOKUP($A147,'Data shares'!$C:$FA,24)</f>
        <v>0.1</v>
      </c>
      <c r="G147" s="144">
        <f>VLOOKUP($A147,'Data shares'!$C:$FA,25)</f>
        <v>-0.02</v>
      </c>
    </row>
    <row r="148" spans="1:7" x14ac:dyDescent="0.25">
      <c r="A148" s="101" t="str">
        <f>'Data shares'!C144</f>
        <v>NIFTY</v>
      </c>
      <c r="B148" s="144">
        <f>VLOOKUP($A148,'Data shares'!$C:$FA,7)</f>
        <v>25966.05</v>
      </c>
      <c r="C148" s="144">
        <f>VLOOKUP($A148,'Data shares'!$C:$FA,3)</f>
        <v>26013.5</v>
      </c>
      <c r="D148" s="144">
        <f>VLOOKUP($A148,'Data shares'!$C:$FA,23)</f>
        <v>47.45</v>
      </c>
      <c r="E148" s="145">
        <f>VLOOKUP($A148,'Data shares'!$C:$FA,26)*100</f>
        <v>0.18</v>
      </c>
      <c r="F148" s="144">
        <f>VLOOKUP($A148,'Data shares'!$C:$FA,24)</f>
        <v>19.649999999999999</v>
      </c>
      <c r="G148" s="144">
        <f>VLOOKUP($A148,'Data shares'!$C:$FA,25)</f>
        <v>27.8</v>
      </c>
    </row>
    <row r="149" spans="1:7" x14ac:dyDescent="0.25">
      <c r="A149" s="101" t="str">
        <f>'Data shares'!C145</f>
        <v>NIFTYNXT50</v>
      </c>
      <c r="B149" s="144">
        <f>VLOOKUP($A149,'Data shares'!$C:$FA,7)</f>
        <v>69612.2</v>
      </c>
      <c r="C149" s="144">
        <f>VLOOKUP($A149,'Data shares'!$C:$FA,3)</f>
        <v>69571</v>
      </c>
      <c r="D149" s="144">
        <f>VLOOKUP($A149,'Data shares'!$C:$FA,23)</f>
        <v>-41.2</v>
      </c>
      <c r="E149" s="145">
        <f>VLOOKUP($A149,'Data shares'!$C:$FA,26)*100</f>
        <v>-0.06</v>
      </c>
      <c r="F149" s="144">
        <f>VLOOKUP($A149,'Data shares'!$C:$FA,24)</f>
        <v>-82.7</v>
      </c>
      <c r="G149" s="144">
        <f>VLOOKUP($A149,'Data shares'!$C:$FA,25)</f>
        <v>41.5</v>
      </c>
    </row>
    <row r="150" spans="1:7" x14ac:dyDescent="0.25">
      <c r="A150" s="101" t="str">
        <f>'Data shares'!C146</f>
        <v>NMDC</v>
      </c>
      <c r="B150" s="144">
        <f>VLOOKUP($A150,'Data shares'!$C:$FA,7)</f>
        <v>74.37</v>
      </c>
      <c r="C150" s="144">
        <f>VLOOKUP($A150,'Data shares'!$C:$FA,3)</f>
        <v>74.430000000000007</v>
      </c>
      <c r="D150" s="144">
        <f>VLOOKUP($A150,'Data shares'!$C:$FA,23)</f>
        <v>0.06</v>
      </c>
      <c r="E150" s="145">
        <f>VLOOKUP($A150,'Data shares'!$C:$FA,26)*100</f>
        <v>0.08</v>
      </c>
      <c r="F150" s="144">
        <f>VLOOKUP($A150,'Data shares'!$C:$FA,24)</f>
        <v>0.09</v>
      </c>
      <c r="G150" s="144">
        <f>VLOOKUP($A150,'Data shares'!$C:$FA,25)</f>
        <v>-0.03</v>
      </c>
    </row>
    <row r="151" spans="1:7" x14ac:dyDescent="0.25">
      <c r="A151" s="101" t="str">
        <f>'Data shares'!C147</f>
        <v>NTPC</v>
      </c>
      <c r="B151" s="144">
        <f>VLOOKUP($A151,'Data shares'!$C:$FA,7)</f>
        <v>341.75</v>
      </c>
      <c r="C151" s="144">
        <f>VLOOKUP($A151,'Data shares'!$C:$FA,3)</f>
        <v>341.75</v>
      </c>
      <c r="D151" s="144">
        <f>VLOOKUP($A151,'Data shares'!$C:$FA,23)</f>
        <v>0</v>
      </c>
      <c r="E151" s="145">
        <f>VLOOKUP($A151,'Data shares'!$C:$FA,26)*100</f>
        <v>0</v>
      </c>
      <c r="F151" s="144">
        <f>VLOOKUP($A151,'Data shares'!$C:$FA,24)</f>
        <v>0.45</v>
      </c>
      <c r="G151" s="144">
        <f>VLOOKUP($A151,'Data shares'!$C:$FA,25)</f>
        <v>-0.45</v>
      </c>
    </row>
    <row r="152" spans="1:7" x14ac:dyDescent="0.25">
      <c r="A152" s="101" t="str">
        <f>'Data shares'!C148</f>
        <v>NUVAMA</v>
      </c>
      <c r="B152" s="144">
        <f>VLOOKUP($A152,'Data shares'!$C:$FA,7)</f>
        <v>7420.5</v>
      </c>
      <c r="C152" s="144">
        <f>VLOOKUP($A152,'Data shares'!$C:$FA,3)</f>
        <v>7417</v>
      </c>
      <c r="D152" s="144">
        <f>VLOOKUP($A152,'Data shares'!$C:$FA,23)</f>
        <v>-3.5</v>
      </c>
      <c r="E152" s="145">
        <f>VLOOKUP($A152,'Data shares'!$C:$FA,26)*100</f>
        <v>-0.05</v>
      </c>
      <c r="F152" s="144">
        <f>VLOOKUP($A152,'Data shares'!$C:$FA,24)</f>
        <v>12</v>
      </c>
      <c r="G152" s="144">
        <f>VLOOKUP($A152,'Data shares'!$C:$FA,25)</f>
        <v>-15.5</v>
      </c>
    </row>
    <row r="153" spans="1:7" x14ac:dyDescent="0.25">
      <c r="A153" s="101" t="str">
        <f>'Data shares'!C149</f>
        <v>NYKAA</v>
      </c>
      <c r="B153" s="144">
        <f>VLOOKUP($A153,'Data shares'!$C:$FA,7)</f>
        <v>255.14</v>
      </c>
      <c r="C153" s="144">
        <f>VLOOKUP($A153,'Data shares'!$C:$FA,3)</f>
        <v>255.8</v>
      </c>
      <c r="D153" s="144">
        <f>VLOOKUP($A153,'Data shares'!$C:$FA,23)</f>
        <v>0.66</v>
      </c>
      <c r="E153" s="145">
        <f>VLOOKUP($A153,'Data shares'!$C:$FA,26)*100</f>
        <v>0.26</v>
      </c>
      <c r="F153" s="144">
        <f>VLOOKUP($A153,'Data shares'!$C:$FA,24)</f>
        <v>0.73</v>
      </c>
      <c r="G153" s="144">
        <f>VLOOKUP($A153,'Data shares'!$C:$FA,25)</f>
        <v>-7.0000000000000007E-2</v>
      </c>
    </row>
    <row r="154" spans="1:7" x14ac:dyDescent="0.25">
      <c r="A154" s="101" t="str">
        <f>'Data shares'!C150</f>
        <v>OBEROIRLTY</v>
      </c>
      <c r="B154" s="144">
        <f>VLOOKUP($A154,'Data shares'!$C:$FA,7)</f>
        <v>1736</v>
      </c>
      <c r="C154" s="144">
        <f>VLOOKUP($A154,'Data shares'!$C:$FA,3)</f>
        <v>1733.6</v>
      </c>
      <c r="D154" s="144">
        <f>VLOOKUP($A154,'Data shares'!$C:$FA,23)</f>
        <v>-2.4</v>
      </c>
      <c r="E154" s="145">
        <f>VLOOKUP($A154,'Data shares'!$C:$FA,26)*100</f>
        <v>-0.13999999999999999</v>
      </c>
      <c r="F154" s="144">
        <f>VLOOKUP($A154,'Data shares'!$C:$FA,24)</f>
        <v>-0.8</v>
      </c>
      <c r="G154" s="144">
        <f>VLOOKUP($A154,'Data shares'!$C:$FA,25)</f>
        <v>-1.6</v>
      </c>
    </row>
    <row r="155" spans="1:7" x14ac:dyDescent="0.25">
      <c r="A155" s="101" t="str">
        <f>'Data shares'!C151</f>
        <v>OFSS</v>
      </c>
      <c r="B155" s="144">
        <f>VLOOKUP($A155,'Data shares'!$C:$FA,7)</f>
        <v>8695.5</v>
      </c>
      <c r="C155" s="144">
        <f>VLOOKUP($A155,'Data shares'!$C:$FA,3)</f>
        <v>8721</v>
      </c>
      <c r="D155" s="144">
        <f>VLOOKUP($A155,'Data shares'!$C:$FA,23)</f>
        <v>25.5</v>
      </c>
      <c r="E155" s="145">
        <f>VLOOKUP($A155,'Data shares'!$C:$FA,26)*100</f>
        <v>0.28999999999999998</v>
      </c>
      <c r="F155" s="144">
        <f>VLOOKUP($A155,'Data shares'!$C:$FA,24)</f>
        <v>-0.5</v>
      </c>
      <c r="G155" s="144">
        <f>VLOOKUP($A155,'Data shares'!$C:$FA,25)</f>
        <v>26</v>
      </c>
    </row>
    <row r="156" spans="1:7" x14ac:dyDescent="0.25">
      <c r="A156" s="101" t="str">
        <f>'Data shares'!C152</f>
        <v>OIL</v>
      </c>
      <c r="B156" s="144">
        <f>VLOOKUP($A156,'Data shares'!$C:$FA,7)</f>
        <v>422.35</v>
      </c>
      <c r="C156" s="144">
        <f>VLOOKUP($A156,'Data shares'!$C:$FA,3)</f>
        <v>422.5</v>
      </c>
      <c r="D156" s="144">
        <f>VLOOKUP($A156,'Data shares'!$C:$FA,23)</f>
        <v>0.15</v>
      </c>
      <c r="E156" s="145">
        <f>VLOOKUP($A156,'Data shares'!$C:$FA,26)*100</f>
        <v>0.04</v>
      </c>
      <c r="F156" s="144">
        <f>VLOOKUP($A156,'Data shares'!$C:$FA,24)</f>
        <v>1.2</v>
      </c>
      <c r="G156" s="144">
        <f>VLOOKUP($A156,'Data shares'!$C:$FA,25)</f>
        <v>-1.05</v>
      </c>
    </row>
    <row r="157" spans="1:7" x14ac:dyDescent="0.25">
      <c r="A157" s="101" t="str">
        <f>'Data shares'!C153</f>
        <v>ONGC</v>
      </c>
      <c r="B157" s="144">
        <f>VLOOKUP($A157,'Data shares'!$C:$FA,7)</f>
        <v>253.27</v>
      </c>
      <c r="C157" s="144">
        <f>VLOOKUP($A157,'Data shares'!$C:$FA,3)</f>
        <v>252.92</v>
      </c>
      <c r="D157" s="144">
        <f>VLOOKUP($A157,'Data shares'!$C:$FA,23)</f>
        <v>-0.35</v>
      </c>
      <c r="E157" s="145">
        <f>VLOOKUP($A157,'Data shares'!$C:$FA,26)*100</f>
        <v>-0.13999999999999999</v>
      </c>
      <c r="F157" s="144">
        <f>VLOOKUP($A157,'Data shares'!$C:$FA,24)</f>
        <v>-0.41</v>
      </c>
      <c r="G157" s="144">
        <f>VLOOKUP($A157,'Data shares'!$C:$FA,25)</f>
        <v>0.06</v>
      </c>
    </row>
    <row r="158" spans="1:7" x14ac:dyDescent="0.25">
      <c r="A158" s="101" t="str">
        <f>'Data shares'!C154</f>
        <v>PAGEIND</v>
      </c>
      <c r="B158" s="144">
        <f>VLOOKUP($A158,'Data shares'!$C:$FA,7)</f>
        <v>40985</v>
      </c>
      <c r="C158" s="144">
        <f>VLOOKUP($A158,'Data shares'!$C:$FA,3)</f>
        <v>41105</v>
      </c>
      <c r="D158" s="144">
        <f>VLOOKUP($A158,'Data shares'!$C:$FA,23)</f>
        <v>120</v>
      </c>
      <c r="E158" s="145">
        <f>VLOOKUP($A158,'Data shares'!$C:$FA,26)*100</f>
        <v>0.28999999999999998</v>
      </c>
      <c r="F158" s="144">
        <f>VLOOKUP($A158,'Data shares'!$C:$FA,24)</f>
        <v>135</v>
      </c>
      <c r="G158" s="144">
        <f>VLOOKUP($A158,'Data shares'!$C:$FA,25)</f>
        <v>-15</v>
      </c>
    </row>
    <row r="159" spans="1:7" x14ac:dyDescent="0.25">
      <c r="A159" s="101" t="str">
        <f>'Data shares'!C155</f>
        <v>PATANJALI</v>
      </c>
      <c r="B159" s="144">
        <f>VLOOKUP($A159,'Data shares'!$C:$FA,7)</f>
        <v>590.5</v>
      </c>
      <c r="C159" s="144">
        <f>VLOOKUP($A159,'Data shares'!$C:$FA,3)</f>
        <v>591</v>
      </c>
      <c r="D159" s="144">
        <f>VLOOKUP($A159,'Data shares'!$C:$FA,23)</f>
        <v>0.5</v>
      </c>
      <c r="E159" s="145">
        <f>VLOOKUP($A159,'Data shares'!$C:$FA,26)*100</f>
        <v>0.08</v>
      </c>
      <c r="F159" s="144">
        <f>VLOOKUP($A159,'Data shares'!$C:$FA,24)</f>
        <v>0.6</v>
      </c>
      <c r="G159" s="144">
        <f>VLOOKUP($A159,'Data shares'!$C:$FA,25)</f>
        <v>-0.1</v>
      </c>
    </row>
    <row r="160" spans="1:7" x14ac:dyDescent="0.25">
      <c r="A160" s="101" t="str">
        <f>'Data shares'!C156</f>
        <v>PAYTM</v>
      </c>
      <c r="B160" s="144">
        <f>VLOOKUP($A160,'Data shares'!$C:$FA,7)</f>
        <v>1306.2</v>
      </c>
      <c r="C160" s="144">
        <f>VLOOKUP($A160,'Data shares'!$C:$FA,3)</f>
        <v>1304.0999999999999</v>
      </c>
      <c r="D160" s="144">
        <f>VLOOKUP($A160,'Data shares'!$C:$FA,23)</f>
        <v>-2.1</v>
      </c>
      <c r="E160" s="145">
        <f>VLOOKUP($A160,'Data shares'!$C:$FA,26)*100</f>
        <v>-0.16</v>
      </c>
      <c r="F160" s="144">
        <f>VLOOKUP($A160,'Data shares'!$C:$FA,24)</f>
        <v>0.7</v>
      </c>
      <c r="G160" s="144">
        <f>VLOOKUP($A160,'Data shares'!$C:$FA,25)</f>
        <v>-2.8</v>
      </c>
    </row>
    <row r="161" spans="1:7" x14ac:dyDescent="0.25">
      <c r="A161" s="101" t="str">
        <f>'Data shares'!C157</f>
        <v>PERSISTENT</v>
      </c>
      <c r="B161" s="144">
        <f>VLOOKUP($A161,'Data shares'!$C:$FA,7)</f>
        <v>5878.1</v>
      </c>
      <c r="C161" s="144">
        <f>VLOOKUP($A161,'Data shares'!$C:$FA,3)</f>
        <v>5882.4</v>
      </c>
      <c r="D161" s="144">
        <f>VLOOKUP($A161,'Data shares'!$C:$FA,23)</f>
        <v>4.3</v>
      </c>
      <c r="E161" s="145">
        <f>VLOOKUP($A161,'Data shares'!$C:$FA,26)*100</f>
        <v>6.9999999999999993E-2</v>
      </c>
      <c r="F161" s="144">
        <f>VLOOKUP($A161,'Data shares'!$C:$FA,24)</f>
        <v>5.3</v>
      </c>
      <c r="G161" s="144">
        <f>VLOOKUP($A161,'Data shares'!$C:$FA,25)</f>
        <v>-1</v>
      </c>
    </row>
    <row r="162" spans="1:7" x14ac:dyDescent="0.25">
      <c r="A162" s="101" t="str">
        <f>'Data shares'!C158</f>
        <v>PETRONET</v>
      </c>
      <c r="B162" s="144">
        <f>VLOOKUP($A162,'Data shares'!$C:$FA,7)</f>
        <v>280.10000000000002</v>
      </c>
      <c r="C162" s="144">
        <f>VLOOKUP($A162,'Data shares'!$C:$FA,3)</f>
        <v>280.3</v>
      </c>
      <c r="D162" s="144">
        <f>VLOOKUP($A162,'Data shares'!$C:$FA,23)</f>
        <v>0.2</v>
      </c>
      <c r="E162" s="145">
        <f>VLOOKUP($A162,'Data shares'!$C:$FA,26)*100</f>
        <v>6.9999999999999993E-2</v>
      </c>
      <c r="F162" s="144">
        <f>VLOOKUP($A162,'Data shares'!$C:$FA,24)</f>
        <v>-0.35</v>
      </c>
      <c r="G162" s="144">
        <f>VLOOKUP($A162,'Data shares'!$C:$FA,25)</f>
        <v>0.55000000000000004</v>
      </c>
    </row>
    <row r="163" spans="1:7" x14ac:dyDescent="0.25">
      <c r="A163" s="101" t="str">
        <f>'Data shares'!C159</f>
        <v>PFC</v>
      </c>
      <c r="B163" s="144">
        <f>VLOOKUP($A163,'Data shares'!$C:$FA,7)</f>
        <v>396.9</v>
      </c>
      <c r="C163" s="144">
        <f>VLOOKUP($A163,'Data shares'!$C:$FA,3)</f>
        <v>397.2</v>
      </c>
      <c r="D163" s="144">
        <f>VLOOKUP($A163,'Data shares'!$C:$FA,23)</f>
        <v>0.3</v>
      </c>
      <c r="E163" s="145">
        <f>VLOOKUP($A163,'Data shares'!$C:$FA,26)*100</f>
        <v>0.08</v>
      </c>
      <c r="F163" s="144">
        <f>VLOOKUP($A163,'Data shares'!$C:$FA,24)</f>
        <v>0</v>
      </c>
      <c r="G163" s="144">
        <f>VLOOKUP($A163,'Data shares'!$C:$FA,25)</f>
        <v>0.3</v>
      </c>
    </row>
    <row r="164" spans="1:7" x14ac:dyDescent="0.25">
      <c r="A164" s="101" t="str">
        <f>'Data shares'!C160</f>
        <v>PGEL</v>
      </c>
      <c r="B164" s="144">
        <f>VLOOKUP($A164,'Data shares'!$C:$FA,7)</f>
        <v>571.95000000000005</v>
      </c>
      <c r="C164" s="144">
        <f>VLOOKUP($A164,'Data shares'!$C:$FA,3)</f>
        <v>571.35</v>
      </c>
      <c r="D164" s="144">
        <f>VLOOKUP($A164,'Data shares'!$C:$FA,23)</f>
        <v>-0.6</v>
      </c>
      <c r="E164" s="145">
        <f>VLOOKUP($A164,'Data shares'!$C:$FA,26)*100</f>
        <v>-0.1</v>
      </c>
      <c r="F164" s="144">
        <f>VLOOKUP($A164,'Data shares'!$C:$FA,24)</f>
        <v>-0.45</v>
      </c>
      <c r="G164" s="144">
        <f>VLOOKUP($A164,'Data shares'!$C:$FA,25)</f>
        <v>-0.15</v>
      </c>
    </row>
    <row r="165" spans="1:7" x14ac:dyDescent="0.25">
      <c r="A165" s="101" t="str">
        <f>'Data shares'!C161</f>
        <v>PHOENIXLTD</v>
      </c>
      <c r="B165" s="144">
        <f>VLOOKUP($A165,'Data shares'!$C:$FA,7)</f>
        <v>1711.1</v>
      </c>
      <c r="C165" s="144">
        <f>VLOOKUP($A165,'Data shares'!$C:$FA,3)</f>
        <v>1708.4</v>
      </c>
      <c r="D165" s="144">
        <f>VLOOKUP($A165,'Data shares'!$C:$FA,23)</f>
        <v>-2.7</v>
      </c>
      <c r="E165" s="145">
        <f>VLOOKUP($A165,'Data shares'!$C:$FA,26)*100</f>
        <v>-0.16</v>
      </c>
      <c r="F165" s="144">
        <f>VLOOKUP($A165,'Data shares'!$C:$FA,24)</f>
        <v>3.4</v>
      </c>
      <c r="G165" s="144">
        <f>VLOOKUP($A165,'Data shares'!$C:$FA,25)</f>
        <v>-6.1</v>
      </c>
    </row>
    <row r="166" spans="1:7" x14ac:dyDescent="0.25">
      <c r="A166" s="101" t="str">
        <f>'Data shares'!C162</f>
        <v>PIDILITIND</v>
      </c>
      <c r="B166" s="144">
        <f>VLOOKUP($A166,'Data shares'!$C:$FA,7)</f>
        <v>1504.4</v>
      </c>
      <c r="C166" s="144">
        <f>VLOOKUP($A166,'Data shares'!$C:$FA,3)</f>
        <v>1504.2</v>
      </c>
      <c r="D166" s="144">
        <f>VLOOKUP($A166,'Data shares'!$C:$FA,23)</f>
        <v>-0.2</v>
      </c>
      <c r="E166" s="145">
        <f>VLOOKUP($A166,'Data shares'!$C:$FA,26)*100</f>
        <v>-0.01</v>
      </c>
      <c r="F166" s="144">
        <f>VLOOKUP($A166,'Data shares'!$C:$FA,24)</f>
        <v>-1.7</v>
      </c>
      <c r="G166" s="144">
        <f>VLOOKUP($A166,'Data shares'!$C:$FA,25)</f>
        <v>1.5</v>
      </c>
    </row>
    <row r="167" spans="1:7" x14ac:dyDescent="0.25">
      <c r="A167" s="101" t="str">
        <f>'Data shares'!C163</f>
        <v>PIIND</v>
      </c>
      <c r="B167" s="144">
        <f>VLOOKUP($A167,'Data shares'!$C:$FA,7)</f>
        <v>3610</v>
      </c>
      <c r="C167" s="144">
        <f>VLOOKUP($A167,'Data shares'!$C:$FA,3)</f>
        <v>3607.3</v>
      </c>
      <c r="D167" s="144">
        <f>VLOOKUP($A167,'Data shares'!$C:$FA,23)</f>
        <v>-2.7</v>
      </c>
      <c r="E167" s="145">
        <f>VLOOKUP($A167,'Data shares'!$C:$FA,26)*100</f>
        <v>-6.9999999999999993E-2</v>
      </c>
      <c r="F167" s="144">
        <f>VLOOKUP($A167,'Data shares'!$C:$FA,24)</f>
        <v>-2.7</v>
      </c>
      <c r="G167" s="144">
        <f>VLOOKUP($A167,'Data shares'!$C:$FA,25)</f>
        <v>0</v>
      </c>
    </row>
    <row r="168" spans="1:7" s="175" customFormat="1" x14ac:dyDescent="0.25">
      <c r="A168" s="101" t="str">
        <f>'Data shares'!C164</f>
        <v>PNB</v>
      </c>
      <c r="B168" s="144">
        <f>VLOOKUP($A168,'Data shares'!$C:$FA,7)</f>
        <v>119.63</v>
      </c>
      <c r="C168" s="144">
        <f>VLOOKUP($A168,'Data shares'!$C:$FA,3)</f>
        <v>119.59</v>
      </c>
      <c r="D168" s="144">
        <f>VLOOKUP($A168,'Data shares'!$C:$FA,23)</f>
        <v>-0.04</v>
      </c>
      <c r="E168" s="145">
        <f>VLOOKUP($A168,'Data shares'!$C:$FA,26)*100</f>
        <v>-0.03</v>
      </c>
      <c r="F168" s="144">
        <f>VLOOKUP($A168,'Data shares'!$C:$FA,24)</f>
        <v>0.13</v>
      </c>
      <c r="G168" s="144">
        <f>VLOOKUP($A168,'Data shares'!$C:$FA,25)</f>
        <v>-0.17</v>
      </c>
    </row>
    <row r="169" spans="1:7" x14ac:dyDescent="0.25">
      <c r="A169" s="101" t="str">
        <f>'Data shares'!C165</f>
        <v>PNBHOUSING</v>
      </c>
      <c r="B169" s="144">
        <f>VLOOKUP($A169,'Data shares'!$C:$FA,7)</f>
        <v>927.6</v>
      </c>
      <c r="C169" s="144">
        <f>VLOOKUP($A169,'Data shares'!$C:$FA,3)</f>
        <v>928.45</v>
      </c>
      <c r="D169" s="144">
        <f>VLOOKUP($A169,'Data shares'!$C:$FA,23)</f>
        <v>0.85</v>
      </c>
      <c r="E169" s="145">
        <f>VLOOKUP($A169,'Data shares'!$C:$FA,26)*100</f>
        <v>0.09</v>
      </c>
      <c r="F169" s="144">
        <f>VLOOKUP($A169,'Data shares'!$C:$FA,24)</f>
        <v>0.45</v>
      </c>
      <c r="G169" s="144">
        <f>VLOOKUP($A169,'Data shares'!$C:$FA,25)</f>
        <v>0.4</v>
      </c>
    </row>
    <row r="170" spans="1:7" x14ac:dyDescent="0.25">
      <c r="A170" s="101" t="str">
        <f>'Data shares'!C166</f>
        <v>POLICYBZR</v>
      </c>
      <c r="B170" s="144">
        <f>VLOOKUP($A170,'Data shares'!$C:$FA,7)</f>
        <v>1749.4</v>
      </c>
      <c r="C170" s="144">
        <f>VLOOKUP($A170,'Data shares'!$C:$FA,3)</f>
        <v>1751.8</v>
      </c>
      <c r="D170" s="144">
        <f>VLOOKUP($A170,'Data shares'!$C:$FA,23)</f>
        <v>2.4</v>
      </c>
      <c r="E170" s="145">
        <f>VLOOKUP($A170,'Data shares'!$C:$FA,26)*100</f>
        <v>0.13999999999999999</v>
      </c>
      <c r="F170" s="144">
        <f>VLOOKUP($A170,'Data shares'!$C:$FA,24)</f>
        <v>1.3</v>
      </c>
      <c r="G170" s="144">
        <f>VLOOKUP($A170,'Data shares'!$C:$FA,25)</f>
        <v>1.1000000000000001</v>
      </c>
    </row>
    <row r="171" spans="1:7" x14ac:dyDescent="0.25">
      <c r="A171" s="101" t="str">
        <f>'Data shares'!C167</f>
        <v>POLYCAB</v>
      </c>
      <c r="B171" s="144">
        <f>VLOOKUP($A171,'Data shares'!$C:$FA,7)</f>
        <v>7666.5</v>
      </c>
      <c r="C171" s="144">
        <f>VLOOKUP($A171,'Data shares'!$C:$FA,3)</f>
        <v>7664</v>
      </c>
      <c r="D171" s="144">
        <f>VLOOKUP($A171,'Data shares'!$C:$FA,23)</f>
        <v>-2.5</v>
      </c>
      <c r="E171" s="145">
        <f>VLOOKUP($A171,'Data shares'!$C:$FA,26)*100</f>
        <v>-0.03</v>
      </c>
      <c r="F171" s="144">
        <f>VLOOKUP($A171,'Data shares'!$C:$FA,24)</f>
        <v>-13.5</v>
      </c>
      <c r="G171" s="144">
        <f>VLOOKUP($A171,'Data shares'!$C:$FA,25)</f>
        <v>11</v>
      </c>
    </row>
    <row r="172" spans="1:7" x14ac:dyDescent="0.25">
      <c r="A172" s="101" t="str">
        <f>'Data shares'!C168</f>
        <v>POWERGRID</v>
      </c>
      <c r="B172" s="144">
        <f>VLOOKUP($A172,'Data shares'!$C:$FA,7)</f>
        <v>291.05</v>
      </c>
      <c r="C172" s="144">
        <f>VLOOKUP($A172,'Data shares'!$C:$FA,3)</f>
        <v>291.7</v>
      </c>
      <c r="D172" s="144">
        <f>VLOOKUP($A172,'Data shares'!$C:$FA,23)</f>
        <v>0.65</v>
      </c>
      <c r="E172" s="145">
        <f>VLOOKUP($A172,'Data shares'!$C:$FA,26)*100</f>
        <v>0.22</v>
      </c>
      <c r="F172" s="144">
        <f>VLOOKUP($A172,'Data shares'!$C:$FA,24)</f>
        <v>-0.05</v>
      </c>
      <c r="G172" s="144">
        <f>VLOOKUP($A172,'Data shares'!$C:$FA,25)</f>
        <v>0.7</v>
      </c>
    </row>
    <row r="173" spans="1:7" x14ac:dyDescent="0.25">
      <c r="A173" s="101" t="str">
        <f>'Data shares'!C169</f>
        <v>POWERINDIA</v>
      </c>
      <c r="B173" s="144">
        <f>VLOOKUP($A173,'Data shares'!$C:$FA,7)</f>
        <v>16655</v>
      </c>
      <c r="C173" s="144">
        <f>VLOOKUP($A173,'Data shares'!$C:$FA,3)</f>
        <v>16686</v>
      </c>
      <c r="D173" s="144">
        <f>VLOOKUP($A173,'Data shares'!$C:$FA,23)</f>
        <v>31</v>
      </c>
      <c r="E173" s="145">
        <f>VLOOKUP($A173,'Data shares'!$C:$FA,26)*100</f>
        <v>0.19</v>
      </c>
      <c r="F173" s="144">
        <f>VLOOKUP($A173,'Data shares'!$C:$FA,24)</f>
        <v>13</v>
      </c>
      <c r="G173" s="144">
        <f>VLOOKUP($A173,'Data shares'!$C:$FA,25)</f>
        <v>18</v>
      </c>
    </row>
    <row r="174" spans="1:7" x14ac:dyDescent="0.25">
      <c r="A174" s="101" t="str">
        <f>'Data shares'!C170</f>
        <v>PPLPHARMA</v>
      </c>
      <c r="B174" s="144">
        <f>VLOOKUP($A174,'Data shares'!$C:$FA,7)</f>
        <v>203.14</v>
      </c>
      <c r="C174" s="144">
        <f>VLOOKUP($A174,'Data shares'!$C:$FA,3)</f>
        <v>203.52</v>
      </c>
      <c r="D174" s="144">
        <f>VLOOKUP($A174,'Data shares'!$C:$FA,23)</f>
        <v>0.38</v>
      </c>
      <c r="E174" s="145">
        <f>VLOOKUP($A174,'Data shares'!$C:$FA,26)*100</f>
        <v>0.19</v>
      </c>
      <c r="F174" s="144">
        <f>VLOOKUP($A174,'Data shares'!$C:$FA,24)</f>
        <v>0.24</v>
      </c>
      <c r="G174" s="144">
        <f>VLOOKUP($A174,'Data shares'!$C:$FA,25)</f>
        <v>0.14000000000000001</v>
      </c>
    </row>
    <row r="175" spans="1:7" x14ac:dyDescent="0.25">
      <c r="A175" s="101" t="str">
        <f>'Data shares'!C171</f>
        <v>PRESTIGE</v>
      </c>
      <c r="B175" s="144">
        <f>VLOOKUP($A175,'Data shares'!$C:$FA,7)</f>
        <v>1784.8</v>
      </c>
      <c r="C175" s="144">
        <f>VLOOKUP($A175,'Data shares'!$C:$FA,3)</f>
        <v>1785.2</v>
      </c>
      <c r="D175" s="144">
        <f>VLOOKUP($A175,'Data shares'!$C:$FA,23)</f>
        <v>0.4</v>
      </c>
      <c r="E175" s="145">
        <f>VLOOKUP($A175,'Data shares'!$C:$FA,26)*100</f>
        <v>0.02</v>
      </c>
      <c r="F175" s="144">
        <f>VLOOKUP($A175,'Data shares'!$C:$FA,24)</f>
        <v>-1.3</v>
      </c>
      <c r="G175" s="144">
        <f>VLOOKUP($A175,'Data shares'!$C:$FA,25)</f>
        <v>1.7</v>
      </c>
    </row>
    <row r="176" spans="1:7" x14ac:dyDescent="0.25">
      <c r="A176" s="101" t="str">
        <f>'Data shares'!C172</f>
        <v>RBLBANK</v>
      </c>
      <c r="B176" s="144">
        <f>VLOOKUP($A176,'Data shares'!$C:$FA,7)</f>
        <v>322.05</v>
      </c>
      <c r="C176" s="144">
        <f>VLOOKUP($A176,'Data shares'!$C:$FA,3)</f>
        <v>322.3</v>
      </c>
      <c r="D176" s="144">
        <f>VLOOKUP($A176,'Data shares'!$C:$FA,23)</f>
        <v>0.25</v>
      </c>
      <c r="E176" s="145">
        <f>VLOOKUP($A176,'Data shares'!$C:$FA,26)*100</f>
        <v>0.08</v>
      </c>
      <c r="F176" s="144">
        <f>VLOOKUP($A176,'Data shares'!$C:$FA,24)</f>
        <v>0.7</v>
      </c>
      <c r="G176" s="144">
        <f>VLOOKUP($A176,'Data shares'!$C:$FA,25)</f>
        <v>-0.45</v>
      </c>
    </row>
    <row r="177" spans="1:7" x14ac:dyDescent="0.25">
      <c r="A177" s="101" t="str">
        <f>'Data shares'!C173</f>
        <v>RECLTD</v>
      </c>
      <c r="B177" s="144">
        <f>VLOOKUP($A177,'Data shares'!$C:$FA,7)</f>
        <v>373.7</v>
      </c>
      <c r="C177" s="144">
        <f>VLOOKUP($A177,'Data shares'!$C:$FA,3)</f>
        <v>373.8</v>
      </c>
      <c r="D177" s="144">
        <f>VLOOKUP($A177,'Data shares'!$C:$FA,23)</f>
        <v>0.1</v>
      </c>
      <c r="E177" s="145">
        <f>VLOOKUP($A177,'Data shares'!$C:$FA,26)*100</f>
        <v>0.03</v>
      </c>
      <c r="F177" s="144">
        <f>VLOOKUP($A177,'Data shares'!$C:$FA,24)</f>
        <v>-5.0999999999999996</v>
      </c>
      <c r="G177" s="144">
        <f>VLOOKUP($A177,'Data shares'!$C:$FA,25)</f>
        <v>5.2</v>
      </c>
    </row>
    <row r="178" spans="1:7" x14ac:dyDescent="0.25">
      <c r="A178" s="101" t="str">
        <f>'Data shares'!C174</f>
        <v>RELIANCE</v>
      </c>
      <c r="B178" s="144">
        <f>VLOOKUP($A178,'Data shares'!$C:$FA,7)</f>
        <v>1484.1</v>
      </c>
      <c r="C178" s="144">
        <f>VLOOKUP($A178,'Data shares'!$C:$FA,3)</f>
        <v>1482.3</v>
      </c>
      <c r="D178" s="144">
        <f>VLOOKUP($A178,'Data shares'!$C:$FA,23)</f>
        <v>-1.8</v>
      </c>
      <c r="E178" s="145">
        <f>VLOOKUP($A178,'Data shares'!$C:$FA,26)*100</f>
        <v>-0.12</v>
      </c>
      <c r="F178" s="144">
        <f>VLOOKUP($A178,'Data shares'!$C:$FA,24)</f>
        <v>-1.1000000000000001</v>
      </c>
      <c r="G178" s="144">
        <f>VLOOKUP($A178,'Data shares'!$C:$FA,25)</f>
        <v>-0.7</v>
      </c>
    </row>
    <row r="179" spans="1:7" x14ac:dyDescent="0.25">
      <c r="A179" s="101" t="str">
        <f>'Data shares'!C175</f>
        <v>RVNL</v>
      </c>
      <c r="B179" s="144">
        <f>VLOOKUP($A179,'Data shares'!$C:$FA,7)</f>
        <v>330</v>
      </c>
      <c r="C179" s="144">
        <f>VLOOKUP($A179,'Data shares'!$C:$FA,3)</f>
        <v>330.7</v>
      </c>
      <c r="D179" s="144">
        <f>VLOOKUP($A179,'Data shares'!$C:$FA,23)</f>
        <v>0.7</v>
      </c>
      <c r="E179" s="145">
        <f>VLOOKUP($A179,'Data shares'!$C:$FA,26)*100</f>
        <v>0.21</v>
      </c>
      <c r="F179" s="144">
        <f>VLOOKUP($A179,'Data shares'!$C:$FA,24)</f>
        <v>-0.45</v>
      </c>
      <c r="G179" s="144">
        <f>VLOOKUP($A179,'Data shares'!$C:$FA,25)</f>
        <v>1.1499999999999999</v>
      </c>
    </row>
    <row r="180" spans="1:7" x14ac:dyDescent="0.25">
      <c r="A180" s="101" t="str">
        <f>'Data shares'!C176</f>
        <v>SAIL</v>
      </c>
      <c r="B180" s="144">
        <f>VLOOKUP($A180,'Data shares'!$C:$FA,7)</f>
        <v>129.9</v>
      </c>
      <c r="C180" s="144">
        <f>VLOOKUP($A180,'Data shares'!$C:$FA,3)</f>
        <v>130.44999999999999</v>
      </c>
      <c r="D180" s="144">
        <f>VLOOKUP($A180,'Data shares'!$C:$FA,23)</f>
        <v>0.55000000000000004</v>
      </c>
      <c r="E180" s="145">
        <f>VLOOKUP($A180,'Data shares'!$C:$FA,26)*100</f>
        <v>0.42</v>
      </c>
      <c r="F180" s="144">
        <f>VLOOKUP($A180,'Data shares'!$C:$FA,24)</f>
        <v>0.08</v>
      </c>
      <c r="G180" s="144">
        <f>VLOOKUP($A180,'Data shares'!$C:$FA,25)</f>
        <v>0.47</v>
      </c>
    </row>
    <row r="181" spans="1:7" x14ac:dyDescent="0.25">
      <c r="A181" s="101" t="str">
        <f>'Data shares'!C177</f>
        <v>SAMMAANCAP</v>
      </c>
      <c r="B181" s="144">
        <f>VLOOKUP($A181,'Data shares'!$C:$FA,7)</f>
        <v>188.63</v>
      </c>
      <c r="C181" s="144">
        <f>VLOOKUP($A181,'Data shares'!$C:$FA,3)</f>
        <v>189.13</v>
      </c>
      <c r="D181" s="144">
        <f>VLOOKUP($A181,'Data shares'!$C:$FA,23)</f>
        <v>0.5</v>
      </c>
      <c r="E181" s="145">
        <f>VLOOKUP($A181,'Data shares'!$C:$FA,26)*100</f>
        <v>0.27</v>
      </c>
      <c r="F181" s="144">
        <f>VLOOKUP($A181,'Data shares'!$C:$FA,24)</f>
        <v>0.42</v>
      </c>
      <c r="G181" s="144">
        <f>VLOOKUP($A181,'Data shares'!$C:$FA,25)</f>
        <v>0.08</v>
      </c>
    </row>
    <row r="182" spans="1:7" x14ac:dyDescent="0.25">
      <c r="A182" s="101" t="str">
        <f>'Data shares'!C178</f>
        <v>SBICARD</v>
      </c>
      <c r="B182" s="144">
        <f>VLOOKUP($A182,'Data shares'!$C:$FA,7)</f>
        <v>900.8</v>
      </c>
      <c r="C182" s="144">
        <f>VLOOKUP($A182,'Data shares'!$C:$FA,3)</f>
        <v>900.6</v>
      </c>
      <c r="D182" s="144">
        <f>VLOOKUP($A182,'Data shares'!$C:$FA,23)</f>
        <v>-0.2</v>
      </c>
      <c r="E182" s="145">
        <f>VLOOKUP($A182,'Data shares'!$C:$FA,26)*100</f>
        <v>-0.02</v>
      </c>
      <c r="F182" s="144">
        <f>VLOOKUP($A182,'Data shares'!$C:$FA,24)</f>
        <v>2.15</v>
      </c>
      <c r="G182" s="144">
        <f>VLOOKUP($A182,'Data shares'!$C:$FA,25)</f>
        <v>-2.35</v>
      </c>
    </row>
    <row r="183" spans="1:7" x14ac:dyDescent="0.25">
      <c r="A183" s="101" t="str">
        <f>'Data shares'!C179</f>
        <v>SBILIFE</v>
      </c>
      <c r="B183" s="144">
        <f>VLOOKUP($A183,'Data shares'!$C:$FA,7)</f>
        <v>1903.1</v>
      </c>
      <c r="C183" s="144">
        <f>VLOOKUP($A183,'Data shares'!$C:$FA,3)</f>
        <v>1899.9</v>
      </c>
      <c r="D183" s="144">
        <f>VLOOKUP($A183,'Data shares'!$C:$FA,23)</f>
        <v>-3.2</v>
      </c>
      <c r="E183" s="145">
        <f>VLOOKUP($A183,'Data shares'!$C:$FA,26)*100</f>
        <v>-0.16999999999999998</v>
      </c>
      <c r="F183" s="144">
        <f>VLOOKUP($A183,'Data shares'!$C:$FA,24)</f>
        <v>-0.6</v>
      </c>
      <c r="G183" s="144">
        <f>VLOOKUP($A183,'Data shares'!$C:$FA,25)</f>
        <v>-2.6</v>
      </c>
    </row>
    <row r="184" spans="1:7" x14ac:dyDescent="0.25">
      <c r="A184" s="101" t="str">
        <f>'Data shares'!C180</f>
        <v>SBIN</v>
      </c>
      <c r="B184" s="144">
        <f>VLOOKUP($A184,'Data shares'!$C:$FA,7)</f>
        <v>922.75</v>
      </c>
      <c r="C184" s="144">
        <f>VLOOKUP($A184,'Data shares'!$C:$FA,3)</f>
        <v>921.5</v>
      </c>
      <c r="D184" s="144">
        <f>VLOOKUP($A184,'Data shares'!$C:$FA,23)</f>
        <v>-1.25</v>
      </c>
      <c r="E184" s="145">
        <f>VLOOKUP($A184,'Data shares'!$C:$FA,26)*100</f>
        <v>-0.13999999999999999</v>
      </c>
      <c r="F184" s="144">
        <f>VLOOKUP($A184,'Data shares'!$C:$FA,24)</f>
        <v>-0.5</v>
      </c>
      <c r="G184" s="144">
        <f>VLOOKUP($A184,'Data shares'!$C:$FA,25)</f>
        <v>-0.75</v>
      </c>
    </row>
    <row r="185" spans="1:7" x14ac:dyDescent="0.25">
      <c r="A185" s="101" t="str">
        <f>'Data shares'!C181</f>
        <v>SHREECEM</v>
      </c>
      <c r="B185" s="144">
        <f>VLOOKUP($A185,'Data shares'!$C:$FA,7)</f>
        <v>28590</v>
      </c>
      <c r="C185" s="144">
        <f>VLOOKUP($A185,'Data shares'!$C:$FA,3)</f>
        <v>28475</v>
      </c>
      <c r="D185" s="144">
        <f>VLOOKUP($A185,'Data shares'!$C:$FA,23)</f>
        <v>-115</v>
      </c>
      <c r="E185" s="145">
        <f>VLOOKUP($A185,'Data shares'!$C:$FA,26)*100</f>
        <v>-0.4</v>
      </c>
      <c r="F185" s="144">
        <f>VLOOKUP($A185,'Data shares'!$C:$FA,24)</f>
        <v>-65</v>
      </c>
      <c r="G185" s="144">
        <f>VLOOKUP($A185,'Data shares'!$C:$FA,25)</f>
        <v>-50</v>
      </c>
    </row>
    <row r="186" spans="1:7" x14ac:dyDescent="0.25">
      <c r="A186" s="101" t="str">
        <f>'Data shares'!C182</f>
        <v>SHRIRAMFIN</v>
      </c>
      <c r="B186" s="144">
        <f>VLOOKUP($A186,'Data shares'!$C:$FA,7)</f>
        <v>719.6</v>
      </c>
      <c r="C186" s="144">
        <f>VLOOKUP($A186,'Data shares'!$C:$FA,3)</f>
        <v>719.95</v>
      </c>
      <c r="D186" s="144">
        <f>VLOOKUP($A186,'Data shares'!$C:$FA,23)</f>
        <v>0.35</v>
      </c>
      <c r="E186" s="145">
        <f>VLOOKUP($A186,'Data shares'!$C:$FA,26)*100</f>
        <v>0.05</v>
      </c>
      <c r="F186" s="144">
        <f>VLOOKUP($A186,'Data shares'!$C:$FA,24)</f>
        <v>0.1</v>
      </c>
      <c r="G186" s="144">
        <f>VLOOKUP($A186,'Data shares'!$C:$FA,25)</f>
        <v>0.25</v>
      </c>
    </row>
    <row r="187" spans="1:7" x14ac:dyDescent="0.25">
      <c r="A187" s="101" t="str">
        <f>'Data shares'!C183</f>
        <v>SIEMENS</v>
      </c>
      <c r="B187" s="144">
        <f>VLOOKUP($A187,'Data shares'!$C:$FA,7)</f>
        <v>3159.9</v>
      </c>
      <c r="C187" s="144">
        <f>VLOOKUP($A187,'Data shares'!$C:$FA,3)</f>
        <v>3158.8</v>
      </c>
      <c r="D187" s="144">
        <f>VLOOKUP($A187,'Data shares'!$C:$FA,23)</f>
        <v>-1.1000000000000001</v>
      </c>
      <c r="E187" s="145">
        <f>VLOOKUP($A187,'Data shares'!$C:$FA,26)*100</f>
        <v>-0.03</v>
      </c>
      <c r="F187" s="144">
        <f>VLOOKUP($A187,'Data shares'!$C:$FA,24)</f>
        <v>-4.5999999999999996</v>
      </c>
      <c r="G187" s="144">
        <f>VLOOKUP($A187,'Data shares'!$C:$FA,25)</f>
        <v>3.5</v>
      </c>
    </row>
    <row r="188" spans="1:7" x14ac:dyDescent="0.25">
      <c r="A188" s="101" t="str">
        <f>'Data shares'!C184</f>
        <v>SOLARINDS</v>
      </c>
      <c r="B188" s="144">
        <f>VLOOKUP($A188,'Data shares'!$C:$FA,7)</f>
        <v>14019</v>
      </c>
      <c r="C188" s="144">
        <f>VLOOKUP($A188,'Data shares'!$C:$FA,3)</f>
        <v>14030</v>
      </c>
      <c r="D188" s="144">
        <f>VLOOKUP($A188,'Data shares'!$C:$FA,23)</f>
        <v>11</v>
      </c>
      <c r="E188" s="145">
        <f>VLOOKUP($A188,'Data shares'!$C:$FA,26)*100</f>
        <v>0.08</v>
      </c>
      <c r="F188" s="144">
        <f>VLOOKUP($A188,'Data shares'!$C:$FA,24)</f>
        <v>-5</v>
      </c>
      <c r="G188" s="144">
        <f>VLOOKUP($A188,'Data shares'!$C:$FA,25)</f>
        <v>16</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shares'!C217</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29.31</v>
      </c>
      <c r="C7" s="50">
        <f>VLOOKUP($A7,'Data shares'!$C:$FM,110)</f>
        <v>29.37</v>
      </c>
      <c r="D7" s="50">
        <f>VLOOKUP($A7,'Data shares'!$C:$FM,114)</f>
        <v>29.21</v>
      </c>
      <c r="E7" s="50">
        <f>VLOOKUP($A7,'Data shares'!$C:$FM,106)</f>
        <v>45.39</v>
      </c>
      <c r="F7" s="50">
        <f>VLOOKUP($A7,'Data shares'!$C:$FM,108)</f>
        <v>-16.079999999999998</v>
      </c>
      <c r="G7" s="50">
        <f t="shared" ref="G7:G38" si="0">B7/E7</f>
        <v>0.64573694646397883</v>
      </c>
    </row>
    <row r="8" spans="1:7" x14ac:dyDescent="0.25">
      <c r="A8" s="49" t="str">
        <f>'Data shares'!C3</f>
        <v>ABB</v>
      </c>
      <c r="B8" s="50">
        <f>VLOOKUP($A8,'Data shares'!$C:$FM,102)</f>
        <v>27.57</v>
      </c>
      <c r="C8" s="50">
        <f>VLOOKUP($A8,'Data shares'!$C:$FM,110)</f>
        <v>27.44</v>
      </c>
      <c r="D8" s="50">
        <f>VLOOKUP($A8,'Data shares'!$C:$FM,114)</f>
        <v>27.77</v>
      </c>
      <c r="E8" s="50">
        <f>VLOOKUP($A8,'Data shares'!$C:$FM,106)</f>
        <v>36.090000000000003</v>
      </c>
      <c r="F8" s="50">
        <f>VLOOKUP($A8,'Data shares'!$C:$FM,108)</f>
        <v>-8.52</v>
      </c>
      <c r="G8" s="50">
        <f t="shared" si="0"/>
        <v>0.76392352452202816</v>
      </c>
    </row>
    <row r="9" spans="1:7" x14ac:dyDescent="0.25">
      <c r="A9" s="49" t="str">
        <f>'Data shares'!C4</f>
        <v>ABCAPITAL</v>
      </c>
      <c r="B9" s="50">
        <f>VLOOKUP($A9,'Data shares'!$C:$FM,102)</f>
        <v>32.22</v>
      </c>
      <c r="C9" s="50">
        <f>VLOOKUP($A9,'Data shares'!$C:$FM,110)</f>
        <v>32.15</v>
      </c>
      <c r="D9" s="50">
        <f>VLOOKUP($A9,'Data shares'!$C:$FM,114)</f>
        <v>32.340000000000003</v>
      </c>
      <c r="E9" s="50">
        <f>VLOOKUP($A9,'Data shares'!$C:$FM,106)</f>
        <v>39.880000000000003</v>
      </c>
      <c r="F9" s="50">
        <f>VLOOKUP($A9,'Data shares'!$C:$FM,108)</f>
        <v>-7.66</v>
      </c>
      <c r="G9" s="50">
        <f t="shared" si="0"/>
        <v>0.80792377131394177</v>
      </c>
    </row>
    <row r="10" spans="1:7" x14ac:dyDescent="0.25">
      <c r="A10" s="49" t="str">
        <f>'Data shares'!C5</f>
        <v>ADANIENSOL</v>
      </c>
      <c r="B10" s="50">
        <f>VLOOKUP($A10,'Data shares'!$C:$FM,102)</f>
        <v>38.19</v>
      </c>
      <c r="C10" s="50">
        <f>VLOOKUP($A10,'Data shares'!$C:$FM,110)</f>
        <v>38.1</v>
      </c>
      <c r="D10" s="50">
        <f>VLOOKUP($A10,'Data shares'!$C:$FM,114)</f>
        <v>38.4</v>
      </c>
      <c r="E10" s="50">
        <f>VLOOKUP($A10,'Data shares'!$C:$FM,106)</f>
        <v>55.08</v>
      </c>
      <c r="F10" s="50">
        <f>VLOOKUP($A10,'Data shares'!$C:$FM,108)</f>
        <v>-16.89</v>
      </c>
      <c r="G10" s="50">
        <f t="shared" si="0"/>
        <v>0.69335511982570808</v>
      </c>
    </row>
    <row r="11" spans="1:7" x14ac:dyDescent="0.25">
      <c r="A11" s="49" t="str">
        <f>'Data shares'!C6</f>
        <v>ADANIENT</v>
      </c>
      <c r="B11" s="50">
        <f>VLOOKUP($A11,'Data shares'!$C:$FM,102)</f>
        <v>30.75</v>
      </c>
      <c r="C11" s="50">
        <f>VLOOKUP($A11,'Data shares'!$C:$FM,110)</f>
        <v>31.13</v>
      </c>
      <c r="D11" s="50">
        <f>VLOOKUP($A11,'Data shares'!$C:$FM,114)</f>
        <v>30.2</v>
      </c>
      <c r="E11" s="50">
        <f>VLOOKUP($A11,'Data shares'!$C:$FM,106)</f>
        <v>48.65</v>
      </c>
      <c r="F11" s="50">
        <f>VLOOKUP($A11,'Data shares'!$C:$FM,108)</f>
        <v>-17.899999999999999</v>
      </c>
      <c r="G11" s="50">
        <f t="shared" si="0"/>
        <v>0.63206577595066804</v>
      </c>
    </row>
    <row r="12" spans="1:7" x14ac:dyDescent="0.25">
      <c r="A12" s="49" t="str">
        <f>'Data shares'!C7</f>
        <v>ADANIGREEN</v>
      </c>
      <c r="B12" s="50">
        <f>VLOOKUP($A12,'Data shares'!$C:$FM,102)</f>
        <v>40.659999999999997</v>
      </c>
      <c r="C12" s="50">
        <f>VLOOKUP($A12,'Data shares'!$C:$FM,110)</f>
        <v>41.27</v>
      </c>
      <c r="D12" s="50">
        <f>VLOOKUP($A12,'Data shares'!$C:$FM,114)</f>
        <v>39.32</v>
      </c>
      <c r="E12" s="50">
        <f>VLOOKUP($A12,'Data shares'!$C:$FM,106)</f>
        <v>57.72</v>
      </c>
      <c r="F12" s="50">
        <f>VLOOKUP($A12,'Data shares'!$C:$FM,108)</f>
        <v>-17.059999999999999</v>
      </c>
      <c r="G12" s="50">
        <f t="shared" si="0"/>
        <v>0.70443520443520435</v>
      </c>
    </row>
    <row r="13" spans="1:7" x14ac:dyDescent="0.25">
      <c r="A13" s="49" t="str">
        <f>'Data shares'!C8</f>
        <v>ADANIPORTS</v>
      </c>
      <c r="B13" s="50">
        <f>VLOOKUP($A13,'Data shares'!$C:$FM,102)</f>
        <v>26.12</v>
      </c>
      <c r="C13" s="50">
        <f>VLOOKUP($A13,'Data shares'!$C:$FM,110)</f>
        <v>26.6</v>
      </c>
      <c r="D13" s="50">
        <f>VLOOKUP($A13,'Data shares'!$C:$FM,114)</f>
        <v>25.42</v>
      </c>
      <c r="E13" s="50">
        <f>VLOOKUP($A13,'Data shares'!$C:$FM,106)</f>
        <v>38.619999999999997</v>
      </c>
      <c r="F13" s="50">
        <f>VLOOKUP($A13,'Data shares'!$C:$FM,108)</f>
        <v>-12.5</v>
      </c>
      <c r="G13" s="50">
        <f t="shared" si="0"/>
        <v>0.6763335059554636</v>
      </c>
    </row>
    <row r="14" spans="1:7" x14ac:dyDescent="0.25">
      <c r="A14" s="49" t="str">
        <f>'Data shares'!C9</f>
        <v>ALKEM</v>
      </c>
      <c r="B14" s="50">
        <f>VLOOKUP($A14,'Data shares'!$C:$FM,102)</f>
        <v>25.19</v>
      </c>
      <c r="C14" s="50">
        <f>VLOOKUP($A14,'Data shares'!$C:$FM,110)</f>
        <v>24.87</v>
      </c>
      <c r="D14" s="50">
        <f>VLOOKUP($A14,'Data shares'!$C:$FM,114)</f>
        <v>25.77</v>
      </c>
      <c r="E14" s="50">
        <f>VLOOKUP($A14,'Data shares'!$C:$FM,106)</f>
        <v>27.52</v>
      </c>
      <c r="F14" s="50">
        <f>VLOOKUP($A14,'Data shares'!$C:$FM,108)</f>
        <v>-2.33</v>
      </c>
      <c r="G14" s="50">
        <f t="shared" si="0"/>
        <v>0.91533430232558144</v>
      </c>
    </row>
    <row r="15" spans="1:7" x14ac:dyDescent="0.25">
      <c r="A15" s="49" t="str">
        <f>'Data shares'!C10</f>
        <v>AMBER</v>
      </c>
      <c r="B15" s="50">
        <f>VLOOKUP($A15,'Data shares'!$C:$FM,102)</f>
        <v>35.18</v>
      </c>
      <c r="C15" s="50">
        <f>VLOOKUP($A15,'Data shares'!$C:$FM,110)</f>
        <v>35.200000000000003</v>
      </c>
      <c r="D15" s="50">
        <f>VLOOKUP($A15,'Data shares'!$C:$FM,114)</f>
        <v>35.119999999999997</v>
      </c>
      <c r="E15" s="50">
        <f>VLOOKUP($A15,'Data shares'!$C:$FM,106)</f>
        <v>53.97</v>
      </c>
      <c r="F15" s="50">
        <f>VLOOKUP($A15,'Data shares'!$C:$FM,108)</f>
        <v>-18.79</v>
      </c>
      <c r="G15" s="50">
        <f t="shared" si="0"/>
        <v>0.65184361682416159</v>
      </c>
    </row>
    <row r="16" spans="1:7" x14ac:dyDescent="0.25">
      <c r="A16" s="49" t="str">
        <f>'Data shares'!C11</f>
        <v>AMBUJACEM</v>
      </c>
      <c r="B16" s="50">
        <f>VLOOKUP($A16,'Data shares'!$C:$FM,102)</f>
        <v>24.86</v>
      </c>
      <c r="C16" s="50">
        <f>VLOOKUP($A16,'Data shares'!$C:$FM,110)</f>
        <v>24.68</v>
      </c>
      <c r="D16" s="50">
        <f>VLOOKUP($A16,'Data shares'!$C:$FM,114)</f>
        <v>25.12</v>
      </c>
      <c r="E16" s="50">
        <f>VLOOKUP($A16,'Data shares'!$C:$FM,106)</f>
        <v>33.549999999999997</v>
      </c>
      <c r="F16" s="50">
        <f>VLOOKUP($A16,'Data shares'!$C:$FM,108)</f>
        <v>-8.69</v>
      </c>
      <c r="G16" s="50">
        <f t="shared" si="0"/>
        <v>0.74098360655737705</v>
      </c>
    </row>
    <row r="17" spans="1:7" x14ac:dyDescent="0.25">
      <c r="A17" s="49" t="str">
        <f>'Data shares'!C12</f>
        <v>ANGELONE</v>
      </c>
      <c r="B17" s="50">
        <f>VLOOKUP($A17,'Data shares'!$C:$FM,102)</f>
        <v>36.68</v>
      </c>
      <c r="C17" s="50">
        <f>VLOOKUP($A17,'Data shares'!$C:$FM,110)</f>
        <v>36.520000000000003</v>
      </c>
      <c r="D17" s="50">
        <f>VLOOKUP($A17,'Data shares'!$C:$FM,114)</f>
        <v>37.090000000000003</v>
      </c>
      <c r="E17" s="50">
        <f>VLOOKUP($A17,'Data shares'!$C:$FM,106)</f>
        <v>54.92</v>
      </c>
      <c r="F17" s="50">
        <f>VLOOKUP($A17,'Data shares'!$C:$FM,108)</f>
        <v>-18.239999999999998</v>
      </c>
      <c r="G17" s="50">
        <f t="shared" si="0"/>
        <v>0.66788055353241071</v>
      </c>
    </row>
    <row r="18" spans="1:7" x14ac:dyDescent="0.25">
      <c r="A18" s="49" t="str">
        <f>'Data shares'!C13</f>
        <v>APLAPOLLO</v>
      </c>
      <c r="B18" s="50">
        <f>VLOOKUP($A18,'Data shares'!$C:$FM,102)</f>
        <v>28.92</v>
      </c>
      <c r="C18" s="50">
        <f>VLOOKUP($A18,'Data shares'!$C:$FM,110)</f>
        <v>28.89</v>
      </c>
      <c r="D18" s="50">
        <f>VLOOKUP($A18,'Data shares'!$C:$FM,114)</f>
        <v>28.99</v>
      </c>
      <c r="E18" s="50">
        <f>VLOOKUP($A18,'Data shares'!$C:$FM,106)</f>
        <v>34.270000000000003</v>
      </c>
      <c r="F18" s="50">
        <f>VLOOKUP($A18,'Data shares'!$C:$FM,108)</f>
        <v>-5.35</v>
      </c>
      <c r="G18" s="50">
        <f t="shared" si="0"/>
        <v>0.84388678144149398</v>
      </c>
    </row>
    <row r="19" spans="1:7" x14ac:dyDescent="0.25">
      <c r="A19" s="49" t="str">
        <f>'Data shares'!C14</f>
        <v>APOLLOHOSP</v>
      </c>
      <c r="B19" s="50">
        <f>VLOOKUP($A19,'Data shares'!$C:$FM,102)</f>
        <v>22.36</v>
      </c>
      <c r="C19" s="50">
        <f>VLOOKUP($A19,'Data shares'!$C:$FM,110)</f>
        <v>22.58</v>
      </c>
      <c r="D19" s="50">
        <f>VLOOKUP($A19,'Data shares'!$C:$FM,114)</f>
        <v>21.98</v>
      </c>
      <c r="E19" s="50">
        <f>VLOOKUP($A19,'Data shares'!$C:$FM,106)</f>
        <v>26.25</v>
      </c>
      <c r="F19" s="50">
        <f>VLOOKUP($A19,'Data shares'!$C:$FM,108)</f>
        <v>-3.89</v>
      </c>
      <c r="G19" s="50">
        <f t="shared" si="0"/>
        <v>0.85180952380952379</v>
      </c>
    </row>
    <row r="20" spans="1:7" x14ac:dyDescent="0.25">
      <c r="A20" s="49" t="str">
        <f>'Data shares'!C15</f>
        <v>ASHOKLEY</v>
      </c>
      <c r="B20" s="50">
        <f>VLOOKUP($A20,'Data shares'!$C:$FM,102)</f>
        <v>31.97</v>
      </c>
      <c r="C20" s="50">
        <f>VLOOKUP($A20,'Data shares'!$C:$FM,110)</f>
        <v>32.29</v>
      </c>
      <c r="D20" s="50">
        <f>VLOOKUP($A20,'Data shares'!$C:$FM,114)</f>
        <v>31.17</v>
      </c>
      <c r="E20" s="50">
        <f>VLOOKUP($A20,'Data shares'!$C:$FM,106)</f>
        <v>34.950000000000003</v>
      </c>
      <c r="F20" s="50">
        <f>VLOOKUP($A20,'Data shares'!$C:$FM,108)</f>
        <v>-2.98</v>
      </c>
      <c r="G20" s="50">
        <f t="shared" si="0"/>
        <v>0.9147353361945636</v>
      </c>
    </row>
    <row r="21" spans="1:7" x14ac:dyDescent="0.25">
      <c r="A21" s="49" t="str">
        <f>'Data shares'!C16</f>
        <v>ASIANPAINT</v>
      </c>
      <c r="B21" s="50">
        <f>VLOOKUP($A21,'Data shares'!$C:$FM,102)</f>
        <v>22.08</v>
      </c>
      <c r="C21" s="50">
        <f>VLOOKUP($A21,'Data shares'!$C:$FM,110)</f>
        <v>22.03</v>
      </c>
      <c r="D21" s="50">
        <f>VLOOKUP($A21,'Data shares'!$C:$FM,114)</f>
        <v>22.16</v>
      </c>
      <c r="E21" s="50">
        <f>VLOOKUP($A21,'Data shares'!$C:$FM,106)</f>
        <v>23.85</v>
      </c>
      <c r="F21" s="50">
        <f>VLOOKUP($A21,'Data shares'!$C:$FM,108)</f>
        <v>-1.77</v>
      </c>
      <c r="G21" s="50">
        <f t="shared" si="0"/>
        <v>0.92578616352201248</v>
      </c>
    </row>
    <row r="22" spans="1:7" x14ac:dyDescent="0.25">
      <c r="A22" s="49" t="str">
        <f>'Data shares'!C17</f>
        <v>ASTRAL</v>
      </c>
      <c r="B22" s="50">
        <f>VLOOKUP($A22,'Data shares'!$C:$FM,102)</f>
        <v>25.78</v>
      </c>
      <c r="C22" s="50">
        <f>VLOOKUP($A22,'Data shares'!$C:$FM,110)</f>
        <v>25.58</v>
      </c>
      <c r="D22" s="50">
        <f>VLOOKUP($A22,'Data shares'!$C:$FM,114)</f>
        <v>26.22</v>
      </c>
      <c r="E22" s="50">
        <f>VLOOKUP($A22,'Data shares'!$C:$FM,106)</f>
        <v>33.090000000000003</v>
      </c>
      <c r="F22" s="50">
        <f>VLOOKUP($A22,'Data shares'!$C:$FM,108)</f>
        <v>-7.31</v>
      </c>
      <c r="G22" s="50">
        <f t="shared" si="0"/>
        <v>0.77908733756421877</v>
      </c>
    </row>
    <row r="23" spans="1:7" x14ac:dyDescent="0.25">
      <c r="A23" s="49" t="str">
        <f>'Data shares'!C18</f>
        <v>AUBANK</v>
      </c>
      <c r="B23" s="50">
        <f>VLOOKUP($A23,'Data shares'!$C:$FM,102)</f>
        <v>26.5</v>
      </c>
      <c r="C23" s="50">
        <f>VLOOKUP($A23,'Data shares'!$C:$FM,110)</f>
        <v>26.2</v>
      </c>
      <c r="D23" s="50">
        <f>VLOOKUP($A23,'Data shares'!$C:$FM,114)</f>
        <v>26.94</v>
      </c>
      <c r="E23" s="50">
        <f>VLOOKUP($A23,'Data shares'!$C:$FM,106)</f>
        <v>37.479999999999997</v>
      </c>
      <c r="F23" s="50">
        <f>VLOOKUP($A23,'Data shares'!$C:$FM,108)</f>
        <v>-10.98</v>
      </c>
      <c r="G23" s="50">
        <f t="shared" si="0"/>
        <v>0.70704375667022423</v>
      </c>
    </row>
    <row r="24" spans="1:7" x14ac:dyDescent="0.25">
      <c r="A24" s="49" t="str">
        <f>'Data shares'!C19</f>
        <v>AUROPHARMA</v>
      </c>
      <c r="B24" s="50">
        <f>VLOOKUP($A24,'Data shares'!$C:$FM,102)</f>
        <v>28.65</v>
      </c>
      <c r="C24" s="50">
        <f>VLOOKUP($A24,'Data shares'!$C:$FM,110)</f>
        <v>28.85</v>
      </c>
      <c r="D24" s="50">
        <f>VLOOKUP($A24,'Data shares'!$C:$FM,114)</f>
        <v>28.33</v>
      </c>
      <c r="E24" s="50">
        <f>VLOOKUP($A24,'Data shares'!$C:$FM,106)</f>
        <v>34.36</v>
      </c>
      <c r="F24" s="50">
        <f>VLOOKUP($A24,'Data shares'!$C:$FM,108)</f>
        <v>-5.71</v>
      </c>
      <c r="G24" s="50">
        <f t="shared" si="0"/>
        <v>0.83381839348079156</v>
      </c>
    </row>
    <row r="25" spans="1:7" x14ac:dyDescent="0.25">
      <c r="A25" s="49" t="str">
        <f>'Data shares'!C20</f>
        <v>AXISBANK</v>
      </c>
      <c r="B25" s="50">
        <f>VLOOKUP($A25,'Data shares'!$C:$FM,102)</f>
        <v>18.809999999999999</v>
      </c>
      <c r="C25" s="50">
        <f>VLOOKUP($A25,'Data shares'!$C:$FM,110)</f>
        <v>18.489999999999998</v>
      </c>
      <c r="D25" s="50">
        <f>VLOOKUP($A25,'Data shares'!$C:$FM,114)</f>
        <v>19.32</v>
      </c>
      <c r="E25" s="50">
        <f>VLOOKUP($A25,'Data shares'!$C:$FM,106)</f>
        <v>26.97</v>
      </c>
      <c r="F25" s="50">
        <f>VLOOKUP($A25,'Data shares'!$C:$FM,108)</f>
        <v>-8.16</v>
      </c>
      <c r="G25" s="50">
        <f t="shared" si="0"/>
        <v>0.69744160177975523</v>
      </c>
    </row>
    <row r="26" spans="1:7" x14ac:dyDescent="0.25">
      <c r="A26" s="49" t="str">
        <f>'Data shares'!C21</f>
        <v>BAJAJ-AUTO</v>
      </c>
      <c r="B26" s="50">
        <f>VLOOKUP($A26,'Data shares'!$C:$FM,102)</f>
        <v>25.41</v>
      </c>
      <c r="C26" s="50">
        <f>VLOOKUP($A26,'Data shares'!$C:$FM,110)</f>
        <v>25.65</v>
      </c>
      <c r="D26" s="50">
        <f>VLOOKUP($A26,'Data shares'!$C:$FM,114)</f>
        <v>25.08</v>
      </c>
      <c r="E26" s="50">
        <f>VLOOKUP($A26,'Data shares'!$C:$FM,106)</f>
        <v>30.09</v>
      </c>
      <c r="F26" s="50">
        <f>VLOOKUP($A26,'Data shares'!$C:$FM,108)</f>
        <v>-4.68</v>
      </c>
      <c r="G26" s="50">
        <f t="shared" si="0"/>
        <v>0.84446660019940178</v>
      </c>
    </row>
    <row r="27" spans="1:7" x14ac:dyDescent="0.25">
      <c r="A27" s="49" t="str">
        <f>'Data shares'!C22</f>
        <v>BAJAJFINSV</v>
      </c>
      <c r="B27" s="50">
        <f>VLOOKUP($A27,'Data shares'!$C:$FM,102)</f>
        <v>24.5</v>
      </c>
      <c r="C27" s="50">
        <f>VLOOKUP($A27,'Data shares'!$C:$FM,110)</f>
        <v>23.5</v>
      </c>
      <c r="D27" s="50">
        <f>VLOOKUP($A27,'Data shares'!$C:$FM,114)</f>
        <v>25.81</v>
      </c>
      <c r="E27" s="50">
        <f>VLOOKUP($A27,'Data shares'!$C:$FM,106)</f>
        <v>28.06</v>
      </c>
      <c r="F27" s="50">
        <f>VLOOKUP($A27,'Data shares'!$C:$FM,108)</f>
        <v>-3.56</v>
      </c>
      <c r="G27" s="50">
        <f t="shared" si="0"/>
        <v>0.8731290092658589</v>
      </c>
    </row>
    <row r="28" spans="1:7" x14ac:dyDescent="0.25">
      <c r="A28" s="49" t="str">
        <f>'Data shares'!C23</f>
        <v>BAJFINANCE</v>
      </c>
      <c r="B28" s="50">
        <f>VLOOKUP($A28,'Data shares'!$C:$FM,102)</f>
        <v>27.63</v>
      </c>
      <c r="C28" s="50">
        <f>VLOOKUP($A28,'Data shares'!$C:$FM,110)</f>
        <v>27.51</v>
      </c>
      <c r="D28" s="50">
        <f>VLOOKUP($A28,'Data shares'!$C:$FM,114)</f>
        <v>27.78</v>
      </c>
      <c r="E28" s="50">
        <f>VLOOKUP($A28,'Data shares'!$C:$FM,106)</f>
        <v>30.99</v>
      </c>
      <c r="F28" s="50">
        <f>VLOOKUP($A28,'Data shares'!$C:$FM,108)</f>
        <v>-3.36</v>
      </c>
      <c r="G28" s="50">
        <f t="shared" si="0"/>
        <v>0.89157792836398841</v>
      </c>
    </row>
    <row r="29" spans="1:7" x14ac:dyDescent="0.25">
      <c r="A29" s="49" t="str">
        <f>'Data shares'!C24</f>
        <v>BANDHANBNK</v>
      </c>
      <c r="B29" s="50">
        <f>VLOOKUP($A29,'Data shares'!$C:$FM,102)</f>
        <v>36.46</v>
      </c>
      <c r="C29" s="50">
        <f>VLOOKUP($A29,'Data shares'!$C:$FM,110)</f>
        <v>36.42</v>
      </c>
      <c r="D29" s="50">
        <f>VLOOKUP($A29,'Data shares'!$C:$FM,114)</f>
        <v>36.520000000000003</v>
      </c>
      <c r="E29" s="50">
        <f>VLOOKUP($A29,'Data shares'!$C:$FM,106)</f>
        <v>41.98</v>
      </c>
      <c r="F29" s="50">
        <f>VLOOKUP($A29,'Data shares'!$C:$FM,108)</f>
        <v>-5.52</v>
      </c>
      <c r="G29" s="50">
        <f t="shared" si="0"/>
        <v>0.86850881372081956</v>
      </c>
    </row>
    <row r="30" spans="1:7" x14ac:dyDescent="0.25">
      <c r="A30" s="49" t="str">
        <f>'Data shares'!C25</f>
        <v>BANKBARODA</v>
      </c>
      <c r="B30" s="50">
        <f>VLOOKUP($A30,'Data shares'!$C:$FM,102)</f>
        <v>27.53</v>
      </c>
      <c r="C30" s="50">
        <f>VLOOKUP($A30,'Data shares'!$C:$FM,110)</f>
        <v>27.48</v>
      </c>
      <c r="D30" s="50">
        <f>VLOOKUP($A30,'Data shares'!$C:$FM,114)</f>
        <v>27.62</v>
      </c>
      <c r="E30" s="50">
        <f>VLOOKUP($A30,'Data shares'!$C:$FM,106)</f>
        <v>35.22</v>
      </c>
      <c r="F30" s="50">
        <f>VLOOKUP($A30,'Data shares'!$C:$FM,108)</f>
        <v>-7.69</v>
      </c>
      <c r="G30" s="50">
        <f t="shared" si="0"/>
        <v>0.78165814877910289</v>
      </c>
    </row>
    <row r="31" spans="1:7" x14ac:dyDescent="0.25">
      <c r="A31" s="49" t="str">
        <f>'Data shares'!C26</f>
        <v>BANKINDIA</v>
      </c>
      <c r="B31" s="50">
        <f>VLOOKUP($A31,'Data shares'!$C:$FM,102)</f>
        <v>29.28</v>
      </c>
      <c r="C31" s="50">
        <f>VLOOKUP($A31,'Data shares'!$C:$FM,110)</f>
        <v>29.2</v>
      </c>
      <c r="D31" s="50">
        <f>VLOOKUP($A31,'Data shares'!$C:$FM,114)</f>
        <v>29.5</v>
      </c>
      <c r="E31" s="50">
        <f>VLOOKUP($A31,'Data shares'!$C:$FM,106)</f>
        <v>40.36</v>
      </c>
      <c r="F31" s="50">
        <f>VLOOKUP($A31,'Data shares'!$C:$FM,108)</f>
        <v>-11.08</v>
      </c>
      <c r="G31" s="50">
        <f t="shared" si="0"/>
        <v>0.72547076313181369</v>
      </c>
    </row>
    <row r="32" spans="1:7" x14ac:dyDescent="0.25">
      <c r="A32" s="49" t="str">
        <f>'Data shares'!C27</f>
        <v>BANKNIFTY</v>
      </c>
      <c r="B32" s="50">
        <f>VLOOKUP($A32,'Data shares'!$C:$FM,102)</f>
        <v>12.09</v>
      </c>
      <c r="C32" s="50">
        <f>VLOOKUP($A32,'Data shares'!$C:$FM,110)</f>
        <v>11.37</v>
      </c>
      <c r="D32" s="50">
        <f>VLOOKUP($A32,'Data shares'!$C:$FM,114)</f>
        <v>12.83</v>
      </c>
      <c r="E32" s="50">
        <f>VLOOKUP($A32,'Data shares'!$C:$FM,106)</f>
        <v>17.05</v>
      </c>
      <c r="F32" s="50">
        <f>VLOOKUP($A32,'Data shares'!$C:$FM,108)</f>
        <v>-4.96</v>
      </c>
      <c r="G32" s="50">
        <f t="shared" si="0"/>
        <v>0.70909090909090911</v>
      </c>
    </row>
    <row r="33" spans="1:7" x14ac:dyDescent="0.25">
      <c r="A33" s="49" t="str">
        <f>'Data shares'!C28</f>
        <v>BDL</v>
      </c>
      <c r="B33" s="50">
        <f>VLOOKUP($A33,'Data shares'!$C:$FM,102)</f>
        <v>36.74</v>
      </c>
      <c r="C33" s="50">
        <f>VLOOKUP($A33,'Data shares'!$C:$FM,110)</f>
        <v>37</v>
      </c>
      <c r="D33" s="50">
        <f>VLOOKUP($A33,'Data shares'!$C:$FM,114)</f>
        <v>36.26</v>
      </c>
      <c r="E33" s="50">
        <f>VLOOKUP($A33,'Data shares'!$C:$FM,106)</f>
        <v>52.27</v>
      </c>
      <c r="F33" s="50">
        <f>VLOOKUP($A33,'Data shares'!$C:$FM,108)</f>
        <v>-15.53</v>
      </c>
      <c r="G33" s="50">
        <f t="shared" si="0"/>
        <v>0.70288884637459348</v>
      </c>
    </row>
    <row r="34" spans="1:7" x14ac:dyDescent="0.25">
      <c r="A34" s="49" t="str">
        <f>'Data shares'!C29</f>
        <v>BEL</v>
      </c>
      <c r="B34" s="50">
        <f>VLOOKUP($A34,'Data shares'!$C:$FM,102)</f>
        <v>29.33</v>
      </c>
      <c r="C34" s="50">
        <f>VLOOKUP($A34,'Data shares'!$C:$FM,110)</f>
        <v>29.83</v>
      </c>
      <c r="D34" s="50">
        <f>VLOOKUP($A34,'Data shares'!$C:$FM,114)</f>
        <v>28.56</v>
      </c>
      <c r="E34" s="50">
        <f>VLOOKUP($A34,'Data shares'!$C:$FM,106)</f>
        <v>37.200000000000003</v>
      </c>
      <c r="F34" s="50">
        <f>VLOOKUP($A34,'Data shares'!$C:$FM,108)</f>
        <v>-7.87</v>
      </c>
      <c r="G34" s="50">
        <f t="shared" si="0"/>
        <v>0.78844086021505366</v>
      </c>
    </row>
    <row r="35" spans="1:7" x14ac:dyDescent="0.25">
      <c r="A35" s="49" t="str">
        <f>'Data shares'!C30</f>
        <v>BHARATFORG</v>
      </c>
      <c r="B35" s="50">
        <f>VLOOKUP($A35,'Data shares'!$C:$FM,102)</f>
        <v>32.93</v>
      </c>
      <c r="C35" s="50">
        <f>VLOOKUP($A35,'Data shares'!$C:$FM,110)</f>
        <v>33</v>
      </c>
      <c r="D35" s="50">
        <f>VLOOKUP($A35,'Data shares'!$C:$FM,114)</f>
        <v>32.71</v>
      </c>
      <c r="E35" s="50">
        <f>VLOOKUP($A35,'Data shares'!$C:$FM,106)</f>
        <v>38.76</v>
      </c>
      <c r="F35" s="50">
        <f>VLOOKUP($A35,'Data shares'!$C:$FM,108)</f>
        <v>-5.83</v>
      </c>
      <c r="G35" s="50">
        <f t="shared" si="0"/>
        <v>0.84958720330237358</v>
      </c>
    </row>
    <row r="36" spans="1:7" x14ac:dyDescent="0.25">
      <c r="A36" s="49" t="str">
        <f>'Data shares'!C31</f>
        <v>BHARTIARTL</v>
      </c>
      <c r="B36" s="50">
        <f>VLOOKUP($A36,'Data shares'!$C:$FM,102)</f>
        <v>22.43</v>
      </c>
      <c r="C36" s="50">
        <f>VLOOKUP($A36,'Data shares'!$C:$FM,110)</f>
        <v>22.3</v>
      </c>
      <c r="D36" s="50">
        <f>VLOOKUP($A36,'Data shares'!$C:$FM,114)</f>
        <v>22.69</v>
      </c>
      <c r="E36" s="50">
        <f>VLOOKUP($A36,'Data shares'!$C:$FM,106)</f>
        <v>24.93</v>
      </c>
      <c r="F36" s="50">
        <f>VLOOKUP($A36,'Data shares'!$C:$FM,108)</f>
        <v>-2.5</v>
      </c>
      <c r="G36" s="50">
        <f t="shared" si="0"/>
        <v>0.89971921379863617</v>
      </c>
    </row>
    <row r="37" spans="1:7" x14ac:dyDescent="0.25">
      <c r="A37" s="49" t="str">
        <f>'Data shares'!C32</f>
        <v>BHEL</v>
      </c>
      <c r="B37" s="50">
        <f>VLOOKUP($A37,'Data shares'!$C:$FM,102)</f>
        <v>34.130000000000003</v>
      </c>
      <c r="C37" s="50">
        <f>VLOOKUP($A37,'Data shares'!$C:$FM,110)</f>
        <v>34.19</v>
      </c>
      <c r="D37" s="50">
        <f>VLOOKUP($A37,'Data shares'!$C:$FM,114)</f>
        <v>34.04</v>
      </c>
      <c r="E37" s="50">
        <f>VLOOKUP($A37,'Data shares'!$C:$FM,106)</f>
        <v>45.33</v>
      </c>
      <c r="F37" s="50">
        <f>VLOOKUP($A37,'Data shares'!$C:$FM,108)</f>
        <v>-11.2</v>
      </c>
      <c r="G37" s="50">
        <f t="shared" si="0"/>
        <v>0.75292300904478282</v>
      </c>
    </row>
    <row r="38" spans="1:7" x14ac:dyDescent="0.25">
      <c r="A38" s="49" t="str">
        <f>'Data shares'!C33</f>
        <v>BIOCON</v>
      </c>
      <c r="B38" s="50">
        <f>VLOOKUP($A38,'Data shares'!$C:$FM,102)</f>
        <v>28.66</v>
      </c>
      <c r="C38" s="50">
        <f>VLOOKUP($A38,'Data shares'!$C:$FM,110)</f>
        <v>28.8</v>
      </c>
      <c r="D38" s="50">
        <f>VLOOKUP($A38,'Data shares'!$C:$FM,114)</f>
        <v>28.39</v>
      </c>
      <c r="E38" s="50">
        <f>VLOOKUP($A38,'Data shares'!$C:$FM,106)</f>
        <v>38.82</v>
      </c>
      <c r="F38" s="50">
        <f>VLOOKUP($A38,'Data shares'!$C:$FM,108)</f>
        <v>-10.16</v>
      </c>
      <c r="G38" s="50">
        <f t="shared" si="0"/>
        <v>0.73827923750643998</v>
      </c>
    </row>
    <row r="39" spans="1:7" x14ac:dyDescent="0.25">
      <c r="A39" s="49" t="str">
        <f>'Data shares'!C34</f>
        <v>BLUESTARCO</v>
      </c>
      <c r="B39" s="50">
        <f>VLOOKUP($A39,'Data shares'!$C:$FM,102)</f>
        <v>32.32</v>
      </c>
      <c r="C39" s="50">
        <f>VLOOKUP($A39,'Data shares'!$C:$FM,110)</f>
        <v>32.409999999999997</v>
      </c>
      <c r="D39" s="50">
        <f>VLOOKUP($A39,'Data shares'!$C:$FM,114)</f>
        <v>31.99</v>
      </c>
      <c r="E39" s="50">
        <f>VLOOKUP($A39,'Data shares'!$C:$FM,106)</f>
        <v>41.57</v>
      </c>
      <c r="F39" s="50">
        <f>VLOOKUP($A39,'Data shares'!$C:$FM,108)</f>
        <v>-9.25</v>
      </c>
      <c r="G39" s="50">
        <f t="shared" ref="G39:G70" si="1">B39/E39</f>
        <v>0.77748376232860239</v>
      </c>
    </row>
    <row r="40" spans="1:7" x14ac:dyDescent="0.25">
      <c r="A40" s="49" t="str">
        <f>'Data shares'!C35</f>
        <v>BOSCHLTD</v>
      </c>
      <c r="B40" s="50">
        <f>VLOOKUP($A40,'Data shares'!$C:$FM,102)</f>
        <v>21.76</v>
      </c>
      <c r="C40" s="50">
        <f>VLOOKUP($A40,'Data shares'!$C:$FM,110)</f>
        <v>21.36</v>
      </c>
      <c r="D40" s="50">
        <f>VLOOKUP($A40,'Data shares'!$C:$FM,114)</f>
        <v>23.21</v>
      </c>
      <c r="E40" s="50">
        <f>VLOOKUP($A40,'Data shares'!$C:$FM,106)</f>
        <v>28.61</v>
      </c>
      <c r="F40" s="50">
        <f>VLOOKUP($A40,'Data shares'!$C:$FM,108)</f>
        <v>-6.85</v>
      </c>
      <c r="G40" s="50">
        <f t="shared" si="1"/>
        <v>0.76057322614470468</v>
      </c>
    </row>
    <row r="41" spans="1:7" x14ac:dyDescent="0.25">
      <c r="A41" s="49" t="str">
        <f>'Data shares'!C36</f>
        <v>BPCL</v>
      </c>
      <c r="B41" s="50">
        <f>VLOOKUP($A41,'Data shares'!$C:$FM,102)</f>
        <v>29.21</v>
      </c>
      <c r="C41" s="50">
        <f>VLOOKUP($A41,'Data shares'!$C:$FM,110)</f>
        <v>29.13</v>
      </c>
      <c r="D41" s="50">
        <f>VLOOKUP($A41,'Data shares'!$C:$FM,114)</f>
        <v>29.42</v>
      </c>
      <c r="E41" s="50">
        <f>VLOOKUP($A41,'Data shares'!$C:$FM,106)</f>
        <v>33.46</v>
      </c>
      <c r="F41" s="50">
        <f>VLOOKUP($A41,'Data shares'!$C:$FM,108)</f>
        <v>-4.25</v>
      </c>
      <c r="G41" s="50">
        <f t="shared" si="1"/>
        <v>0.8729826658696952</v>
      </c>
    </row>
    <row r="42" spans="1:7" x14ac:dyDescent="0.25">
      <c r="A42" s="49" t="str">
        <f>'Data shares'!C37</f>
        <v>BRITANNIA</v>
      </c>
      <c r="B42" s="50">
        <f>VLOOKUP($A42,'Data shares'!$C:$FM,102)</f>
        <v>22.95</v>
      </c>
      <c r="C42" s="50">
        <f>VLOOKUP($A42,'Data shares'!$C:$FM,110)</f>
        <v>22.91</v>
      </c>
      <c r="D42" s="50">
        <f>VLOOKUP($A42,'Data shares'!$C:$FM,114)</f>
        <v>23.01</v>
      </c>
      <c r="E42" s="50">
        <f>VLOOKUP($A42,'Data shares'!$C:$FM,106)</f>
        <v>24.76</v>
      </c>
      <c r="F42" s="50">
        <f>VLOOKUP($A42,'Data shares'!$C:$FM,108)</f>
        <v>-1.81</v>
      </c>
      <c r="G42" s="50">
        <f t="shared" si="1"/>
        <v>0.92689822294022606</v>
      </c>
    </row>
    <row r="43" spans="1:7" x14ac:dyDescent="0.25">
      <c r="A43" s="49" t="str">
        <f>'Data shares'!C38</f>
        <v>BSE</v>
      </c>
      <c r="B43" s="50">
        <f>VLOOKUP($A43,'Data shares'!$C:$FM,102)</f>
        <v>42.82</v>
      </c>
      <c r="C43" s="50">
        <f>VLOOKUP($A43,'Data shares'!$C:$FM,110)</f>
        <v>42.6</v>
      </c>
      <c r="D43" s="50">
        <f>VLOOKUP($A43,'Data shares'!$C:$FM,114)</f>
        <v>43.27</v>
      </c>
      <c r="E43" s="50">
        <f>VLOOKUP($A43,'Data shares'!$C:$FM,106)</f>
        <v>62.53</v>
      </c>
      <c r="F43" s="50">
        <f>VLOOKUP($A43,'Data shares'!$C:$FM,108)</f>
        <v>-19.71</v>
      </c>
      <c r="G43" s="50">
        <f t="shared" si="1"/>
        <v>0.68479130017591561</v>
      </c>
    </row>
    <row r="44" spans="1:7" x14ac:dyDescent="0.25">
      <c r="A44" s="49" t="str">
        <f>'Data shares'!C39</f>
        <v>CAMS</v>
      </c>
      <c r="B44" s="50">
        <f>VLOOKUP($A44,'Data shares'!$C:$FM,102)</f>
        <v>31.7</v>
      </c>
      <c r="C44" s="50">
        <f>VLOOKUP($A44,'Data shares'!$C:$FM,110)</f>
        <v>31.79</v>
      </c>
      <c r="D44" s="50">
        <f>VLOOKUP($A44,'Data shares'!$C:$FM,114)</f>
        <v>31.4</v>
      </c>
      <c r="E44" s="50">
        <f>VLOOKUP($A44,'Data shares'!$C:$FM,106)</f>
        <v>42.04</v>
      </c>
      <c r="F44" s="50">
        <f>VLOOKUP($A44,'Data shares'!$C:$FM,108)</f>
        <v>-10.34</v>
      </c>
      <c r="G44" s="50">
        <f t="shared" si="1"/>
        <v>0.75404376784015226</v>
      </c>
    </row>
    <row r="45" spans="1:7" x14ac:dyDescent="0.25">
      <c r="A45" s="49" t="str">
        <f>'Data shares'!C40</f>
        <v>CANBK</v>
      </c>
      <c r="B45" s="50">
        <f>VLOOKUP($A45,'Data shares'!$C:$FM,102)</f>
        <v>32.44</v>
      </c>
      <c r="C45" s="50">
        <f>VLOOKUP($A45,'Data shares'!$C:$FM,110)</f>
        <v>32.270000000000003</v>
      </c>
      <c r="D45" s="50">
        <f>VLOOKUP($A45,'Data shares'!$C:$FM,114)</f>
        <v>32.82</v>
      </c>
      <c r="E45" s="50">
        <f>VLOOKUP($A45,'Data shares'!$C:$FM,106)</f>
        <v>37.35</v>
      </c>
      <c r="F45" s="50">
        <f>VLOOKUP($A45,'Data shares'!$C:$FM,108)</f>
        <v>-4.91</v>
      </c>
      <c r="G45" s="50">
        <f t="shared" si="1"/>
        <v>0.86854082998661297</v>
      </c>
    </row>
    <row r="46" spans="1:7" x14ac:dyDescent="0.25">
      <c r="A46" s="49" t="str">
        <f>'Data shares'!C41</f>
        <v>CDSL</v>
      </c>
      <c r="B46" s="50">
        <f>VLOOKUP($A46,'Data shares'!$C:$FM,102)</f>
        <v>32.19</v>
      </c>
      <c r="C46" s="50">
        <f>VLOOKUP($A46,'Data shares'!$C:$FM,110)</f>
        <v>32.08</v>
      </c>
      <c r="D46" s="50">
        <f>VLOOKUP($A46,'Data shares'!$C:$FM,114)</f>
        <v>32.47</v>
      </c>
      <c r="E46" s="50">
        <f>VLOOKUP($A46,'Data shares'!$C:$FM,106)</f>
        <v>47.14</v>
      </c>
      <c r="F46" s="50">
        <f>VLOOKUP($A46,'Data shares'!$C:$FM,108)</f>
        <v>-14.95</v>
      </c>
      <c r="G46" s="50">
        <f t="shared" si="1"/>
        <v>0.68285956724649977</v>
      </c>
    </row>
    <row r="47" spans="1:7" x14ac:dyDescent="0.25">
      <c r="A47" s="49" t="str">
        <f>'Data shares'!C42</f>
        <v>CGPOWER</v>
      </c>
      <c r="B47" s="50">
        <f>VLOOKUP($A47,'Data shares'!$C:$FM,102)</f>
        <v>34.06</v>
      </c>
      <c r="C47" s="50">
        <f>VLOOKUP($A47,'Data shares'!$C:$FM,110)</f>
        <v>34.299999999999997</v>
      </c>
      <c r="D47" s="50">
        <f>VLOOKUP($A47,'Data shares'!$C:$FM,114)</f>
        <v>33.74</v>
      </c>
      <c r="E47" s="50">
        <f>VLOOKUP($A47,'Data shares'!$C:$FM,106)</f>
        <v>41.15</v>
      </c>
      <c r="F47" s="50">
        <f>VLOOKUP($A47,'Data shares'!$C:$FM,108)</f>
        <v>-7.09</v>
      </c>
      <c r="G47" s="50">
        <f t="shared" si="1"/>
        <v>0.82770352369380329</v>
      </c>
    </row>
    <row r="48" spans="1:7" x14ac:dyDescent="0.25">
      <c r="A48" s="49" t="str">
        <f>'Data shares'!C43</f>
        <v>CHOLAFIN</v>
      </c>
      <c r="B48" s="50">
        <f>VLOOKUP($A48,'Data shares'!$C:$FM,102)</f>
        <v>31.7</v>
      </c>
      <c r="C48" s="50">
        <f>VLOOKUP($A48,'Data shares'!$C:$FM,110)</f>
        <v>31.75</v>
      </c>
      <c r="D48" s="50">
        <f>VLOOKUP($A48,'Data shares'!$C:$FM,114)</f>
        <v>31.55</v>
      </c>
      <c r="E48" s="50">
        <f>VLOOKUP($A48,'Data shares'!$C:$FM,106)</f>
        <v>38.479999999999997</v>
      </c>
      <c r="F48" s="50">
        <f>VLOOKUP($A48,'Data shares'!$C:$FM,108)</f>
        <v>-6.78</v>
      </c>
      <c r="G48" s="50">
        <f t="shared" si="1"/>
        <v>0.82380457380457384</v>
      </c>
    </row>
    <row r="49" spans="1:7" x14ac:dyDescent="0.25">
      <c r="A49" s="49" t="str">
        <f>'Data shares'!C44</f>
        <v>CIPLA</v>
      </c>
      <c r="B49" s="50">
        <f>VLOOKUP($A49,'Data shares'!$C:$FM,102)</f>
        <v>25.79</v>
      </c>
      <c r="C49" s="50">
        <f>VLOOKUP($A49,'Data shares'!$C:$FM,110)</f>
        <v>25.84</v>
      </c>
      <c r="D49" s="50">
        <f>VLOOKUP($A49,'Data shares'!$C:$FM,114)</f>
        <v>25.69</v>
      </c>
      <c r="E49" s="50">
        <f>VLOOKUP($A49,'Data shares'!$C:$FM,106)</f>
        <v>27.01</v>
      </c>
      <c r="F49" s="50">
        <f>VLOOKUP($A49,'Data shares'!$C:$FM,108)</f>
        <v>-1.22</v>
      </c>
      <c r="G49" s="50">
        <f t="shared" si="1"/>
        <v>0.95483154387263969</v>
      </c>
    </row>
    <row r="50" spans="1:7" x14ac:dyDescent="0.25">
      <c r="A50" s="49" t="str">
        <f>'Data shares'!C45</f>
        <v>COALINDIA</v>
      </c>
      <c r="B50" s="50">
        <f>VLOOKUP($A50,'Data shares'!$C:$FM,102)</f>
        <v>20.149999999999999</v>
      </c>
      <c r="C50" s="50">
        <f>VLOOKUP($A50,'Data shares'!$C:$FM,110)</f>
        <v>20.37</v>
      </c>
      <c r="D50" s="50">
        <f>VLOOKUP($A50,'Data shares'!$C:$FM,114)</f>
        <v>19.760000000000002</v>
      </c>
      <c r="E50" s="50">
        <f>VLOOKUP($A50,'Data shares'!$C:$FM,106)</f>
        <v>28.42</v>
      </c>
      <c r="F50" s="50">
        <f>VLOOKUP($A50,'Data shares'!$C:$FM,108)</f>
        <v>-8.27</v>
      </c>
      <c r="G50" s="50">
        <f t="shared" si="1"/>
        <v>0.70900774102744535</v>
      </c>
    </row>
    <row r="51" spans="1:7" x14ac:dyDescent="0.25">
      <c r="A51" s="49" t="str">
        <f>'Data shares'!C46</f>
        <v>COFORGE</v>
      </c>
      <c r="B51" s="50">
        <f>VLOOKUP($A51,'Data shares'!$C:$FM,102)</f>
        <v>30.86</v>
      </c>
      <c r="C51" s="50">
        <f>VLOOKUP($A51,'Data shares'!$C:$FM,110)</f>
        <v>30.67</v>
      </c>
      <c r="D51" s="50">
        <f>VLOOKUP($A51,'Data shares'!$C:$FM,114)</f>
        <v>31.28</v>
      </c>
      <c r="E51" s="50">
        <f>VLOOKUP($A51,'Data shares'!$C:$FM,106)</f>
        <v>42.82</v>
      </c>
      <c r="F51" s="50">
        <f>VLOOKUP($A51,'Data shares'!$C:$FM,108)</f>
        <v>-11.96</v>
      </c>
      <c r="G51" s="50">
        <f t="shared" si="1"/>
        <v>0.72069126576366183</v>
      </c>
    </row>
    <row r="52" spans="1:7" x14ac:dyDescent="0.25">
      <c r="A52" s="49" t="str">
        <f>'Data shares'!C47</f>
        <v>COLPAL</v>
      </c>
      <c r="B52" s="50">
        <f>VLOOKUP($A52,'Data shares'!$C:$FM,102)</f>
        <v>21.5</v>
      </c>
      <c r="C52" s="50">
        <f>VLOOKUP($A52,'Data shares'!$C:$FM,110)</f>
        <v>21.76</v>
      </c>
      <c r="D52" s="50">
        <f>VLOOKUP($A52,'Data shares'!$C:$FM,114)</f>
        <v>20.99</v>
      </c>
      <c r="E52" s="50">
        <f>VLOOKUP($A52,'Data shares'!$C:$FM,106)</f>
        <v>28.34</v>
      </c>
      <c r="F52" s="50">
        <f>VLOOKUP($A52,'Data shares'!$C:$FM,108)</f>
        <v>-6.84</v>
      </c>
      <c r="G52" s="50">
        <f t="shared" si="1"/>
        <v>0.75864502470007056</v>
      </c>
    </row>
    <row r="53" spans="1:7" x14ac:dyDescent="0.25">
      <c r="A53" s="49" t="str">
        <f>'Data shares'!C48</f>
        <v>CONCOR</v>
      </c>
      <c r="B53" s="50">
        <f>VLOOKUP($A53,'Data shares'!$C:$FM,102)</f>
        <v>25.1</v>
      </c>
      <c r="C53" s="50">
        <f>VLOOKUP($A53,'Data shares'!$C:$FM,110)</f>
        <v>25.07</v>
      </c>
      <c r="D53" s="50">
        <f>VLOOKUP($A53,'Data shares'!$C:$FM,114)</f>
        <v>25.18</v>
      </c>
      <c r="E53" s="50">
        <f>VLOOKUP($A53,'Data shares'!$C:$FM,106)</f>
        <v>35.86</v>
      </c>
      <c r="F53" s="50">
        <f>VLOOKUP($A53,'Data shares'!$C:$FM,108)</f>
        <v>-10.76</v>
      </c>
      <c r="G53" s="50">
        <f t="shared" si="1"/>
        <v>0.69994422755158958</v>
      </c>
    </row>
    <row r="54" spans="1:7" x14ac:dyDescent="0.25">
      <c r="A54" s="49" t="str">
        <f>'Data shares'!C49</f>
        <v>CROMPTON</v>
      </c>
      <c r="B54" s="50">
        <f>VLOOKUP($A54,'Data shares'!$C:$FM,102)</f>
        <v>32.33</v>
      </c>
      <c r="C54" s="50">
        <f>VLOOKUP($A54,'Data shares'!$C:$FM,110)</f>
        <v>32.64</v>
      </c>
      <c r="D54" s="50">
        <f>VLOOKUP($A54,'Data shares'!$C:$FM,114)</f>
        <v>31.28</v>
      </c>
      <c r="E54" s="50">
        <f>VLOOKUP($A54,'Data shares'!$C:$FM,106)</f>
        <v>32.29</v>
      </c>
      <c r="F54" s="50">
        <f>VLOOKUP($A54,'Data shares'!$C:$FM,108)</f>
        <v>0.04</v>
      </c>
      <c r="G54" s="50">
        <f t="shared" si="1"/>
        <v>1.0012387736141219</v>
      </c>
    </row>
    <row r="55" spans="1:7" x14ac:dyDescent="0.25">
      <c r="A55" s="49" t="str">
        <f>'Data shares'!C50</f>
        <v>CUMMINSIND</v>
      </c>
      <c r="B55" s="50">
        <f>VLOOKUP($A55,'Data shares'!$C:$FM,102)</f>
        <v>30.99</v>
      </c>
      <c r="C55" s="50">
        <f>VLOOKUP($A55,'Data shares'!$C:$FM,110)</f>
        <v>30.9</v>
      </c>
      <c r="D55" s="50">
        <f>VLOOKUP($A55,'Data shares'!$C:$FM,114)</f>
        <v>31.23</v>
      </c>
      <c r="E55" s="50">
        <f>VLOOKUP($A55,'Data shares'!$C:$FM,106)</f>
        <v>35.090000000000003</v>
      </c>
      <c r="F55" s="50">
        <f>VLOOKUP($A55,'Data shares'!$C:$FM,108)</f>
        <v>-4.0999999999999996</v>
      </c>
      <c r="G55" s="50">
        <f t="shared" si="1"/>
        <v>0.8831575947563407</v>
      </c>
    </row>
    <row r="56" spans="1:7" x14ac:dyDescent="0.25">
      <c r="A56" s="49" t="str">
        <f>'Data shares'!C51</f>
        <v>CYIENT</v>
      </c>
      <c r="B56" s="50">
        <f>VLOOKUP($A56,'Data shares'!$C:$FM,102)</f>
        <v>30.03</v>
      </c>
      <c r="C56" s="50">
        <f>VLOOKUP($A56,'Data shares'!$C:$FM,110)</f>
        <v>30.16</v>
      </c>
      <c r="D56" s="50">
        <f>VLOOKUP($A56,'Data shares'!$C:$FM,114)</f>
        <v>29.78</v>
      </c>
      <c r="E56" s="50">
        <f>VLOOKUP($A56,'Data shares'!$C:$FM,106)</f>
        <v>44.21</v>
      </c>
      <c r="F56" s="50">
        <f>VLOOKUP($A56,'Data shares'!$C:$FM,108)</f>
        <v>-14.18</v>
      </c>
      <c r="G56" s="50">
        <f t="shared" si="1"/>
        <v>0.67925808640579055</v>
      </c>
    </row>
    <row r="57" spans="1:7" x14ac:dyDescent="0.25">
      <c r="A57" s="49" t="str">
        <f>'Data shares'!C52</f>
        <v>DABUR</v>
      </c>
      <c r="B57" s="50">
        <f>VLOOKUP($A57,'Data shares'!$C:$FM,102)</f>
        <v>22.67</v>
      </c>
      <c r="C57" s="50">
        <f>VLOOKUP($A57,'Data shares'!$C:$FM,110)</f>
        <v>23.08</v>
      </c>
      <c r="D57" s="50">
        <f>VLOOKUP($A57,'Data shares'!$C:$FM,114)</f>
        <v>21.98</v>
      </c>
      <c r="E57" s="50">
        <f>VLOOKUP($A57,'Data shares'!$C:$FM,106)</f>
        <v>25.28</v>
      </c>
      <c r="F57" s="50">
        <f>VLOOKUP($A57,'Data shares'!$C:$FM,108)</f>
        <v>-2.61</v>
      </c>
      <c r="G57" s="50">
        <f t="shared" si="1"/>
        <v>0.89675632911392411</v>
      </c>
    </row>
    <row r="58" spans="1:7" x14ac:dyDescent="0.25">
      <c r="A58" s="49" t="str">
        <f>'Data shares'!C53</f>
        <v>DALBHARAT</v>
      </c>
      <c r="B58" s="50">
        <f>VLOOKUP($A58,'Data shares'!$C:$FM,102)</f>
        <v>25.75</v>
      </c>
      <c r="C58" s="50">
        <f>VLOOKUP($A58,'Data shares'!$C:$FM,110)</f>
        <v>25.89</v>
      </c>
      <c r="D58" s="50">
        <f>VLOOKUP($A58,'Data shares'!$C:$FM,114)</f>
        <v>25.32</v>
      </c>
      <c r="E58" s="50">
        <f>VLOOKUP($A58,'Data shares'!$C:$FM,106)</f>
        <v>30.07</v>
      </c>
      <c r="F58" s="50">
        <f>VLOOKUP($A58,'Data shares'!$C:$FM,108)</f>
        <v>-4.32</v>
      </c>
      <c r="G58" s="50">
        <f t="shared" si="1"/>
        <v>0.85633521782507482</v>
      </c>
    </row>
    <row r="59" spans="1:7" x14ac:dyDescent="0.25">
      <c r="A59" s="49" t="str">
        <f>'Data shares'!C54</f>
        <v>DELHIVERY</v>
      </c>
      <c r="B59" s="50">
        <f>VLOOKUP($A59,'Data shares'!$C:$FM,102)</f>
        <v>33.07</v>
      </c>
      <c r="C59" s="50">
        <f>VLOOKUP($A59,'Data shares'!$C:$FM,110)</f>
        <v>33.159999999999997</v>
      </c>
      <c r="D59" s="50">
        <f>VLOOKUP($A59,'Data shares'!$C:$FM,114)</f>
        <v>32.950000000000003</v>
      </c>
      <c r="E59" s="50">
        <f>VLOOKUP($A59,'Data shares'!$C:$FM,106)</f>
        <v>40.659999999999997</v>
      </c>
      <c r="F59" s="50">
        <f>VLOOKUP($A59,'Data shares'!$C:$FM,108)</f>
        <v>-7.59</v>
      </c>
      <c r="G59" s="50">
        <f t="shared" si="1"/>
        <v>0.8133300541072308</v>
      </c>
    </row>
    <row r="60" spans="1:7" x14ac:dyDescent="0.25">
      <c r="A60" s="49" t="str">
        <f>'Data shares'!C55</f>
        <v>DIVISLAB</v>
      </c>
      <c r="B60" s="50">
        <f>VLOOKUP($A60,'Data shares'!$C:$FM,102)</f>
        <v>29.36</v>
      </c>
      <c r="C60" s="50">
        <f>VLOOKUP($A60,'Data shares'!$C:$FM,110)</f>
        <v>29.38</v>
      </c>
      <c r="D60" s="50">
        <f>VLOOKUP($A60,'Data shares'!$C:$FM,114)</f>
        <v>29.33</v>
      </c>
      <c r="E60" s="50">
        <f>VLOOKUP($A60,'Data shares'!$C:$FM,106)</f>
        <v>31.78</v>
      </c>
      <c r="F60" s="50">
        <f>VLOOKUP($A60,'Data shares'!$C:$FM,108)</f>
        <v>-2.42</v>
      </c>
      <c r="G60" s="50">
        <f t="shared" si="1"/>
        <v>0.92385147891755814</v>
      </c>
    </row>
    <row r="61" spans="1:7" x14ac:dyDescent="0.25">
      <c r="A61" s="49" t="str">
        <f>'Data shares'!C56</f>
        <v>DIXON</v>
      </c>
      <c r="B61" s="50">
        <f>VLOOKUP($A61,'Data shares'!$C:$FM,102)</f>
        <v>31.83</v>
      </c>
      <c r="C61" s="50">
        <f>VLOOKUP($A61,'Data shares'!$C:$FM,110)</f>
        <v>32.01</v>
      </c>
      <c r="D61" s="50">
        <f>VLOOKUP($A61,'Data shares'!$C:$FM,114)</f>
        <v>31.38</v>
      </c>
      <c r="E61" s="50">
        <f>VLOOKUP($A61,'Data shares'!$C:$FM,106)</f>
        <v>44.96</v>
      </c>
      <c r="F61" s="50">
        <f>VLOOKUP($A61,'Data shares'!$C:$FM,108)</f>
        <v>-13.13</v>
      </c>
      <c r="G61" s="50">
        <f t="shared" si="1"/>
        <v>0.7079626334519572</v>
      </c>
    </row>
    <row r="62" spans="1:7" x14ac:dyDescent="0.25">
      <c r="A62" s="49" t="str">
        <f>'Data shares'!C57</f>
        <v>DLF</v>
      </c>
      <c r="B62" s="50">
        <f>VLOOKUP($A62,'Data shares'!$C:$FM,102)</f>
        <v>27.79</v>
      </c>
      <c r="C62" s="50">
        <f>VLOOKUP($A62,'Data shares'!$C:$FM,110)</f>
        <v>27.77</v>
      </c>
      <c r="D62" s="50">
        <f>VLOOKUP($A62,'Data shares'!$C:$FM,114)</f>
        <v>27.82</v>
      </c>
      <c r="E62" s="50">
        <f>VLOOKUP($A62,'Data shares'!$C:$FM,106)</f>
        <v>36.479999999999997</v>
      </c>
      <c r="F62" s="50">
        <f>VLOOKUP($A62,'Data shares'!$C:$FM,108)</f>
        <v>-8.69</v>
      </c>
      <c r="G62" s="50">
        <f t="shared" si="1"/>
        <v>0.76178728070175439</v>
      </c>
    </row>
    <row r="63" spans="1:7" x14ac:dyDescent="0.25">
      <c r="A63" s="49" t="str">
        <f>'Data shares'!C58</f>
        <v>DMART</v>
      </c>
      <c r="B63" s="50">
        <f>VLOOKUP($A63,'Data shares'!$C:$FM,102)</f>
        <v>24.19</v>
      </c>
      <c r="C63" s="50">
        <f>VLOOKUP($A63,'Data shares'!$C:$FM,110)</f>
        <v>24.49</v>
      </c>
      <c r="D63" s="50">
        <f>VLOOKUP($A63,'Data shares'!$C:$FM,114)</f>
        <v>23.49</v>
      </c>
      <c r="E63" s="50">
        <f>VLOOKUP($A63,'Data shares'!$C:$FM,106)</f>
        <v>32.44</v>
      </c>
      <c r="F63" s="50">
        <f>VLOOKUP($A63,'Data shares'!$C:$FM,108)</f>
        <v>-8.25</v>
      </c>
      <c r="G63" s="50">
        <f t="shared" si="1"/>
        <v>0.74568434032059194</v>
      </c>
    </row>
    <row r="64" spans="1:7" x14ac:dyDescent="0.25">
      <c r="A64" s="49" t="str">
        <f>'Data shares'!C59</f>
        <v>DRREDDY</v>
      </c>
      <c r="B64" s="50">
        <f>VLOOKUP($A64,'Data shares'!$C:$FM,102)</f>
        <v>20.91</v>
      </c>
      <c r="C64" s="50">
        <f>VLOOKUP($A64,'Data shares'!$C:$FM,110)</f>
        <v>20.95</v>
      </c>
      <c r="D64" s="50">
        <f>VLOOKUP($A64,'Data shares'!$C:$FM,114)</f>
        <v>20.85</v>
      </c>
      <c r="E64" s="50">
        <f>VLOOKUP($A64,'Data shares'!$C:$FM,106)</f>
        <v>24.64</v>
      </c>
      <c r="F64" s="50">
        <f>VLOOKUP($A64,'Data shares'!$C:$FM,108)</f>
        <v>-3.73</v>
      </c>
      <c r="G64" s="50">
        <f t="shared" si="1"/>
        <v>0.8486201298701298</v>
      </c>
    </row>
    <row r="65" spans="1:7" x14ac:dyDescent="0.25">
      <c r="A65" s="49" t="str">
        <f>'Data shares'!C60</f>
        <v>EICHERMOT</v>
      </c>
      <c r="B65" s="50">
        <f>VLOOKUP($A65,'Data shares'!$C:$FM,102)</f>
        <v>23.24</v>
      </c>
      <c r="C65" s="50">
        <f>VLOOKUP($A65,'Data shares'!$C:$FM,110)</f>
        <v>23.54</v>
      </c>
      <c r="D65" s="50">
        <f>VLOOKUP($A65,'Data shares'!$C:$FM,114)</f>
        <v>22.64</v>
      </c>
      <c r="E65" s="50">
        <f>VLOOKUP($A65,'Data shares'!$C:$FM,106)</f>
        <v>27.79</v>
      </c>
      <c r="F65" s="50">
        <f>VLOOKUP($A65,'Data shares'!$C:$FM,108)</f>
        <v>-4.55</v>
      </c>
      <c r="G65" s="50">
        <f t="shared" si="1"/>
        <v>0.83627204030226698</v>
      </c>
    </row>
    <row r="66" spans="1:7" x14ac:dyDescent="0.25">
      <c r="A66" s="49" t="str">
        <f>'Data shares'!C61</f>
        <v>ETERNAL</v>
      </c>
      <c r="B66" s="50">
        <f>VLOOKUP($A66,'Data shares'!$C:$FM,102)</f>
        <v>28.65</v>
      </c>
      <c r="C66" s="50">
        <f>VLOOKUP($A66,'Data shares'!$C:$FM,110)</f>
        <v>28.37</v>
      </c>
      <c r="D66" s="50">
        <f>VLOOKUP($A66,'Data shares'!$C:$FM,114)</f>
        <v>29.17</v>
      </c>
      <c r="E66" s="50">
        <f>VLOOKUP($A66,'Data shares'!$C:$FM,106)</f>
        <v>45.37</v>
      </c>
      <c r="F66" s="50">
        <f>VLOOKUP($A66,'Data shares'!$C:$FM,108)</f>
        <v>-16.72</v>
      </c>
      <c r="G66" s="50">
        <f t="shared" si="1"/>
        <v>0.63147454264932779</v>
      </c>
    </row>
    <row r="67" spans="1:7" x14ac:dyDescent="0.25">
      <c r="A67" s="49" t="str">
        <f>'Data shares'!C62</f>
        <v>EXIDEIND</v>
      </c>
      <c r="B67" s="50">
        <f>VLOOKUP($A67,'Data shares'!$C:$FM,102)</f>
        <v>29.78</v>
      </c>
      <c r="C67" s="50">
        <f>VLOOKUP($A67,'Data shares'!$C:$FM,110)</f>
        <v>29.76</v>
      </c>
      <c r="D67" s="50">
        <f>VLOOKUP($A67,'Data shares'!$C:$FM,114)</f>
        <v>29.8</v>
      </c>
      <c r="E67" s="50">
        <f>VLOOKUP($A67,'Data shares'!$C:$FM,106)</f>
        <v>35.43</v>
      </c>
      <c r="F67" s="50">
        <f>VLOOKUP($A67,'Data shares'!$C:$FM,108)</f>
        <v>-5.65</v>
      </c>
      <c r="G67" s="50">
        <f t="shared" si="1"/>
        <v>0.84053062376517085</v>
      </c>
    </row>
    <row r="68" spans="1:7" x14ac:dyDescent="0.25">
      <c r="A68" s="49" t="str">
        <f>'Data shares'!C63</f>
        <v>FEDERALBNK</v>
      </c>
      <c r="B68" s="50">
        <f>VLOOKUP($A68,'Data shares'!$C:$FM,102)</f>
        <v>24.37</v>
      </c>
      <c r="C68" s="50">
        <f>VLOOKUP($A68,'Data shares'!$C:$FM,110)</f>
        <v>24.23</v>
      </c>
      <c r="D68" s="50">
        <f>VLOOKUP($A68,'Data shares'!$C:$FM,114)</f>
        <v>24.62</v>
      </c>
      <c r="E68" s="50">
        <f>VLOOKUP($A68,'Data shares'!$C:$FM,106)</f>
        <v>29.89</v>
      </c>
      <c r="F68" s="50">
        <f>VLOOKUP($A68,'Data shares'!$C:$FM,108)</f>
        <v>-5.52</v>
      </c>
      <c r="G68" s="50">
        <f t="shared" si="1"/>
        <v>0.81532285045165609</v>
      </c>
    </row>
    <row r="69" spans="1:7" x14ac:dyDescent="0.25">
      <c r="A69" s="49" t="str">
        <f>'Data shares'!C64</f>
        <v>FINNIFTY</v>
      </c>
      <c r="B69" s="50">
        <f>VLOOKUP($A69,'Data shares'!$C:$FM,102)</f>
        <v>12.25</v>
      </c>
      <c r="C69" s="50">
        <f>VLOOKUP($A69,'Data shares'!$C:$FM,110)</f>
        <v>12.25</v>
      </c>
      <c r="D69" s="50">
        <f>VLOOKUP($A69,'Data shares'!$C:$FM,114)</f>
        <v>12.25</v>
      </c>
      <c r="E69" s="50">
        <f>VLOOKUP($A69,'Data shares'!$C:$FM,106)</f>
        <v>17.489999999999998</v>
      </c>
      <c r="F69" s="50">
        <f>VLOOKUP($A69,'Data shares'!$C:$FM,108)</f>
        <v>-5.24</v>
      </c>
      <c r="G69" s="50">
        <f t="shared" si="1"/>
        <v>0.7004002287021156</v>
      </c>
    </row>
    <row r="70" spans="1:7" x14ac:dyDescent="0.25">
      <c r="A70" s="49" t="str">
        <f>'Data shares'!C65</f>
        <v>FORTIS</v>
      </c>
      <c r="B70" s="50">
        <f>VLOOKUP($A70,'Data shares'!$C:$FM,102)</f>
        <v>28.84</v>
      </c>
      <c r="C70" s="50">
        <f>VLOOKUP($A70,'Data shares'!$C:$FM,110)</f>
        <v>28.88</v>
      </c>
      <c r="D70" s="50">
        <f>VLOOKUP($A70,'Data shares'!$C:$FM,114)</f>
        <v>28.79</v>
      </c>
      <c r="E70" s="50">
        <f>VLOOKUP($A70,'Data shares'!$C:$FM,106)</f>
        <v>36.93</v>
      </c>
      <c r="F70" s="50">
        <f>VLOOKUP($A70,'Data shares'!$C:$FM,108)</f>
        <v>-8.09</v>
      </c>
      <c r="G70" s="50">
        <f t="shared" si="1"/>
        <v>0.7809369076631465</v>
      </c>
    </row>
    <row r="71" spans="1:7" x14ac:dyDescent="0.25">
      <c r="A71" s="49" t="str">
        <f>'Data shares'!C66</f>
        <v>GAIL</v>
      </c>
      <c r="B71" s="50">
        <f>VLOOKUP($A71,'Data shares'!$C:$FM,102)</f>
        <v>26.8</v>
      </c>
      <c r="C71" s="50">
        <f>VLOOKUP($A71,'Data shares'!$C:$FM,110)</f>
        <v>27.14</v>
      </c>
      <c r="D71" s="50">
        <f>VLOOKUP($A71,'Data shares'!$C:$FM,114)</f>
        <v>26.13</v>
      </c>
      <c r="E71" s="50">
        <f>VLOOKUP($A71,'Data shares'!$C:$FM,106)</f>
        <v>35.979999999999997</v>
      </c>
      <c r="F71" s="50">
        <f>VLOOKUP($A71,'Data shares'!$C:$FM,108)</f>
        <v>-9.18</v>
      </c>
      <c r="G71" s="50">
        <f t="shared" ref="G71:G102" si="2">B71/E71</f>
        <v>0.74485825458588117</v>
      </c>
    </row>
    <row r="72" spans="1:7" x14ac:dyDescent="0.25">
      <c r="A72" s="49" t="str">
        <f>'Data shares'!C67</f>
        <v>GLENMARK</v>
      </c>
      <c r="B72" s="50">
        <f>VLOOKUP($A72,'Data shares'!$C:$FM,102)</f>
        <v>31.29</v>
      </c>
      <c r="C72" s="50">
        <f>VLOOKUP($A72,'Data shares'!$C:$FM,110)</f>
        <v>31.23</v>
      </c>
      <c r="D72" s="50">
        <f>VLOOKUP($A72,'Data shares'!$C:$FM,114)</f>
        <v>31.48</v>
      </c>
      <c r="E72" s="50">
        <f>VLOOKUP($A72,'Data shares'!$C:$FM,106)</f>
        <v>37.74</v>
      </c>
      <c r="F72" s="50">
        <f>VLOOKUP($A72,'Data shares'!$C:$FM,108)</f>
        <v>-6.45</v>
      </c>
      <c r="G72" s="50">
        <f t="shared" si="2"/>
        <v>0.82909379968203489</v>
      </c>
    </row>
    <row r="73" spans="1:7" x14ac:dyDescent="0.25">
      <c r="A73" s="49" t="str">
        <f>'Data shares'!C68</f>
        <v>GMRAIRPORT</v>
      </c>
      <c r="B73" s="50">
        <f>VLOOKUP($A73,'Data shares'!$C:$FM,102)</f>
        <v>28.39</v>
      </c>
      <c r="C73" s="50">
        <f>VLOOKUP($A73,'Data shares'!$C:$FM,110)</f>
        <v>28.77</v>
      </c>
      <c r="D73" s="50">
        <f>VLOOKUP($A73,'Data shares'!$C:$FM,114)</f>
        <v>27.42</v>
      </c>
      <c r="E73" s="50">
        <f>VLOOKUP($A73,'Data shares'!$C:$FM,106)</f>
        <v>36.909999999999997</v>
      </c>
      <c r="F73" s="50">
        <f>VLOOKUP($A73,'Data shares'!$C:$FM,108)</f>
        <v>-8.52</v>
      </c>
      <c r="G73" s="50">
        <f t="shared" si="2"/>
        <v>0.76916824708751019</v>
      </c>
    </row>
    <row r="74" spans="1:7" x14ac:dyDescent="0.25">
      <c r="A74" s="49" t="str">
        <f>'Data shares'!C69</f>
        <v>GODREJCP</v>
      </c>
      <c r="B74" s="50">
        <f>VLOOKUP($A74,'Data shares'!$C:$FM,102)</f>
        <v>27.36</v>
      </c>
      <c r="C74" s="50">
        <f>VLOOKUP($A74,'Data shares'!$C:$FM,110)</f>
        <v>27.62</v>
      </c>
      <c r="D74" s="50">
        <f>VLOOKUP($A74,'Data shares'!$C:$FM,114)</f>
        <v>26.89</v>
      </c>
      <c r="E74" s="50">
        <f>VLOOKUP($A74,'Data shares'!$C:$FM,106)</f>
        <v>29.51</v>
      </c>
      <c r="F74" s="50">
        <f>VLOOKUP($A74,'Data shares'!$C:$FM,108)</f>
        <v>-2.15</v>
      </c>
      <c r="G74" s="50">
        <f t="shared" si="2"/>
        <v>0.92714334124025743</v>
      </c>
    </row>
    <row r="75" spans="1:7" x14ac:dyDescent="0.25">
      <c r="A75" s="49" t="str">
        <f>'Data shares'!C70</f>
        <v>GODREJPROP</v>
      </c>
      <c r="B75" s="50">
        <f>VLOOKUP($A75,'Data shares'!$C:$FM,102)</f>
        <v>34.1</v>
      </c>
      <c r="C75" s="50">
        <f>VLOOKUP($A75,'Data shares'!$C:$FM,110)</f>
        <v>33.99</v>
      </c>
      <c r="D75" s="50">
        <f>VLOOKUP($A75,'Data shares'!$C:$FM,114)</f>
        <v>34.380000000000003</v>
      </c>
      <c r="E75" s="50">
        <f>VLOOKUP($A75,'Data shares'!$C:$FM,106)</f>
        <v>43.99</v>
      </c>
      <c r="F75" s="50">
        <f>VLOOKUP($A75,'Data shares'!$C:$FM,108)</f>
        <v>-9.89</v>
      </c>
      <c r="G75" s="50">
        <f t="shared" si="2"/>
        <v>0.77517617640372816</v>
      </c>
    </row>
    <row r="76" spans="1:7" x14ac:dyDescent="0.25">
      <c r="A76" s="49" t="str">
        <f>'Data shares'!C71</f>
        <v>GRASIM</v>
      </c>
      <c r="B76" s="50">
        <f>VLOOKUP($A76,'Data shares'!$C:$FM,102)</f>
        <v>24.74</v>
      </c>
      <c r="C76" s="50">
        <f>VLOOKUP($A76,'Data shares'!$C:$FM,110)</f>
        <v>24.97</v>
      </c>
      <c r="D76" s="50">
        <f>VLOOKUP($A76,'Data shares'!$C:$FM,114)</f>
        <v>23.97</v>
      </c>
      <c r="E76" s="50">
        <f>VLOOKUP($A76,'Data shares'!$C:$FM,106)</f>
        <v>25.53</v>
      </c>
      <c r="F76" s="50">
        <f>VLOOKUP($A76,'Data shares'!$C:$FM,108)</f>
        <v>-0.79</v>
      </c>
      <c r="G76" s="50">
        <f t="shared" si="2"/>
        <v>0.96905601253427331</v>
      </c>
    </row>
    <row r="77" spans="1:7" x14ac:dyDescent="0.25">
      <c r="A77" s="49" t="str">
        <f>'Data shares'!C72</f>
        <v>HAL</v>
      </c>
      <c r="B77" s="50">
        <f>VLOOKUP($A77,'Data shares'!$C:$FM,102)</f>
        <v>29.28</v>
      </c>
      <c r="C77" s="50">
        <f>VLOOKUP($A77,'Data shares'!$C:$FM,110)</f>
        <v>29.55</v>
      </c>
      <c r="D77" s="50">
        <f>VLOOKUP($A77,'Data shares'!$C:$FM,114)</f>
        <v>28.79</v>
      </c>
      <c r="E77" s="50">
        <f>VLOOKUP($A77,'Data shares'!$C:$FM,106)</f>
        <v>39.31</v>
      </c>
      <c r="F77" s="50">
        <f>VLOOKUP($A77,'Data shares'!$C:$FM,108)</f>
        <v>-10.029999999999999</v>
      </c>
      <c r="G77" s="50">
        <f t="shared" si="2"/>
        <v>0.74484863902314935</v>
      </c>
    </row>
    <row r="78" spans="1:7" x14ac:dyDescent="0.25">
      <c r="A78" s="49" t="str">
        <f>'Data shares'!C73</f>
        <v>HAVELLS</v>
      </c>
      <c r="B78" s="50">
        <f>VLOOKUP($A78,'Data shares'!$C:$FM,102)</f>
        <v>21.81</v>
      </c>
      <c r="C78" s="50">
        <f>VLOOKUP($A78,'Data shares'!$C:$FM,110)</f>
        <v>22</v>
      </c>
      <c r="D78" s="50">
        <f>VLOOKUP($A78,'Data shares'!$C:$FM,114)</f>
        <v>21.55</v>
      </c>
      <c r="E78" s="50">
        <f>VLOOKUP($A78,'Data shares'!$C:$FM,106)</f>
        <v>28.23</v>
      </c>
      <c r="F78" s="50">
        <f>VLOOKUP($A78,'Data shares'!$C:$FM,108)</f>
        <v>-6.42</v>
      </c>
      <c r="G78" s="50">
        <f t="shared" si="2"/>
        <v>0.77258235919234852</v>
      </c>
    </row>
    <row r="79" spans="1:7" x14ac:dyDescent="0.25">
      <c r="A79" s="49" t="str">
        <f>'Data shares'!C74</f>
        <v>HCLTECH</v>
      </c>
      <c r="B79" s="50">
        <f>VLOOKUP($A79,'Data shares'!$C:$FM,102)</f>
        <v>21.27</v>
      </c>
      <c r="C79" s="50">
        <f>VLOOKUP($A79,'Data shares'!$C:$FM,110)</f>
        <v>21.25</v>
      </c>
      <c r="D79" s="50">
        <f>VLOOKUP($A79,'Data shares'!$C:$FM,114)</f>
        <v>21.3</v>
      </c>
      <c r="E79" s="50">
        <f>VLOOKUP($A79,'Data shares'!$C:$FM,106)</f>
        <v>28.77</v>
      </c>
      <c r="F79" s="50">
        <f>VLOOKUP($A79,'Data shares'!$C:$FM,108)</f>
        <v>-7.5</v>
      </c>
      <c r="G79" s="50">
        <f t="shared" si="2"/>
        <v>0.73931178310740353</v>
      </c>
    </row>
    <row r="80" spans="1:7" x14ac:dyDescent="0.25">
      <c r="A80" s="49" t="str">
        <f>'Data shares'!C75</f>
        <v>HDFCAMC</v>
      </c>
      <c r="B80" s="50">
        <f>VLOOKUP($A80,'Data shares'!$C:$FM,102)</f>
        <v>22.58</v>
      </c>
      <c r="C80" s="50">
        <f>VLOOKUP($A80,'Data shares'!$C:$FM,110)</f>
        <v>22.78</v>
      </c>
      <c r="D80" s="50">
        <f>VLOOKUP($A80,'Data shares'!$C:$FM,114)</f>
        <v>22.13</v>
      </c>
      <c r="E80" s="50">
        <f>VLOOKUP($A80,'Data shares'!$C:$FM,106)</f>
        <v>34.729999999999997</v>
      </c>
      <c r="F80" s="50">
        <f>VLOOKUP($A80,'Data shares'!$C:$FM,108)</f>
        <v>-12.15</v>
      </c>
      <c r="G80" s="50">
        <f t="shared" si="2"/>
        <v>0.65015836452634612</v>
      </c>
    </row>
    <row r="81" spans="1:7" x14ac:dyDescent="0.25">
      <c r="A81" s="49" t="str">
        <f>'Data shares'!C76</f>
        <v>HDFCBANK</v>
      </c>
      <c r="B81" s="50">
        <f>VLOOKUP($A81,'Data shares'!$C:$FM,102)</f>
        <v>16.93</v>
      </c>
      <c r="C81" s="50">
        <f>VLOOKUP($A81,'Data shares'!$C:$FM,110)</f>
        <v>16.71</v>
      </c>
      <c r="D81" s="50">
        <f>VLOOKUP($A81,'Data shares'!$C:$FM,114)</f>
        <v>17.29</v>
      </c>
      <c r="E81" s="50">
        <f>VLOOKUP($A81,'Data shares'!$C:$FM,106)</f>
        <v>21.04</v>
      </c>
      <c r="F81" s="50">
        <f>VLOOKUP($A81,'Data shares'!$C:$FM,108)</f>
        <v>-4.1100000000000003</v>
      </c>
      <c r="G81" s="50">
        <f t="shared" si="2"/>
        <v>0.80465779467680609</v>
      </c>
    </row>
    <row r="82" spans="1:7" x14ac:dyDescent="0.25">
      <c r="A82" s="49" t="str">
        <f>'Data shares'!C77</f>
        <v>HDFCLIFE</v>
      </c>
      <c r="B82" s="50">
        <f>VLOOKUP($A82,'Data shares'!$C:$FM,102)</f>
        <v>19.98</v>
      </c>
      <c r="C82" s="50">
        <f>VLOOKUP($A82,'Data shares'!$C:$FM,110)</f>
        <v>20.27</v>
      </c>
      <c r="D82" s="50">
        <f>VLOOKUP($A82,'Data shares'!$C:$FM,114)</f>
        <v>19.27</v>
      </c>
      <c r="E82" s="50">
        <f>VLOOKUP($A82,'Data shares'!$C:$FM,106)</f>
        <v>25.79</v>
      </c>
      <c r="F82" s="50">
        <f>VLOOKUP($A82,'Data shares'!$C:$FM,108)</f>
        <v>-5.81</v>
      </c>
      <c r="G82" s="50">
        <f t="shared" si="2"/>
        <v>0.77471888328809624</v>
      </c>
    </row>
    <row r="83" spans="1:7" x14ac:dyDescent="0.25">
      <c r="A83" s="49" t="str">
        <f>'Data shares'!C78</f>
        <v>HEROMOTOCO</v>
      </c>
      <c r="B83" s="50">
        <f>VLOOKUP($A83,'Data shares'!$C:$FM,102)</f>
        <v>25.24</v>
      </c>
      <c r="C83" s="50">
        <f>VLOOKUP($A83,'Data shares'!$C:$FM,110)</f>
        <v>25.18</v>
      </c>
      <c r="D83" s="50">
        <f>VLOOKUP($A83,'Data shares'!$C:$FM,114)</f>
        <v>25.32</v>
      </c>
      <c r="E83" s="50">
        <f>VLOOKUP($A83,'Data shares'!$C:$FM,106)</f>
        <v>30.44</v>
      </c>
      <c r="F83" s="50">
        <f>VLOOKUP($A83,'Data shares'!$C:$FM,108)</f>
        <v>-5.2</v>
      </c>
      <c r="G83" s="50">
        <f t="shared" si="2"/>
        <v>0.82917214191852817</v>
      </c>
    </row>
    <row r="84" spans="1:7" x14ac:dyDescent="0.25">
      <c r="A84" s="49" t="str">
        <f>'Data shares'!C79</f>
        <v>HFCL</v>
      </c>
      <c r="B84" s="50">
        <f>VLOOKUP($A84,'Data shares'!$C:$FM,102)</f>
        <v>42.42</v>
      </c>
      <c r="C84" s="50">
        <f>VLOOKUP($A84,'Data shares'!$C:$FM,110)</f>
        <v>42.7</v>
      </c>
      <c r="D84" s="50">
        <f>VLOOKUP($A84,'Data shares'!$C:$FM,114)</f>
        <v>41.47</v>
      </c>
      <c r="E84" s="50">
        <f>VLOOKUP($A84,'Data shares'!$C:$FM,106)</f>
        <v>54.12</v>
      </c>
      <c r="F84" s="50">
        <f>VLOOKUP($A84,'Data shares'!$C:$FM,108)</f>
        <v>-11.7</v>
      </c>
      <c r="G84" s="50">
        <f t="shared" si="2"/>
        <v>0.78381374722838149</v>
      </c>
    </row>
    <row r="85" spans="1:7" x14ac:dyDescent="0.25">
      <c r="A85" s="49" t="str">
        <f>'Data shares'!C80</f>
        <v>HINDALCO</v>
      </c>
      <c r="B85" s="50">
        <f>VLOOKUP($A85,'Data shares'!$C:$FM,102)</f>
        <v>28.41</v>
      </c>
      <c r="C85" s="50">
        <f>VLOOKUP($A85,'Data shares'!$C:$FM,110)</f>
        <v>27.71</v>
      </c>
      <c r="D85" s="50">
        <f>VLOOKUP($A85,'Data shares'!$C:$FM,114)</f>
        <v>29.49</v>
      </c>
      <c r="E85" s="50">
        <f>VLOOKUP($A85,'Data shares'!$C:$FM,106)</f>
        <v>33.28</v>
      </c>
      <c r="F85" s="50">
        <f>VLOOKUP($A85,'Data shares'!$C:$FM,108)</f>
        <v>-4.87</v>
      </c>
      <c r="G85" s="50">
        <f t="shared" si="2"/>
        <v>0.85366586538461531</v>
      </c>
    </row>
    <row r="86" spans="1:7" x14ac:dyDescent="0.25">
      <c r="A86" s="49" t="str">
        <f>'Data shares'!C81</f>
        <v>HINDPETRO</v>
      </c>
      <c r="B86" s="50">
        <f>VLOOKUP($A86,'Data shares'!$C:$FM,102)</f>
        <v>35.700000000000003</v>
      </c>
      <c r="C86" s="50">
        <f>VLOOKUP($A86,'Data shares'!$C:$FM,110)</f>
        <v>35.799999999999997</v>
      </c>
      <c r="D86" s="50">
        <f>VLOOKUP($A86,'Data shares'!$C:$FM,114)</f>
        <v>35.479999999999997</v>
      </c>
      <c r="E86" s="50">
        <f>VLOOKUP($A86,'Data shares'!$C:$FM,106)</f>
        <v>40.65</v>
      </c>
      <c r="F86" s="50">
        <f>VLOOKUP($A86,'Data shares'!$C:$FM,108)</f>
        <v>-4.95</v>
      </c>
      <c r="G86" s="50">
        <f t="shared" si="2"/>
        <v>0.87822878228782297</v>
      </c>
    </row>
    <row r="87" spans="1:7" x14ac:dyDescent="0.25">
      <c r="A87" s="49" t="str">
        <f>'Data shares'!C82</f>
        <v>HINDUNILVR</v>
      </c>
      <c r="B87" s="50">
        <f>VLOOKUP($A87,'Data shares'!$C:$FM,102)</f>
        <v>18.04</v>
      </c>
      <c r="C87" s="50">
        <f>VLOOKUP($A87,'Data shares'!$C:$FM,110)</f>
        <v>18.399999999999999</v>
      </c>
      <c r="D87" s="50">
        <f>VLOOKUP($A87,'Data shares'!$C:$FM,114)</f>
        <v>17.32</v>
      </c>
      <c r="E87" s="50">
        <f>VLOOKUP($A87,'Data shares'!$C:$FM,106)</f>
        <v>22.88</v>
      </c>
      <c r="F87" s="50">
        <f>VLOOKUP($A87,'Data shares'!$C:$FM,108)</f>
        <v>-4.84</v>
      </c>
      <c r="G87" s="50">
        <f t="shared" si="2"/>
        <v>0.78846153846153844</v>
      </c>
    </row>
    <row r="88" spans="1:7" x14ac:dyDescent="0.25">
      <c r="A88" s="49" t="str">
        <f>'Data shares'!C83</f>
        <v>HINDZINC</v>
      </c>
      <c r="B88" s="50">
        <f>VLOOKUP($A88,'Data shares'!$C:$FM,102)</f>
        <v>33.56</v>
      </c>
      <c r="C88" s="50">
        <f>VLOOKUP($A88,'Data shares'!$C:$FM,110)</f>
        <v>34.020000000000003</v>
      </c>
      <c r="D88" s="50">
        <f>VLOOKUP($A88,'Data shares'!$C:$FM,114)</f>
        <v>32.049999999999997</v>
      </c>
      <c r="E88" s="50">
        <f>VLOOKUP($A88,'Data shares'!$C:$FM,106)</f>
        <v>44.13</v>
      </c>
      <c r="F88" s="50">
        <f>VLOOKUP($A88,'Data shares'!$C:$FM,108)</f>
        <v>-10.57</v>
      </c>
      <c r="G88" s="50">
        <f t="shared" si="2"/>
        <v>0.76048039882166329</v>
      </c>
    </row>
    <row r="89" spans="1:7" x14ac:dyDescent="0.25">
      <c r="A89" s="49" t="str">
        <f>'Data shares'!C84</f>
        <v>HUDCO</v>
      </c>
      <c r="B89" s="50">
        <f>VLOOKUP($A89,'Data shares'!$C:$FM,102)</f>
        <v>34.71</v>
      </c>
      <c r="C89" s="50">
        <f>VLOOKUP($A89,'Data shares'!$C:$FM,110)</f>
        <v>35.159999999999997</v>
      </c>
      <c r="D89" s="50">
        <f>VLOOKUP($A89,'Data shares'!$C:$FM,114)</f>
        <v>33.5</v>
      </c>
      <c r="E89" s="50">
        <f>VLOOKUP($A89,'Data shares'!$C:$FM,106)</f>
        <v>52.87</v>
      </c>
      <c r="F89" s="50">
        <f>VLOOKUP($A89,'Data shares'!$C:$FM,108)</f>
        <v>-18.16</v>
      </c>
      <c r="G89" s="50">
        <f t="shared" si="2"/>
        <v>0.65651598259882737</v>
      </c>
    </row>
    <row r="90" spans="1:7" x14ac:dyDescent="0.25">
      <c r="A90" s="49" t="str">
        <f>'Data shares'!C85</f>
        <v>ICICIBANK</v>
      </c>
      <c r="B90" s="50">
        <f>VLOOKUP($A90,'Data shares'!$C:$FM,102)</f>
        <v>17.07</v>
      </c>
      <c r="C90" s="50">
        <f>VLOOKUP($A90,'Data shares'!$C:$FM,110)</f>
        <v>17.07</v>
      </c>
      <c r="D90" s="50">
        <f>VLOOKUP($A90,'Data shares'!$C:$FM,114)</f>
        <v>17.059999999999999</v>
      </c>
      <c r="E90" s="50">
        <f>VLOOKUP($A90,'Data shares'!$C:$FM,106)</f>
        <v>21.25</v>
      </c>
      <c r="F90" s="50">
        <f>VLOOKUP($A90,'Data shares'!$C:$FM,108)</f>
        <v>-4.18</v>
      </c>
      <c r="G90" s="50">
        <f t="shared" si="2"/>
        <v>0.80329411764705883</v>
      </c>
    </row>
    <row r="91" spans="1:7" x14ac:dyDescent="0.25">
      <c r="A91" s="49" t="str">
        <f>'Data shares'!C86</f>
        <v>ICICIGI</v>
      </c>
      <c r="B91" s="50">
        <f>VLOOKUP($A91,'Data shares'!$C:$FM,102)</f>
        <v>20.75</v>
      </c>
      <c r="C91" s="50">
        <f>VLOOKUP($A91,'Data shares'!$C:$FM,110)</f>
        <v>20.73</v>
      </c>
      <c r="D91" s="50">
        <f>VLOOKUP($A91,'Data shares'!$C:$FM,114)</f>
        <v>20.79</v>
      </c>
      <c r="E91" s="50">
        <f>VLOOKUP($A91,'Data shares'!$C:$FM,106)</f>
        <v>29.89</v>
      </c>
      <c r="F91" s="50">
        <f>VLOOKUP($A91,'Data shares'!$C:$FM,108)</f>
        <v>-9.14</v>
      </c>
      <c r="G91" s="50">
        <f t="shared" si="2"/>
        <v>0.69421211107393777</v>
      </c>
    </row>
    <row r="92" spans="1:7" x14ac:dyDescent="0.25">
      <c r="A92" s="49" t="str">
        <f>'Data shares'!C87</f>
        <v>ICICIPRULI</v>
      </c>
      <c r="B92" s="50">
        <f>VLOOKUP($A92,'Data shares'!$C:$FM,102)</f>
        <v>21.84</v>
      </c>
      <c r="C92" s="50">
        <f>VLOOKUP($A92,'Data shares'!$C:$FM,110)</f>
        <v>21.84</v>
      </c>
      <c r="D92" s="50">
        <f>VLOOKUP($A92,'Data shares'!$C:$FM,114)</f>
        <v>21.82</v>
      </c>
      <c r="E92" s="50">
        <f>VLOOKUP($A92,'Data shares'!$C:$FM,106)</f>
        <v>27.95</v>
      </c>
      <c r="F92" s="50">
        <f>VLOOKUP($A92,'Data shares'!$C:$FM,108)</f>
        <v>-6.11</v>
      </c>
      <c r="G92" s="50">
        <f t="shared" si="2"/>
        <v>0.78139534883720929</v>
      </c>
    </row>
    <row r="93" spans="1:7" x14ac:dyDescent="0.25">
      <c r="A93" s="49" t="str">
        <f>'Data shares'!C88</f>
        <v>IDEA</v>
      </c>
      <c r="B93" s="50">
        <f>VLOOKUP($A93,'Data shares'!$C:$FM,102)</f>
        <v>69.56</v>
      </c>
      <c r="C93" s="50">
        <f>VLOOKUP($A93,'Data shares'!$C:$FM,110)</f>
        <v>70.2</v>
      </c>
      <c r="D93" s="50">
        <f>VLOOKUP($A93,'Data shares'!$C:$FM,114)</f>
        <v>67.37</v>
      </c>
      <c r="E93" s="50">
        <f>VLOOKUP($A93,'Data shares'!$C:$FM,106)</f>
        <v>68.13</v>
      </c>
      <c r="F93" s="50">
        <f>VLOOKUP($A93,'Data shares'!$C:$FM,108)</f>
        <v>1.43</v>
      </c>
      <c r="G93" s="50">
        <f t="shared" si="2"/>
        <v>1.0209892851900779</v>
      </c>
    </row>
    <row r="94" spans="1:7" x14ac:dyDescent="0.25">
      <c r="A94" s="49" t="str">
        <f>'Data shares'!C89</f>
        <v>IDFCFIRSTB</v>
      </c>
      <c r="B94" s="50">
        <f>VLOOKUP($A94,'Data shares'!$C:$FM,102)</f>
        <v>27.8</v>
      </c>
      <c r="C94" s="50">
        <f>VLOOKUP($A94,'Data shares'!$C:$FM,110)</f>
        <v>27.8</v>
      </c>
      <c r="D94" s="50">
        <f>VLOOKUP($A94,'Data shares'!$C:$FM,114)</f>
        <v>27.79</v>
      </c>
      <c r="E94" s="50">
        <f>VLOOKUP($A94,'Data shares'!$C:$FM,106)</f>
        <v>34.630000000000003</v>
      </c>
      <c r="F94" s="50">
        <f>VLOOKUP($A94,'Data shares'!$C:$FM,108)</f>
        <v>-6.83</v>
      </c>
      <c r="G94" s="50">
        <f t="shared" si="2"/>
        <v>0.80277216286456821</v>
      </c>
    </row>
    <row r="95" spans="1:7" x14ac:dyDescent="0.25">
      <c r="A95" s="49" t="str">
        <f>'Data shares'!C90</f>
        <v>IEX</v>
      </c>
      <c r="B95" s="50">
        <f>VLOOKUP($A95,'Data shares'!$C:$FM,102)</f>
        <v>43.63</v>
      </c>
      <c r="C95" s="50">
        <f>VLOOKUP($A95,'Data shares'!$C:$FM,110)</f>
        <v>43.55</v>
      </c>
      <c r="D95" s="50">
        <f>VLOOKUP($A95,'Data shares'!$C:$FM,114)</f>
        <v>43.86</v>
      </c>
      <c r="E95" s="50">
        <f>VLOOKUP($A95,'Data shares'!$C:$FM,106)</f>
        <v>56.72</v>
      </c>
      <c r="F95" s="50">
        <f>VLOOKUP($A95,'Data shares'!$C:$FM,108)</f>
        <v>-13.09</v>
      </c>
      <c r="G95" s="50">
        <f t="shared" si="2"/>
        <v>0.76921720733427368</v>
      </c>
    </row>
    <row r="96" spans="1:7" x14ac:dyDescent="0.25">
      <c r="A96" s="49" t="str">
        <f>'Data shares'!C91</f>
        <v>IGL</v>
      </c>
      <c r="B96" s="50">
        <f>VLOOKUP($A96,'Data shares'!$C:$FM,102)</f>
        <v>30.98</v>
      </c>
      <c r="C96" s="50">
        <f>VLOOKUP($A96,'Data shares'!$C:$FM,110)</f>
        <v>31.42</v>
      </c>
      <c r="D96" s="50">
        <f>VLOOKUP($A96,'Data shares'!$C:$FM,114)</f>
        <v>29.71</v>
      </c>
      <c r="E96" s="50">
        <f>VLOOKUP($A96,'Data shares'!$C:$FM,106)</f>
        <v>41.87</v>
      </c>
      <c r="F96" s="50">
        <f>VLOOKUP($A96,'Data shares'!$C:$FM,108)</f>
        <v>-10.89</v>
      </c>
      <c r="G96" s="50">
        <f t="shared" si="2"/>
        <v>0.73990924289467408</v>
      </c>
    </row>
    <row r="97" spans="1:7" x14ac:dyDescent="0.25">
      <c r="A97" s="49" t="str">
        <f>'Data shares'!C92</f>
        <v>IIFL</v>
      </c>
      <c r="B97" s="50">
        <f>VLOOKUP($A97,'Data shares'!$C:$FM,102)</f>
        <v>38.22</v>
      </c>
      <c r="C97" s="50">
        <f>VLOOKUP($A97,'Data shares'!$C:$FM,110)</f>
        <v>38.08</v>
      </c>
      <c r="D97" s="50">
        <f>VLOOKUP($A97,'Data shares'!$C:$FM,114)</f>
        <v>39.049999999999997</v>
      </c>
      <c r="E97" s="50">
        <f>VLOOKUP($A97,'Data shares'!$C:$FM,106)</f>
        <v>51.91</v>
      </c>
      <c r="F97" s="50">
        <f>VLOOKUP($A97,'Data shares'!$C:$FM,108)</f>
        <v>-13.69</v>
      </c>
      <c r="G97" s="50">
        <f t="shared" si="2"/>
        <v>0.7362743209400886</v>
      </c>
    </row>
    <row r="98" spans="1:7" x14ac:dyDescent="0.25">
      <c r="A98" s="49" t="str">
        <f>'Data shares'!C93</f>
        <v>INDHOTEL</v>
      </c>
      <c r="B98" s="50">
        <f>VLOOKUP($A98,'Data shares'!$C:$FM,102)</f>
        <v>23.71</v>
      </c>
      <c r="C98" s="50">
        <f>VLOOKUP($A98,'Data shares'!$C:$FM,110)</f>
        <v>24.04</v>
      </c>
      <c r="D98" s="50">
        <f>VLOOKUP($A98,'Data shares'!$C:$FM,114)</f>
        <v>23.37</v>
      </c>
      <c r="E98" s="50">
        <f>VLOOKUP($A98,'Data shares'!$C:$FM,106)</f>
        <v>35.11</v>
      </c>
      <c r="F98" s="50">
        <f>VLOOKUP($A98,'Data shares'!$C:$FM,108)</f>
        <v>-11.4</v>
      </c>
      <c r="G98" s="50">
        <f t="shared" si="2"/>
        <v>0.67530618057533465</v>
      </c>
    </row>
    <row r="99" spans="1:7" x14ac:dyDescent="0.25">
      <c r="A99" s="49" t="str">
        <f>'Data shares'!C94</f>
        <v>INDIANB</v>
      </c>
      <c r="B99" s="50">
        <f>VLOOKUP($A99,'Data shares'!$C:$FM,102)</f>
        <v>27.43</v>
      </c>
      <c r="C99" s="50">
        <f>VLOOKUP($A99,'Data shares'!$C:$FM,110)</f>
        <v>27.86</v>
      </c>
      <c r="D99" s="50">
        <f>VLOOKUP($A99,'Data shares'!$C:$FM,114)</f>
        <v>26.66</v>
      </c>
      <c r="E99" s="50">
        <f>VLOOKUP($A99,'Data shares'!$C:$FM,106)</f>
        <v>38.159999999999997</v>
      </c>
      <c r="F99" s="50">
        <f>VLOOKUP($A99,'Data shares'!$C:$FM,108)</f>
        <v>-10.73</v>
      </c>
      <c r="G99" s="50">
        <f t="shared" si="2"/>
        <v>0.71881551362683449</v>
      </c>
    </row>
    <row r="100" spans="1:7" x14ac:dyDescent="0.25">
      <c r="A100" s="49" t="str">
        <f>'Data shares'!C95</f>
        <v>INDIAVIX</v>
      </c>
      <c r="B100" s="50">
        <f>VLOOKUP($A100,'Data shares'!$C:$FM,102)</f>
        <v>0</v>
      </c>
      <c r="C100" s="50">
        <f>VLOOKUP($A100,'Data shares'!$C:$FM,110)</f>
        <v>0</v>
      </c>
      <c r="D100" s="50">
        <f>VLOOKUP($A100,'Data shares'!$C:$FM,114)</f>
        <v>0</v>
      </c>
      <c r="E100" s="50">
        <f>VLOOKUP($A100,'Data shares'!$C:$FM,106)</f>
        <v>0</v>
      </c>
      <c r="F100" s="50">
        <f>VLOOKUP($A100,'Data shares'!$C:$FM,108)</f>
        <v>0</v>
      </c>
      <c r="G100" s="50" t="e">
        <f t="shared" si="2"/>
        <v>#DIV/0!</v>
      </c>
    </row>
    <row r="101" spans="1:7" x14ac:dyDescent="0.25">
      <c r="A101" s="49" t="str">
        <f>'Data shares'!C96</f>
        <v>INDIGO</v>
      </c>
      <c r="B101" s="50">
        <f>VLOOKUP($A101,'Data shares'!$C:$FM,102)</f>
        <v>24.93</v>
      </c>
      <c r="C101" s="50">
        <f>VLOOKUP($A101,'Data shares'!$C:$FM,110)</f>
        <v>24.8</v>
      </c>
      <c r="D101" s="50">
        <f>VLOOKUP($A101,'Data shares'!$C:$FM,114)</f>
        <v>25.08</v>
      </c>
      <c r="E101" s="50">
        <f>VLOOKUP($A101,'Data shares'!$C:$FM,106)</f>
        <v>32.43</v>
      </c>
      <c r="F101" s="50">
        <f>VLOOKUP($A101,'Data shares'!$C:$FM,108)</f>
        <v>-7.5</v>
      </c>
      <c r="G101" s="50">
        <f t="shared" si="2"/>
        <v>0.76873265494912113</v>
      </c>
    </row>
    <row r="102" spans="1:7" x14ac:dyDescent="0.25">
      <c r="A102" s="49" t="str">
        <f>'Data shares'!C97</f>
        <v>INDUSINDBK</v>
      </c>
      <c r="B102" s="50">
        <f>VLOOKUP($A102,'Data shares'!$C:$FM,102)</f>
        <v>27.67</v>
      </c>
      <c r="C102" s="50">
        <f>VLOOKUP($A102,'Data shares'!$C:$FM,110)</f>
        <v>28.04</v>
      </c>
      <c r="D102" s="50">
        <f>VLOOKUP($A102,'Data shares'!$C:$FM,114)</f>
        <v>27.12</v>
      </c>
      <c r="E102" s="50">
        <f>VLOOKUP($A102,'Data shares'!$C:$FM,106)</f>
        <v>46.65</v>
      </c>
      <c r="F102" s="50">
        <f>VLOOKUP($A102,'Data shares'!$C:$FM,108)</f>
        <v>-18.98</v>
      </c>
      <c r="G102" s="50">
        <f t="shared" si="2"/>
        <v>0.5931404072883173</v>
      </c>
    </row>
    <row r="103" spans="1:7" x14ac:dyDescent="0.25">
      <c r="A103" s="49" t="str">
        <f>'Data shares'!C98</f>
        <v>INDUSTOWER</v>
      </c>
      <c r="B103" s="50">
        <f>VLOOKUP($A103,'Data shares'!$C:$FM,102)</f>
        <v>34.090000000000003</v>
      </c>
      <c r="C103" s="50">
        <f>VLOOKUP($A103,'Data shares'!$C:$FM,110)</f>
        <v>34.21</v>
      </c>
      <c r="D103" s="50">
        <f>VLOOKUP($A103,'Data shares'!$C:$FM,114)</f>
        <v>33.82</v>
      </c>
      <c r="E103" s="50">
        <f>VLOOKUP($A103,'Data shares'!$C:$FM,106)</f>
        <v>39.71</v>
      </c>
      <c r="F103" s="50">
        <f>VLOOKUP($A103,'Data shares'!$C:$FM,108)</f>
        <v>-5.62</v>
      </c>
      <c r="G103" s="50">
        <f t="shared" ref="G103:G134" si="3">B103/E103</f>
        <v>0.85847393603626299</v>
      </c>
    </row>
    <row r="104" spans="1:7" x14ac:dyDescent="0.25">
      <c r="A104" s="49" t="str">
        <f>'Data shares'!C99</f>
        <v>INFY</v>
      </c>
      <c r="B104" s="50">
        <f>VLOOKUP($A104,'Data shares'!$C:$FM,102)</f>
        <v>23.06</v>
      </c>
      <c r="C104" s="50">
        <f>VLOOKUP($A104,'Data shares'!$C:$FM,110)</f>
        <v>23.09</v>
      </c>
      <c r="D104" s="50">
        <f>VLOOKUP($A104,'Data shares'!$C:$FM,114)</f>
        <v>22.99</v>
      </c>
      <c r="E104" s="50">
        <f>VLOOKUP($A104,'Data shares'!$C:$FM,106)</f>
        <v>29.5</v>
      </c>
      <c r="F104" s="50">
        <f>VLOOKUP($A104,'Data shares'!$C:$FM,108)</f>
        <v>-6.44</v>
      </c>
      <c r="G104" s="50">
        <f t="shared" si="3"/>
        <v>0.78169491525423729</v>
      </c>
    </row>
    <row r="105" spans="1:7" x14ac:dyDescent="0.25">
      <c r="A105" s="49" t="str">
        <f>'Data shares'!C100</f>
        <v>INOXWIND</v>
      </c>
      <c r="B105" s="50">
        <f>VLOOKUP($A105,'Data shares'!$C:$FM,102)</f>
        <v>38.04</v>
      </c>
      <c r="C105" s="50">
        <f>VLOOKUP($A105,'Data shares'!$C:$FM,110)</f>
        <v>38.17</v>
      </c>
      <c r="D105" s="50">
        <f>VLOOKUP($A105,'Data shares'!$C:$FM,114)</f>
        <v>37.590000000000003</v>
      </c>
      <c r="E105" s="50">
        <f>VLOOKUP($A105,'Data shares'!$C:$FM,106)</f>
        <v>56.05</v>
      </c>
      <c r="F105" s="50">
        <f>VLOOKUP($A105,'Data shares'!$C:$FM,108)</f>
        <v>-18.010000000000002</v>
      </c>
      <c r="G105" s="50">
        <f t="shared" si="3"/>
        <v>0.67867975022301519</v>
      </c>
    </row>
    <row r="106" spans="1:7" x14ac:dyDescent="0.25">
      <c r="A106" s="49" t="str">
        <f>'Data shares'!C101</f>
        <v>IOC</v>
      </c>
      <c r="B106" s="50">
        <f>VLOOKUP($A106,'Data shares'!$C:$FM,102)</f>
        <v>25.44</v>
      </c>
      <c r="C106" s="50">
        <f>VLOOKUP($A106,'Data shares'!$C:$FM,110)</f>
        <v>25.54</v>
      </c>
      <c r="D106" s="50">
        <f>VLOOKUP($A106,'Data shares'!$C:$FM,114)</f>
        <v>25.19</v>
      </c>
      <c r="E106" s="50">
        <f>VLOOKUP($A106,'Data shares'!$C:$FM,106)</f>
        <v>32.03</v>
      </c>
      <c r="F106" s="50">
        <f>VLOOKUP($A106,'Data shares'!$C:$FM,108)</f>
        <v>-6.59</v>
      </c>
      <c r="G106" s="50">
        <f t="shared" si="3"/>
        <v>0.79425538557602249</v>
      </c>
    </row>
    <row r="107" spans="1:7" x14ac:dyDescent="0.25">
      <c r="A107" s="49" t="str">
        <f>'Data shares'!C102</f>
        <v>IRCTC</v>
      </c>
      <c r="B107" s="50">
        <f>VLOOKUP($A107,'Data shares'!$C:$FM,102)</f>
        <v>22.8</v>
      </c>
      <c r="C107" s="50">
        <f>VLOOKUP($A107,'Data shares'!$C:$FM,110)</f>
        <v>23.04</v>
      </c>
      <c r="D107" s="50">
        <f>VLOOKUP($A107,'Data shares'!$C:$FM,114)</f>
        <v>22.28</v>
      </c>
      <c r="E107" s="50">
        <f>VLOOKUP($A107,'Data shares'!$C:$FM,106)</f>
        <v>30.79</v>
      </c>
      <c r="F107" s="50">
        <f>VLOOKUP($A107,'Data shares'!$C:$FM,108)</f>
        <v>-7.99</v>
      </c>
      <c r="G107" s="50">
        <f t="shared" si="3"/>
        <v>0.74050016239038652</v>
      </c>
    </row>
    <row r="108" spans="1:7" x14ac:dyDescent="0.25">
      <c r="A108" s="49" t="str">
        <f>'Data shares'!C103</f>
        <v>IREDA</v>
      </c>
      <c r="B108" s="50">
        <f>VLOOKUP($A108,'Data shares'!$C:$FM,102)</f>
        <v>33.770000000000003</v>
      </c>
      <c r="C108" s="50">
        <f>VLOOKUP($A108,'Data shares'!$C:$FM,110)</f>
        <v>33.700000000000003</v>
      </c>
      <c r="D108" s="50">
        <f>VLOOKUP($A108,'Data shares'!$C:$FM,114)</f>
        <v>33.94</v>
      </c>
      <c r="E108" s="50">
        <f>VLOOKUP($A108,'Data shares'!$C:$FM,106)</f>
        <v>51.74</v>
      </c>
      <c r="F108" s="50">
        <f>VLOOKUP($A108,'Data shares'!$C:$FM,108)</f>
        <v>-17.97</v>
      </c>
      <c r="G108" s="50">
        <f t="shared" si="3"/>
        <v>0.65268650947042905</v>
      </c>
    </row>
    <row r="109" spans="1:7" x14ac:dyDescent="0.25">
      <c r="A109" s="49" t="str">
        <f>'Data shares'!C104</f>
        <v>IRFC</v>
      </c>
      <c r="B109" s="50">
        <f>VLOOKUP($A109,'Data shares'!$C:$FM,102)</f>
        <v>27.63</v>
      </c>
      <c r="C109" s="50">
        <f>VLOOKUP($A109,'Data shares'!$C:$FM,110)</f>
        <v>28.09</v>
      </c>
      <c r="D109" s="50">
        <f>VLOOKUP($A109,'Data shares'!$C:$FM,114)</f>
        <v>26.94</v>
      </c>
      <c r="E109" s="50">
        <f>VLOOKUP($A109,'Data shares'!$C:$FM,106)</f>
        <v>46.98</v>
      </c>
      <c r="F109" s="50">
        <f>VLOOKUP($A109,'Data shares'!$C:$FM,108)</f>
        <v>-19.350000000000001</v>
      </c>
      <c r="G109" s="50">
        <f t="shared" si="3"/>
        <v>0.58812260536398464</v>
      </c>
    </row>
    <row r="110" spans="1:7" x14ac:dyDescent="0.25">
      <c r="A110" s="49" t="str">
        <f>'Data shares'!C105</f>
        <v>ITC</v>
      </c>
      <c r="B110" s="50">
        <f>VLOOKUP($A110,'Data shares'!$C:$FM,102)</f>
        <v>16.96</v>
      </c>
      <c r="C110" s="50">
        <f>VLOOKUP($A110,'Data shares'!$C:$FM,110)</f>
        <v>17.059999999999999</v>
      </c>
      <c r="D110" s="50">
        <f>VLOOKUP($A110,'Data shares'!$C:$FM,114)</f>
        <v>16.809999999999999</v>
      </c>
      <c r="E110" s="50">
        <f>VLOOKUP($A110,'Data shares'!$C:$FM,106)</f>
        <v>19.559999999999999</v>
      </c>
      <c r="F110" s="50">
        <f>VLOOKUP($A110,'Data shares'!$C:$FM,108)</f>
        <v>-2.6</v>
      </c>
      <c r="G110" s="50">
        <f t="shared" si="3"/>
        <v>0.86707566462167696</v>
      </c>
    </row>
    <row r="111" spans="1:7" x14ac:dyDescent="0.25">
      <c r="A111" s="49" t="str">
        <f>'Data shares'!C106</f>
        <v>JINDALSTEL</v>
      </c>
      <c r="B111" s="50">
        <f>VLOOKUP($A111,'Data shares'!$C:$FM,102)</f>
        <v>31.67</v>
      </c>
      <c r="C111" s="50">
        <f>VLOOKUP($A111,'Data shares'!$C:$FM,110)</f>
        <v>31.55</v>
      </c>
      <c r="D111" s="50">
        <f>VLOOKUP($A111,'Data shares'!$C:$FM,114)</f>
        <v>31.89</v>
      </c>
      <c r="E111" s="50">
        <f>VLOOKUP($A111,'Data shares'!$C:$FM,106)</f>
        <v>35.85</v>
      </c>
      <c r="F111" s="50">
        <f>VLOOKUP($A111,'Data shares'!$C:$FM,108)</f>
        <v>-4.18</v>
      </c>
      <c r="G111" s="50">
        <f t="shared" si="3"/>
        <v>0.8834030683403068</v>
      </c>
    </row>
    <row r="112" spans="1:7" x14ac:dyDescent="0.25">
      <c r="A112" s="49" t="str">
        <f>'Data shares'!C107</f>
        <v>JIOFIN</v>
      </c>
      <c r="B112" s="50">
        <f>VLOOKUP($A112,'Data shares'!$C:$FM,102)</f>
        <v>25.76</v>
      </c>
      <c r="C112" s="50">
        <f>VLOOKUP($A112,'Data shares'!$C:$FM,110)</f>
        <v>25.78</v>
      </c>
      <c r="D112" s="50">
        <f>VLOOKUP($A112,'Data shares'!$C:$FM,114)</f>
        <v>25.72</v>
      </c>
      <c r="E112" s="50">
        <f>VLOOKUP($A112,'Data shares'!$C:$FM,106)</f>
        <v>35.72</v>
      </c>
      <c r="F112" s="50">
        <f>VLOOKUP($A112,'Data shares'!$C:$FM,108)</f>
        <v>-9.9600000000000009</v>
      </c>
      <c r="G112" s="50">
        <f t="shared" si="3"/>
        <v>0.72116461366181417</v>
      </c>
    </row>
    <row r="113" spans="1:7" x14ac:dyDescent="0.25">
      <c r="A113" s="49" t="str">
        <f>'Data shares'!C108</f>
        <v>JSWENERGY</v>
      </c>
      <c r="B113" s="50">
        <f>VLOOKUP($A113,'Data shares'!$C:$FM,102)</f>
        <v>28.56</v>
      </c>
      <c r="C113" s="50">
        <f>VLOOKUP($A113,'Data shares'!$C:$FM,110)</f>
        <v>29.24</v>
      </c>
      <c r="D113" s="50">
        <f>VLOOKUP($A113,'Data shares'!$C:$FM,114)</f>
        <v>26.99</v>
      </c>
      <c r="E113" s="50">
        <f>VLOOKUP($A113,'Data shares'!$C:$FM,106)</f>
        <v>44.86</v>
      </c>
      <c r="F113" s="50">
        <f>VLOOKUP($A113,'Data shares'!$C:$FM,108)</f>
        <v>-16.3</v>
      </c>
      <c r="G113" s="50">
        <f t="shared" si="3"/>
        <v>0.63664734730271955</v>
      </c>
    </row>
    <row r="114" spans="1:7" x14ac:dyDescent="0.25">
      <c r="A114" s="49" t="str">
        <f>'Data shares'!C109</f>
        <v>JSWSTEEL</v>
      </c>
      <c r="B114" s="50">
        <f>VLOOKUP($A114,'Data shares'!$C:$FM,102)</f>
        <v>23.44</v>
      </c>
      <c r="C114" s="50">
        <f>VLOOKUP($A114,'Data shares'!$C:$FM,110)</f>
        <v>23.65</v>
      </c>
      <c r="D114" s="50">
        <f>VLOOKUP($A114,'Data shares'!$C:$FM,114)</f>
        <v>23.08</v>
      </c>
      <c r="E114" s="50">
        <f>VLOOKUP($A114,'Data shares'!$C:$FM,106)</f>
        <v>29.21</v>
      </c>
      <c r="F114" s="50">
        <f>VLOOKUP($A114,'Data shares'!$C:$FM,108)</f>
        <v>-5.77</v>
      </c>
      <c r="G114" s="50">
        <f t="shared" si="3"/>
        <v>0.80246490927764469</v>
      </c>
    </row>
    <row r="115" spans="1:7" x14ac:dyDescent="0.25">
      <c r="A115" s="49" t="str">
        <f>'Data shares'!C110</f>
        <v>JUBLFOOD</v>
      </c>
      <c r="B115" s="50">
        <f>VLOOKUP($A115,'Data shares'!$C:$FM,102)</f>
        <v>28.73</v>
      </c>
      <c r="C115" s="50">
        <f>VLOOKUP($A115,'Data shares'!$C:$FM,110)</f>
        <v>28.73</v>
      </c>
      <c r="D115" s="50">
        <f>VLOOKUP($A115,'Data shares'!$C:$FM,114)</f>
        <v>28.72</v>
      </c>
      <c r="E115" s="50">
        <f>VLOOKUP($A115,'Data shares'!$C:$FM,106)</f>
        <v>33.65</v>
      </c>
      <c r="F115" s="50">
        <f>VLOOKUP($A115,'Data shares'!$C:$FM,108)</f>
        <v>-4.92</v>
      </c>
      <c r="G115" s="50">
        <f t="shared" si="3"/>
        <v>0.85378900445765238</v>
      </c>
    </row>
    <row r="116" spans="1:7" x14ac:dyDescent="0.25">
      <c r="A116" s="49" t="str">
        <f>'Data shares'!C111</f>
        <v>KALYANKJIL</v>
      </c>
      <c r="B116" s="50">
        <f>VLOOKUP($A116,'Data shares'!$C:$FM,102)</f>
        <v>38.43</v>
      </c>
      <c r="C116" s="50">
        <f>VLOOKUP($A116,'Data shares'!$C:$FM,110)</f>
        <v>37.79</v>
      </c>
      <c r="D116" s="50">
        <f>VLOOKUP($A116,'Data shares'!$C:$FM,114)</f>
        <v>40.04</v>
      </c>
      <c r="E116" s="50">
        <f>VLOOKUP($A116,'Data shares'!$C:$FM,106)</f>
        <v>51.12</v>
      </c>
      <c r="F116" s="50">
        <f>VLOOKUP($A116,'Data shares'!$C:$FM,108)</f>
        <v>-12.69</v>
      </c>
      <c r="G116" s="50">
        <f t="shared" si="3"/>
        <v>0.75176056338028174</v>
      </c>
    </row>
    <row r="117" spans="1:7" x14ac:dyDescent="0.25">
      <c r="A117" s="49" t="str">
        <f>'Data shares'!C112</f>
        <v>KAYNES</v>
      </c>
      <c r="B117" s="50">
        <f>VLOOKUP($A117,'Data shares'!$C:$FM,102)</f>
        <v>40.14</v>
      </c>
      <c r="C117" s="50">
        <f>VLOOKUP($A117,'Data shares'!$C:$FM,110)</f>
        <v>39.950000000000003</v>
      </c>
      <c r="D117" s="50">
        <f>VLOOKUP($A117,'Data shares'!$C:$FM,114)</f>
        <v>40.590000000000003</v>
      </c>
      <c r="E117" s="50">
        <f>VLOOKUP($A117,'Data shares'!$C:$FM,106)</f>
        <v>55.04</v>
      </c>
      <c r="F117" s="50">
        <f>VLOOKUP($A117,'Data shares'!$C:$FM,108)</f>
        <v>-14.9</v>
      </c>
      <c r="G117" s="50">
        <f t="shared" si="3"/>
        <v>0.72928779069767447</v>
      </c>
    </row>
    <row r="118" spans="1:7" x14ac:dyDescent="0.25">
      <c r="A118" s="49" t="str">
        <f>'Data shares'!C113</f>
        <v>KEI</v>
      </c>
      <c r="B118" s="50">
        <f>VLOOKUP($A118,'Data shares'!$C:$FM,102)</f>
        <v>32.31</v>
      </c>
      <c r="C118" s="50">
        <f>VLOOKUP($A118,'Data shares'!$C:$FM,110)</f>
        <v>32.479999999999997</v>
      </c>
      <c r="D118" s="50">
        <f>VLOOKUP($A118,'Data shares'!$C:$FM,114)</f>
        <v>31.67</v>
      </c>
      <c r="E118" s="50">
        <f>VLOOKUP($A118,'Data shares'!$C:$FM,106)</f>
        <v>48.27</v>
      </c>
      <c r="F118" s="50">
        <f>VLOOKUP($A118,'Data shares'!$C:$FM,108)</f>
        <v>-15.96</v>
      </c>
      <c r="G118" s="50">
        <f t="shared" si="3"/>
        <v>0.66935985083903049</v>
      </c>
    </row>
    <row r="119" spans="1:7" x14ac:dyDescent="0.25">
      <c r="A119" s="49" t="str">
        <f>'Data shares'!C114</f>
        <v>KFINTECH</v>
      </c>
      <c r="B119" s="50">
        <f>VLOOKUP($A119,'Data shares'!$C:$FM,102)</f>
        <v>40.54</v>
      </c>
      <c r="C119" s="50">
        <f>VLOOKUP($A119,'Data shares'!$C:$FM,110)</f>
        <v>40.39</v>
      </c>
      <c r="D119" s="50">
        <f>VLOOKUP($A119,'Data shares'!$C:$FM,114)</f>
        <v>41.08</v>
      </c>
      <c r="E119" s="50">
        <f>VLOOKUP($A119,'Data shares'!$C:$FM,106)</f>
        <v>55.38</v>
      </c>
      <c r="F119" s="50">
        <f>VLOOKUP($A119,'Data shares'!$C:$FM,108)</f>
        <v>-14.84</v>
      </c>
      <c r="G119" s="50">
        <f t="shared" si="3"/>
        <v>0.73203322499097145</v>
      </c>
    </row>
    <row r="120" spans="1:7" x14ac:dyDescent="0.25">
      <c r="A120" s="49" t="str">
        <f>'Data shares'!C115</f>
        <v>KOTAKBANK</v>
      </c>
      <c r="B120" s="50">
        <f>VLOOKUP($A120,'Data shares'!$C:$FM,102)</f>
        <v>19.68</v>
      </c>
      <c r="C120" s="50">
        <f>VLOOKUP($A120,'Data shares'!$C:$FM,110)</f>
        <v>19.86</v>
      </c>
      <c r="D120" s="50">
        <f>VLOOKUP($A120,'Data shares'!$C:$FM,114)</f>
        <v>19.399999999999999</v>
      </c>
      <c r="E120" s="50">
        <f>VLOOKUP($A120,'Data shares'!$C:$FM,106)</f>
        <v>27.49</v>
      </c>
      <c r="F120" s="50">
        <f>VLOOKUP($A120,'Data shares'!$C:$FM,108)</f>
        <v>-7.81</v>
      </c>
      <c r="G120" s="50">
        <f t="shared" si="3"/>
        <v>0.71589668970534748</v>
      </c>
    </row>
    <row r="121" spans="1:7" x14ac:dyDescent="0.25">
      <c r="A121" s="49" t="str">
        <f>'Data shares'!C116</f>
        <v>KPITTECH</v>
      </c>
      <c r="B121" s="50">
        <f>VLOOKUP($A121,'Data shares'!$C:$FM,102)</f>
        <v>38.5</v>
      </c>
      <c r="C121" s="50">
        <f>VLOOKUP($A121,'Data shares'!$C:$FM,110)</f>
        <v>38.17</v>
      </c>
      <c r="D121" s="50">
        <f>VLOOKUP($A121,'Data shares'!$C:$FM,114)</f>
        <v>39.49</v>
      </c>
      <c r="E121" s="50">
        <f>VLOOKUP($A121,'Data shares'!$C:$FM,106)</f>
        <v>44.44</v>
      </c>
      <c r="F121" s="50">
        <f>VLOOKUP($A121,'Data shares'!$C:$FM,108)</f>
        <v>-5.94</v>
      </c>
      <c r="G121" s="50">
        <f t="shared" si="3"/>
        <v>0.86633663366336633</v>
      </c>
    </row>
    <row r="122" spans="1:7" x14ac:dyDescent="0.25">
      <c r="A122" s="49" t="str">
        <f>'Data shares'!C117</f>
        <v>LAURUSLABS</v>
      </c>
      <c r="B122" s="50">
        <f>VLOOKUP($A122,'Data shares'!$C:$FM,102)</f>
        <v>30.68</v>
      </c>
      <c r="C122" s="50">
        <f>VLOOKUP($A122,'Data shares'!$C:$FM,110)</f>
        <v>30.57</v>
      </c>
      <c r="D122" s="50">
        <f>VLOOKUP($A122,'Data shares'!$C:$FM,114)</f>
        <v>30.96</v>
      </c>
      <c r="E122" s="50">
        <f>VLOOKUP($A122,'Data shares'!$C:$FM,106)</f>
        <v>40.619999999999997</v>
      </c>
      <c r="F122" s="50">
        <f>VLOOKUP($A122,'Data shares'!$C:$FM,108)</f>
        <v>-9.94</v>
      </c>
      <c r="G122" s="50">
        <f t="shared" si="3"/>
        <v>0.75529295913343186</v>
      </c>
    </row>
    <row r="123" spans="1:7" x14ac:dyDescent="0.25">
      <c r="A123" s="49" t="str">
        <f>'Data shares'!C118</f>
        <v>LICHSGFIN</v>
      </c>
      <c r="B123" s="50">
        <f>VLOOKUP($A123,'Data shares'!$C:$FM,102)</f>
        <v>25.26</v>
      </c>
      <c r="C123" s="50">
        <f>VLOOKUP($A123,'Data shares'!$C:$FM,110)</f>
        <v>25.35</v>
      </c>
      <c r="D123" s="50">
        <f>VLOOKUP($A123,'Data shares'!$C:$FM,114)</f>
        <v>25.11</v>
      </c>
      <c r="E123" s="50">
        <f>VLOOKUP($A123,'Data shares'!$C:$FM,106)</f>
        <v>34.18</v>
      </c>
      <c r="F123" s="50">
        <f>VLOOKUP($A123,'Data shares'!$C:$FM,108)</f>
        <v>-8.92</v>
      </c>
      <c r="G123" s="50">
        <f t="shared" si="3"/>
        <v>0.73902867173785847</v>
      </c>
    </row>
    <row r="124" spans="1:7" x14ac:dyDescent="0.25">
      <c r="A124" s="49" t="str">
        <f>'Data shares'!C119</f>
        <v>LICI</v>
      </c>
      <c r="B124" s="50">
        <f>VLOOKUP($A124,'Data shares'!$C:$FM,102)</f>
        <v>24.2</v>
      </c>
      <c r="C124" s="50">
        <f>VLOOKUP($A124,'Data shares'!$C:$FM,110)</f>
        <v>24.2</v>
      </c>
      <c r="D124" s="50">
        <f>VLOOKUP($A124,'Data shares'!$C:$FM,114)</f>
        <v>24.21</v>
      </c>
      <c r="E124" s="50">
        <f>VLOOKUP($A124,'Data shares'!$C:$FM,106)</f>
        <v>31.84</v>
      </c>
      <c r="F124" s="50">
        <f>VLOOKUP($A124,'Data shares'!$C:$FM,108)</f>
        <v>-7.64</v>
      </c>
      <c r="G124" s="50">
        <f t="shared" si="3"/>
        <v>0.76005025125628134</v>
      </c>
    </row>
    <row r="125" spans="1:7" x14ac:dyDescent="0.25">
      <c r="A125" s="49" t="str">
        <f>'Data shares'!C120</f>
        <v>LODHA</v>
      </c>
      <c r="B125" s="50">
        <f>VLOOKUP($A125,'Data shares'!$C:$FM,102)</f>
        <v>33.1</v>
      </c>
      <c r="C125" s="50">
        <f>VLOOKUP($A125,'Data shares'!$C:$FM,110)</f>
        <v>33.17</v>
      </c>
      <c r="D125" s="50">
        <f>VLOOKUP($A125,'Data shares'!$C:$FM,114)</f>
        <v>32.950000000000003</v>
      </c>
      <c r="E125" s="50">
        <f>VLOOKUP($A125,'Data shares'!$C:$FM,106)</f>
        <v>46.89</v>
      </c>
      <c r="F125" s="50">
        <f>VLOOKUP($A125,'Data shares'!$C:$FM,108)</f>
        <v>-13.79</v>
      </c>
      <c r="G125" s="50">
        <f t="shared" si="3"/>
        <v>0.7059074429515888</v>
      </c>
    </row>
    <row r="126" spans="1:7" x14ac:dyDescent="0.25">
      <c r="A126" s="49" t="str">
        <f>'Data shares'!C121</f>
        <v>LT</v>
      </c>
      <c r="B126" s="50">
        <f>VLOOKUP($A126,'Data shares'!$C:$FM,102)</f>
        <v>23.07</v>
      </c>
      <c r="C126" s="50">
        <f>VLOOKUP($A126,'Data shares'!$C:$FM,110)</f>
        <v>23.23</v>
      </c>
      <c r="D126" s="50">
        <f>VLOOKUP($A126,'Data shares'!$C:$FM,114)</f>
        <v>22.65</v>
      </c>
      <c r="E126" s="50">
        <f>VLOOKUP($A126,'Data shares'!$C:$FM,106)</f>
        <v>27.66</v>
      </c>
      <c r="F126" s="50">
        <f>VLOOKUP($A126,'Data shares'!$C:$FM,108)</f>
        <v>-4.59</v>
      </c>
      <c r="G126" s="50">
        <f t="shared" si="3"/>
        <v>0.8340563991323211</v>
      </c>
    </row>
    <row r="127" spans="1:7" x14ac:dyDescent="0.25">
      <c r="A127" s="49" t="str">
        <f>'Data shares'!C122</f>
        <v>LTF</v>
      </c>
      <c r="B127" s="50">
        <f>VLOOKUP($A127,'Data shares'!$C:$FM,102)</f>
        <v>28.29</v>
      </c>
      <c r="C127" s="50">
        <f>VLOOKUP($A127,'Data shares'!$C:$FM,110)</f>
        <v>27.76</v>
      </c>
      <c r="D127" s="50">
        <f>VLOOKUP($A127,'Data shares'!$C:$FM,114)</f>
        <v>28.86</v>
      </c>
      <c r="E127" s="50">
        <f>VLOOKUP($A127,'Data shares'!$C:$FM,106)</f>
        <v>38.35</v>
      </c>
      <c r="F127" s="50">
        <f>VLOOKUP($A127,'Data shares'!$C:$FM,108)</f>
        <v>-10.06</v>
      </c>
      <c r="G127" s="50">
        <f t="shared" si="3"/>
        <v>0.73767926988265964</v>
      </c>
    </row>
    <row r="128" spans="1:7" x14ac:dyDescent="0.25">
      <c r="A128" s="49" t="str">
        <f>'Data shares'!C123</f>
        <v>LTIM</v>
      </c>
      <c r="B128" s="50">
        <f>VLOOKUP($A128,'Data shares'!$C:$FM,102)</f>
        <v>28.11</v>
      </c>
      <c r="C128" s="50">
        <f>VLOOKUP($A128,'Data shares'!$C:$FM,110)</f>
        <v>26.66</v>
      </c>
      <c r="D128" s="50">
        <f>VLOOKUP($A128,'Data shares'!$C:$FM,114)</f>
        <v>30.25</v>
      </c>
      <c r="E128" s="50">
        <f>VLOOKUP($A128,'Data shares'!$C:$FM,106)</f>
        <v>33.54</v>
      </c>
      <c r="F128" s="50">
        <f>VLOOKUP($A128,'Data shares'!$C:$FM,108)</f>
        <v>-5.43</v>
      </c>
      <c r="G128" s="50">
        <f t="shared" si="3"/>
        <v>0.83810375670840787</v>
      </c>
    </row>
    <row r="129" spans="1:7" x14ac:dyDescent="0.25">
      <c r="A129" s="49" t="str">
        <f>'Data shares'!C124</f>
        <v>LUPIN</v>
      </c>
      <c r="B129" s="50">
        <f>VLOOKUP($A129,'Data shares'!$C:$FM,102)</f>
        <v>26.79</v>
      </c>
      <c r="C129" s="50">
        <f>VLOOKUP($A129,'Data shares'!$C:$FM,110)</f>
        <v>27.05</v>
      </c>
      <c r="D129" s="50">
        <f>VLOOKUP($A129,'Data shares'!$C:$FM,114)</f>
        <v>26.36</v>
      </c>
      <c r="E129" s="50">
        <f>VLOOKUP($A129,'Data shares'!$C:$FM,106)</f>
        <v>31.94</v>
      </c>
      <c r="F129" s="50">
        <f>VLOOKUP($A129,'Data shares'!$C:$FM,108)</f>
        <v>-5.15</v>
      </c>
      <c r="G129" s="50">
        <f t="shared" si="3"/>
        <v>0.83876017532874136</v>
      </c>
    </row>
    <row r="130" spans="1:7" x14ac:dyDescent="0.25">
      <c r="A130" s="49" t="str">
        <f>'Data shares'!C125</f>
        <v>M&amp;M</v>
      </c>
      <c r="B130" s="50">
        <f>VLOOKUP($A130,'Data shares'!$C:$FM,102)</f>
        <v>26.1</v>
      </c>
      <c r="C130" s="50">
        <f>VLOOKUP($A130,'Data shares'!$C:$FM,110)</f>
        <v>26.13</v>
      </c>
      <c r="D130" s="50">
        <f>VLOOKUP($A130,'Data shares'!$C:$FM,114)</f>
        <v>26.04</v>
      </c>
      <c r="E130" s="50">
        <f>VLOOKUP($A130,'Data shares'!$C:$FM,106)</f>
        <v>33.94</v>
      </c>
      <c r="F130" s="50">
        <f>VLOOKUP($A130,'Data shares'!$C:$FM,108)</f>
        <v>-7.84</v>
      </c>
      <c r="G130" s="50">
        <f t="shared" si="3"/>
        <v>0.76900412492634074</v>
      </c>
    </row>
    <row r="131" spans="1:7" x14ac:dyDescent="0.25">
      <c r="A131" s="49" t="str">
        <f>'Data shares'!C126</f>
        <v>MANAPPURAM</v>
      </c>
      <c r="B131" s="50">
        <f>VLOOKUP($A131,'Data shares'!$C:$FM,102)</f>
        <v>31.61</v>
      </c>
      <c r="C131" s="50">
        <f>VLOOKUP($A131,'Data shares'!$C:$FM,110)</f>
        <v>31.69</v>
      </c>
      <c r="D131" s="50">
        <f>VLOOKUP($A131,'Data shares'!$C:$FM,114)</f>
        <v>31.5</v>
      </c>
      <c r="E131" s="50">
        <f>VLOOKUP($A131,'Data shares'!$C:$FM,106)</f>
        <v>42.78</v>
      </c>
      <c r="F131" s="50">
        <f>VLOOKUP($A131,'Data shares'!$C:$FM,108)</f>
        <v>-11.17</v>
      </c>
      <c r="G131" s="50">
        <f t="shared" si="3"/>
        <v>0.73889668069191206</v>
      </c>
    </row>
    <row r="132" spans="1:7" x14ac:dyDescent="0.25">
      <c r="A132" s="49" t="str">
        <f>'Data shares'!C127</f>
        <v>MANKIND</v>
      </c>
      <c r="B132" s="50">
        <f>VLOOKUP($A132,'Data shares'!$C:$FM,102)</f>
        <v>29.34</v>
      </c>
      <c r="C132" s="50">
        <f>VLOOKUP($A132,'Data shares'!$C:$FM,110)</f>
        <v>29.35</v>
      </c>
      <c r="D132" s="50">
        <f>VLOOKUP($A132,'Data shares'!$C:$FM,114)</f>
        <v>29.32</v>
      </c>
      <c r="E132" s="50">
        <f>VLOOKUP($A132,'Data shares'!$C:$FM,106)</f>
        <v>34</v>
      </c>
      <c r="F132" s="50">
        <f>VLOOKUP($A132,'Data shares'!$C:$FM,108)</f>
        <v>-4.66</v>
      </c>
      <c r="G132" s="50">
        <f t="shared" si="3"/>
        <v>0.86294117647058821</v>
      </c>
    </row>
    <row r="133" spans="1:7" x14ac:dyDescent="0.25">
      <c r="A133" s="49" t="str">
        <f>'Data shares'!C128</f>
        <v>MARICO</v>
      </c>
      <c r="B133" s="50">
        <f>VLOOKUP($A133,'Data shares'!$C:$FM,102)</f>
        <v>22.17</v>
      </c>
      <c r="C133" s="50">
        <f>VLOOKUP($A133,'Data shares'!$C:$FM,110)</f>
        <v>22.04</v>
      </c>
      <c r="D133" s="50">
        <f>VLOOKUP($A133,'Data shares'!$C:$FM,114)</f>
        <v>22.35</v>
      </c>
      <c r="E133" s="50">
        <f>VLOOKUP($A133,'Data shares'!$C:$FM,106)</f>
        <v>25.58</v>
      </c>
      <c r="F133" s="50">
        <f>VLOOKUP($A133,'Data shares'!$C:$FM,108)</f>
        <v>-3.41</v>
      </c>
      <c r="G133" s="50">
        <f t="shared" si="3"/>
        <v>0.86669272869429259</v>
      </c>
    </row>
    <row r="134" spans="1:7" x14ac:dyDescent="0.25">
      <c r="A134" s="49" t="str">
        <f>'Data shares'!C129</f>
        <v>MARUTI</v>
      </c>
      <c r="B134" s="50">
        <f>VLOOKUP($A134,'Data shares'!$C:$FM,102)</f>
        <v>22.24</v>
      </c>
      <c r="C134" s="50">
        <f>VLOOKUP($A134,'Data shares'!$C:$FM,110)</f>
        <v>22</v>
      </c>
      <c r="D134" s="50">
        <f>VLOOKUP($A134,'Data shares'!$C:$FM,114)</f>
        <v>22.68</v>
      </c>
      <c r="E134" s="50">
        <f>VLOOKUP($A134,'Data shares'!$C:$FM,106)</f>
        <v>25.39</v>
      </c>
      <c r="F134" s="50">
        <f>VLOOKUP($A134,'Data shares'!$C:$FM,108)</f>
        <v>-3.15</v>
      </c>
      <c r="G134" s="50">
        <f t="shared" si="3"/>
        <v>0.87593540764080335</v>
      </c>
    </row>
    <row r="135" spans="1:7" x14ac:dyDescent="0.25">
      <c r="A135" s="49" t="str">
        <f>'Data shares'!C130</f>
        <v>MAXHEALTH</v>
      </c>
      <c r="B135" s="50">
        <f>VLOOKUP($A135,'Data shares'!$C:$FM,102)</f>
        <v>28.14</v>
      </c>
      <c r="C135" s="50">
        <f>VLOOKUP($A135,'Data shares'!$C:$FM,110)</f>
        <v>28.22</v>
      </c>
      <c r="D135" s="50">
        <f>VLOOKUP($A135,'Data shares'!$C:$FM,114)</f>
        <v>28</v>
      </c>
      <c r="E135" s="50">
        <f>VLOOKUP($A135,'Data shares'!$C:$FM,106)</f>
        <v>40.79</v>
      </c>
      <c r="F135" s="50">
        <f>VLOOKUP($A135,'Data shares'!$C:$FM,108)</f>
        <v>-12.65</v>
      </c>
      <c r="G135" s="50">
        <f t="shared" ref="G135:G166" si="4">B135/E135</f>
        <v>0.68987496935523418</v>
      </c>
    </row>
    <row r="136" spans="1:7" x14ac:dyDescent="0.25">
      <c r="A136" s="49" t="str">
        <f>'Data shares'!C131</f>
        <v>MAZDOCK</v>
      </c>
      <c r="B136" s="50">
        <f>VLOOKUP($A136,'Data shares'!$C:$FM,102)</f>
        <v>37.79</v>
      </c>
      <c r="C136" s="50">
        <f>VLOOKUP($A136,'Data shares'!$C:$FM,110)</f>
        <v>38.22</v>
      </c>
      <c r="D136" s="50">
        <f>VLOOKUP($A136,'Data shares'!$C:$FM,114)</f>
        <v>36.42</v>
      </c>
      <c r="E136" s="50">
        <f>VLOOKUP($A136,'Data shares'!$C:$FM,106)</f>
        <v>58.97</v>
      </c>
      <c r="F136" s="50">
        <f>VLOOKUP($A136,'Data shares'!$C:$FM,108)</f>
        <v>-21.18</v>
      </c>
      <c r="G136" s="50">
        <f t="shared" si="4"/>
        <v>0.64083432253688311</v>
      </c>
    </row>
    <row r="137" spans="1:7" x14ac:dyDescent="0.25">
      <c r="A137" s="49" t="str">
        <f>'Data shares'!C132</f>
        <v>MCX</v>
      </c>
      <c r="B137" s="50">
        <f>VLOOKUP($A137,'Data shares'!$C:$FM,102)</f>
        <v>41.42</v>
      </c>
      <c r="C137" s="50">
        <f>VLOOKUP($A137,'Data shares'!$C:$FM,110)</f>
        <v>40.96</v>
      </c>
      <c r="D137" s="50">
        <f>VLOOKUP($A137,'Data shares'!$C:$FM,114)</f>
        <v>42.6</v>
      </c>
      <c r="E137" s="50">
        <f>VLOOKUP($A137,'Data shares'!$C:$FM,106)</f>
        <v>47.25</v>
      </c>
      <c r="F137" s="50">
        <f>VLOOKUP($A137,'Data shares'!$C:$FM,108)</f>
        <v>-5.83</v>
      </c>
      <c r="G137" s="50">
        <f t="shared" si="4"/>
        <v>0.87661375661375662</v>
      </c>
    </row>
    <row r="138" spans="1:7" x14ac:dyDescent="0.25">
      <c r="A138" s="49" t="str">
        <f>'Data shares'!C133</f>
        <v>MFSL</v>
      </c>
      <c r="B138" s="50">
        <f>VLOOKUP($A138,'Data shares'!$C:$FM,102)</f>
        <v>29.2</v>
      </c>
      <c r="C138" s="50">
        <f>VLOOKUP($A138,'Data shares'!$C:$FM,110)</f>
        <v>29.3</v>
      </c>
      <c r="D138" s="50">
        <f>VLOOKUP($A138,'Data shares'!$C:$FM,114)</f>
        <v>29.04</v>
      </c>
      <c r="E138" s="50">
        <f>VLOOKUP($A138,'Data shares'!$C:$FM,106)</f>
        <v>30.37</v>
      </c>
      <c r="F138" s="50">
        <f>VLOOKUP($A138,'Data shares'!$C:$FM,108)</f>
        <v>-1.17</v>
      </c>
      <c r="G138" s="50">
        <f t="shared" si="4"/>
        <v>0.96147513994073097</v>
      </c>
    </row>
    <row r="139" spans="1:7" x14ac:dyDescent="0.25">
      <c r="A139" s="49" t="str">
        <f>'Data shares'!C134</f>
        <v>MIDCPNIFTY</v>
      </c>
      <c r="B139" s="50">
        <f>VLOOKUP($A139,'Data shares'!$C:$FM,102)</f>
        <v>16.63</v>
      </c>
      <c r="C139" s="50">
        <f>VLOOKUP($A139,'Data shares'!$C:$FM,110)</f>
        <v>15.64</v>
      </c>
      <c r="D139" s="50">
        <f>VLOOKUP($A139,'Data shares'!$C:$FM,114)</f>
        <v>17.79</v>
      </c>
      <c r="E139" s="50">
        <f>VLOOKUP($A139,'Data shares'!$C:$FM,106)</f>
        <v>22.7</v>
      </c>
      <c r="F139" s="50">
        <f>VLOOKUP($A139,'Data shares'!$C:$FM,108)</f>
        <v>-6.07</v>
      </c>
      <c r="G139" s="50">
        <f t="shared" si="4"/>
        <v>0.73259911894273122</v>
      </c>
    </row>
    <row r="140" spans="1:7" x14ac:dyDescent="0.25">
      <c r="A140" s="49" t="str">
        <f>'Data shares'!C135</f>
        <v>MOTHERSON</v>
      </c>
      <c r="B140" s="50">
        <f>VLOOKUP($A140,'Data shares'!$C:$FM,102)</f>
        <v>38.11</v>
      </c>
      <c r="C140" s="50">
        <f>VLOOKUP($A140,'Data shares'!$C:$FM,110)</f>
        <v>38.450000000000003</v>
      </c>
      <c r="D140" s="50">
        <f>VLOOKUP($A140,'Data shares'!$C:$FM,114)</f>
        <v>37.4</v>
      </c>
      <c r="E140" s="50">
        <f>VLOOKUP($A140,'Data shares'!$C:$FM,106)</f>
        <v>40.69</v>
      </c>
      <c r="F140" s="50">
        <f>VLOOKUP($A140,'Data shares'!$C:$FM,108)</f>
        <v>-2.58</v>
      </c>
      <c r="G140" s="50">
        <f t="shared" si="4"/>
        <v>0.93659375768001973</v>
      </c>
    </row>
    <row r="141" spans="1:7" x14ac:dyDescent="0.25">
      <c r="A141" s="49" t="str">
        <f>'Data shares'!C136</f>
        <v>MPHASIS</v>
      </c>
      <c r="B141" s="50">
        <f>VLOOKUP($A141,'Data shares'!$C:$FM,102)</f>
        <v>33</v>
      </c>
      <c r="C141" s="50">
        <f>VLOOKUP($A141,'Data shares'!$C:$FM,110)</f>
        <v>33.03</v>
      </c>
      <c r="D141" s="50">
        <f>VLOOKUP($A141,'Data shares'!$C:$FM,114)</f>
        <v>32.96</v>
      </c>
      <c r="E141" s="50">
        <f>VLOOKUP($A141,'Data shares'!$C:$FM,106)</f>
        <v>37.58</v>
      </c>
      <c r="F141" s="50">
        <f>VLOOKUP($A141,'Data shares'!$C:$FM,108)</f>
        <v>-4.58</v>
      </c>
      <c r="G141" s="50">
        <f t="shared" si="4"/>
        <v>0.87812666311868015</v>
      </c>
    </row>
    <row r="142" spans="1:7" x14ac:dyDescent="0.25">
      <c r="A142" s="49" t="str">
        <f>'Data shares'!C137</f>
        <v>MUTHOOTFIN</v>
      </c>
      <c r="B142" s="50">
        <f>VLOOKUP($A142,'Data shares'!$C:$FM,102)</f>
        <v>33.68</v>
      </c>
      <c r="C142" s="50">
        <f>VLOOKUP($A142,'Data shares'!$C:$FM,110)</f>
        <v>33.380000000000003</v>
      </c>
      <c r="D142" s="50">
        <f>VLOOKUP($A142,'Data shares'!$C:$FM,114)</f>
        <v>34.08</v>
      </c>
      <c r="E142" s="50">
        <f>VLOOKUP($A142,'Data shares'!$C:$FM,106)</f>
        <v>35.81</v>
      </c>
      <c r="F142" s="50">
        <f>VLOOKUP($A142,'Data shares'!$C:$FM,108)</f>
        <v>-2.13</v>
      </c>
      <c r="G142" s="50">
        <f t="shared" si="4"/>
        <v>0.94051940798659583</v>
      </c>
    </row>
    <row r="143" spans="1:7" x14ac:dyDescent="0.25">
      <c r="A143" s="49" t="str">
        <f>'Data shares'!C138</f>
        <v>NATIONALUM</v>
      </c>
      <c r="B143" s="50">
        <f>VLOOKUP($A143,'Data shares'!$C:$FM,102)</f>
        <v>32.659999999999997</v>
      </c>
      <c r="C143" s="50">
        <f>VLOOKUP($A143,'Data shares'!$C:$FM,110)</f>
        <v>32.729999999999997</v>
      </c>
      <c r="D143" s="50">
        <f>VLOOKUP($A143,'Data shares'!$C:$FM,114)</f>
        <v>32.54</v>
      </c>
      <c r="E143" s="50">
        <f>VLOOKUP($A143,'Data shares'!$C:$FM,106)</f>
        <v>47.16</v>
      </c>
      <c r="F143" s="50">
        <f>VLOOKUP($A143,'Data shares'!$C:$FM,108)</f>
        <v>-14.5</v>
      </c>
      <c r="G143" s="50">
        <f t="shared" si="4"/>
        <v>0.69253604749787956</v>
      </c>
    </row>
    <row r="144" spans="1:7" x14ac:dyDescent="0.25">
      <c r="A144" s="49" t="str">
        <f>'Data shares'!C139</f>
        <v>NAUKRI</v>
      </c>
      <c r="B144" s="50">
        <f>VLOOKUP($A144,'Data shares'!$C:$FM,102)</f>
        <v>32.979999999999997</v>
      </c>
      <c r="C144" s="50">
        <f>VLOOKUP($A144,'Data shares'!$C:$FM,110)</f>
        <v>33.07</v>
      </c>
      <c r="D144" s="50">
        <f>VLOOKUP($A144,'Data shares'!$C:$FM,114)</f>
        <v>32.799999999999997</v>
      </c>
      <c r="E144" s="50">
        <f>VLOOKUP($A144,'Data shares'!$C:$FM,106)</f>
        <v>38.17</v>
      </c>
      <c r="F144" s="50">
        <f>VLOOKUP($A144,'Data shares'!$C:$FM,108)</f>
        <v>-5.19</v>
      </c>
      <c r="G144" s="50">
        <f t="shared" si="4"/>
        <v>0.86402934241550944</v>
      </c>
    </row>
    <row r="145" spans="1:7" x14ac:dyDescent="0.25">
      <c r="A145" s="49" t="str">
        <f>'Data shares'!C140</f>
        <v>NBCC</v>
      </c>
      <c r="B145" s="50">
        <f>VLOOKUP($A145,'Data shares'!$C:$FM,102)</f>
        <v>34.700000000000003</v>
      </c>
      <c r="C145" s="50">
        <f>VLOOKUP($A145,'Data shares'!$C:$FM,110)</f>
        <v>34.9</v>
      </c>
      <c r="D145" s="50">
        <f>VLOOKUP($A145,'Data shares'!$C:$FM,114)</f>
        <v>34.450000000000003</v>
      </c>
      <c r="E145" s="50">
        <f>VLOOKUP($A145,'Data shares'!$C:$FM,106)</f>
        <v>52.08</v>
      </c>
      <c r="F145" s="50">
        <f>VLOOKUP($A145,'Data shares'!$C:$FM,108)</f>
        <v>-17.38</v>
      </c>
      <c r="G145" s="50">
        <f t="shared" si="4"/>
        <v>0.66628264208909382</v>
      </c>
    </row>
    <row r="146" spans="1:7" x14ac:dyDescent="0.25">
      <c r="A146" s="49" t="str">
        <f>'Data shares'!C141</f>
        <v>NCC</v>
      </c>
      <c r="B146" s="50">
        <f>VLOOKUP($A146,'Data shares'!$C:$FM,102)</f>
        <v>33.61</v>
      </c>
      <c r="C146" s="50">
        <f>VLOOKUP($A146,'Data shares'!$C:$FM,110)</f>
        <v>33.619999999999997</v>
      </c>
      <c r="D146" s="50">
        <f>VLOOKUP($A146,'Data shares'!$C:$FM,114)</f>
        <v>33.57</v>
      </c>
      <c r="E146" s="50">
        <f>VLOOKUP($A146,'Data shares'!$C:$FM,106)</f>
        <v>46.93</v>
      </c>
      <c r="F146" s="50">
        <f>VLOOKUP($A146,'Data shares'!$C:$FM,108)</f>
        <v>-13.32</v>
      </c>
      <c r="G146" s="50">
        <f t="shared" si="4"/>
        <v>0.716173023652248</v>
      </c>
    </row>
    <row r="147" spans="1:7" x14ac:dyDescent="0.25">
      <c r="A147" s="49" t="str">
        <f>'Data shares'!C142</f>
        <v>NESTLEIND</v>
      </c>
      <c r="B147" s="50">
        <f>VLOOKUP($A147,'Data shares'!$C:$FM,102)</f>
        <v>20.02</v>
      </c>
      <c r="C147" s="50">
        <f>VLOOKUP($A147,'Data shares'!$C:$FM,110)</f>
        <v>20.03</v>
      </c>
      <c r="D147" s="50">
        <f>VLOOKUP($A147,'Data shares'!$C:$FM,114)</f>
        <v>20.010000000000002</v>
      </c>
      <c r="E147" s="50">
        <f>VLOOKUP($A147,'Data shares'!$C:$FM,106)</f>
        <v>24.3</v>
      </c>
      <c r="F147" s="50">
        <f>VLOOKUP($A147,'Data shares'!$C:$FM,108)</f>
        <v>-4.28</v>
      </c>
      <c r="G147" s="50">
        <f t="shared" si="4"/>
        <v>0.82386831275720163</v>
      </c>
    </row>
    <row r="148" spans="1:7" x14ac:dyDescent="0.25">
      <c r="A148" s="49" t="str">
        <f>'Data shares'!C143</f>
        <v>NHPC</v>
      </c>
      <c r="B148" s="50">
        <f>VLOOKUP($A148,'Data shares'!$C:$FM,102)</f>
        <v>29.47</v>
      </c>
      <c r="C148" s="50">
        <f>VLOOKUP($A148,'Data shares'!$C:$FM,110)</f>
        <v>29.86</v>
      </c>
      <c r="D148" s="50">
        <f>VLOOKUP($A148,'Data shares'!$C:$FM,114)</f>
        <v>28.56</v>
      </c>
      <c r="E148" s="50">
        <f>VLOOKUP($A148,'Data shares'!$C:$FM,106)</f>
        <v>39.17</v>
      </c>
      <c r="F148" s="50">
        <f>VLOOKUP($A148,'Data shares'!$C:$FM,108)</f>
        <v>-9.6999999999999993</v>
      </c>
      <c r="G148" s="50">
        <f t="shared" si="4"/>
        <v>0.75236150114883837</v>
      </c>
    </row>
    <row r="149" spans="1:7" x14ac:dyDescent="0.25">
      <c r="A149" s="49" t="str">
        <f>'Data shares'!C144</f>
        <v>NIFTY</v>
      </c>
      <c r="B149" s="50">
        <f>VLOOKUP($A149,'Data shares'!$C:$FM,102)</f>
        <v>12.46</v>
      </c>
      <c r="C149" s="50">
        <f>VLOOKUP($A149,'Data shares'!$C:$FM,110)</f>
        <v>11.71</v>
      </c>
      <c r="D149" s="50">
        <f>VLOOKUP($A149,'Data shares'!$C:$FM,114)</f>
        <v>13.42</v>
      </c>
      <c r="E149" s="50">
        <f>VLOOKUP($A149,'Data shares'!$C:$FM,106)</f>
        <v>14.93</v>
      </c>
      <c r="F149" s="50">
        <f>VLOOKUP($A149,'Data shares'!$C:$FM,108)</f>
        <v>-2.4700000000000002</v>
      </c>
      <c r="G149" s="50">
        <f t="shared" si="4"/>
        <v>0.83456128600133961</v>
      </c>
    </row>
    <row r="150" spans="1:7" x14ac:dyDescent="0.25">
      <c r="A150" s="49" t="str">
        <f>'Data shares'!C145</f>
        <v>NIFTYNXT50</v>
      </c>
      <c r="B150" s="50">
        <f>VLOOKUP($A150,'Data shares'!$C:$FM,102)</f>
        <v>24.16</v>
      </c>
      <c r="C150" s="50">
        <f>VLOOKUP($A150,'Data shares'!$C:$FM,110)</f>
        <v>25.06</v>
      </c>
      <c r="D150" s="50">
        <f>VLOOKUP($A150,'Data shares'!$C:$FM,114)</f>
        <v>23.26</v>
      </c>
      <c r="E150" s="50">
        <f>VLOOKUP($A150,'Data shares'!$C:$FM,106)</f>
        <v>20.96</v>
      </c>
      <c r="F150" s="50">
        <f>VLOOKUP($A150,'Data shares'!$C:$FM,108)</f>
        <v>3.2</v>
      </c>
      <c r="G150" s="50">
        <f t="shared" si="4"/>
        <v>1.1526717557251909</v>
      </c>
    </row>
    <row r="151" spans="1:7" x14ac:dyDescent="0.25">
      <c r="A151" s="49" t="str">
        <f>'Data shares'!C146</f>
        <v>NMDC</v>
      </c>
      <c r="B151" s="50">
        <f>VLOOKUP($A151,'Data shares'!$C:$FM,102)</f>
        <v>29.11</v>
      </c>
      <c r="C151" s="50">
        <f>VLOOKUP($A151,'Data shares'!$C:$FM,110)</f>
        <v>29.69</v>
      </c>
      <c r="D151" s="50">
        <f>VLOOKUP($A151,'Data shares'!$C:$FM,114)</f>
        <v>28.43</v>
      </c>
      <c r="E151" s="50">
        <f>VLOOKUP($A151,'Data shares'!$C:$FM,106)</f>
        <v>39.090000000000003</v>
      </c>
      <c r="F151" s="50">
        <f>VLOOKUP($A151,'Data shares'!$C:$FM,108)</f>
        <v>-9.98</v>
      </c>
      <c r="G151" s="50">
        <f t="shared" si="4"/>
        <v>0.74469173701713987</v>
      </c>
    </row>
    <row r="152" spans="1:7" x14ac:dyDescent="0.25">
      <c r="A152" s="49" t="str">
        <f>'Data shares'!C147</f>
        <v>NTPC</v>
      </c>
      <c r="B152" s="50">
        <f>VLOOKUP($A152,'Data shares'!$C:$FM,102)</f>
        <v>20.47</v>
      </c>
      <c r="C152" s="50">
        <f>VLOOKUP($A152,'Data shares'!$C:$FM,110)</f>
        <v>20.63</v>
      </c>
      <c r="D152" s="50">
        <f>VLOOKUP($A152,'Data shares'!$C:$FM,114)</f>
        <v>20.27</v>
      </c>
      <c r="E152" s="50">
        <f>VLOOKUP($A152,'Data shares'!$C:$FM,106)</f>
        <v>28.33</v>
      </c>
      <c r="F152" s="50">
        <f>VLOOKUP($A152,'Data shares'!$C:$FM,108)</f>
        <v>-7.86</v>
      </c>
      <c r="G152" s="50">
        <f t="shared" si="4"/>
        <v>0.72255559477585596</v>
      </c>
    </row>
    <row r="153" spans="1:7" x14ac:dyDescent="0.25">
      <c r="A153" s="49" t="str">
        <f>'Data shares'!C148</f>
        <v>NUVAMA</v>
      </c>
      <c r="B153" s="50">
        <f>VLOOKUP($A153,'Data shares'!$C:$FM,102)</f>
        <v>38.869999999999997</v>
      </c>
      <c r="C153" s="50">
        <f>VLOOKUP($A153,'Data shares'!$C:$FM,110)</f>
        <v>38.83</v>
      </c>
      <c r="D153" s="50">
        <f>VLOOKUP($A153,'Data shares'!$C:$FM,114)</f>
        <v>39.090000000000003</v>
      </c>
      <c r="E153" s="50">
        <f>VLOOKUP($A153,'Data shares'!$C:$FM,106)</f>
        <v>51.79</v>
      </c>
      <c r="F153" s="50">
        <f>VLOOKUP($A153,'Data shares'!$C:$FM,108)</f>
        <v>-12.92</v>
      </c>
      <c r="G153" s="50">
        <f t="shared" si="4"/>
        <v>0.75053099053871397</v>
      </c>
    </row>
    <row r="154" spans="1:7" x14ac:dyDescent="0.25">
      <c r="A154" s="49" t="str">
        <f>'Data shares'!C149</f>
        <v>NYKAA</v>
      </c>
      <c r="B154" s="50">
        <f>VLOOKUP($A154,'Data shares'!$C:$FM,102)</f>
        <v>32.49</v>
      </c>
      <c r="C154" s="50">
        <f>VLOOKUP($A154,'Data shares'!$C:$FM,110)</f>
        <v>31.73</v>
      </c>
      <c r="D154" s="50">
        <f>VLOOKUP($A154,'Data shares'!$C:$FM,114)</f>
        <v>33.43</v>
      </c>
      <c r="E154" s="50">
        <f>VLOOKUP($A154,'Data shares'!$C:$FM,106)</f>
        <v>37.130000000000003</v>
      </c>
      <c r="F154" s="50">
        <f>VLOOKUP($A154,'Data shares'!$C:$FM,108)</f>
        <v>-4.6399999999999997</v>
      </c>
      <c r="G154" s="50">
        <f t="shared" si="4"/>
        <v>0.87503366549959605</v>
      </c>
    </row>
    <row r="155" spans="1:7" x14ac:dyDescent="0.25">
      <c r="A155" s="49" t="str">
        <f>'Data shares'!C150</f>
        <v>OBEROIRLTY</v>
      </c>
      <c r="B155" s="50">
        <f>VLOOKUP($A155,'Data shares'!$C:$FM,102)</f>
        <v>29.26</v>
      </c>
      <c r="C155" s="50">
        <f>VLOOKUP($A155,'Data shares'!$C:$FM,110)</f>
        <v>29.31</v>
      </c>
      <c r="D155" s="50">
        <f>VLOOKUP($A155,'Data shares'!$C:$FM,114)</f>
        <v>29.01</v>
      </c>
      <c r="E155" s="50">
        <f>VLOOKUP($A155,'Data shares'!$C:$FM,106)</f>
        <v>38.450000000000003</v>
      </c>
      <c r="F155" s="50">
        <f>VLOOKUP($A155,'Data shares'!$C:$FM,108)</f>
        <v>-9.19</v>
      </c>
      <c r="G155" s="50">
        <f t="shared" si="4"/>
        <v>0.76098829648894661</v>
      </c>
    </row>
    <row r="156" spans="1:7" x14ac:dyDescent="0.25">
      <c r="A156" s="49" t="str">
        <f>'Data shares'!C151</f>
        <v>OFSS</v>
      </c>
      <c r="B156" s="50">
        <f>VLOOKUP($A156,'Data shares'!$C:$FM,102)</f>
        <v>31.02</v>
      </c>
      <c r="C156" s="50">
        <f>VLOOKUP($A156,'Data shares'!$C:$FM,110)</f>
        <v>31.07</v>
      </c>
      <c r="D156" s="50">
        <f>VLOOKUP($A156,'Data shares'!$C:$FM,114)</f>
        <v>30.88</v>
      </c>
      <c r="E156" s="50">
        <f>VLOOKUP($A156,'Data shares'!$C:$FM,106)</f>
        <v>41.4</v>
      </c>
      <c r="F156" s="50">
        <f>VLOOKUP($A156,'Data shares'!$C:$FM,108)</f>
        <v>-10.38</v>
      </c>
      <c r="G156" s="50">
        <f t="shared" si="4"/>
        <v>0.74927536231884062</v>
      </c>
    </row>
    <row r="157" spans="1:7" x14ac:dyDescent="0.25">
      <c r="A157" s="49" t="str">
        <f>'Data shares'!C152</f>
        <v>OIL</v>
      </c>
      <c r="B157" s="50">
        <f>VLOOKUP($A157,'Data shares'!$C:$FM,102)</f>
        <v>30.31</v>
      </c>
      <c r="C157" s="50">
        <f>VLOOKUP($A157,'Data shares'!$C:$FM,110)</f>
        <v>30.43</v>
      </c>
      <c r="D157" s="50">
        <f>VLOOKUP($A157,'Data shares'!$C:$FM,114)</f>
        <v>29.98</v>
      </c>
      <c r="E157" s="50">
        <f>VLOOKUP($A157,'Data shares'!$C:$FM,106)</f>
        <v>44.12</v>
      </c>
      <c r="F157" s="50">
        <f>VLOOKUP($A157,'Data shares'!$C:$FM,108)</f>
        <v>-13.81</v>
      </c>
      <c r="G157" s="50">
        <f t="shared" si="4"/>
        <v>0.6869900271985494</v>
      </c>
    </row>
    <row r="158" spans="1:7" x14ac:dyDescent="0.25">
      <c r="A158" s="49" t="str">
        <f>'Data shares'!C153</f>
        <v>ONGC</v>
      </c>
      <c r="B158" s="50">
        <f>VLOOKUP($A158,'Data shares'!$C:$FM,102)</f>
        <v>24.6</v>
      </c>
      <c r="C158" s="50">
        <f>VLOOKUP($A158,'Data shares'!$C:$FM,110)</f>
        <v>24.87</v>
      </c>
      <c r="D158" s="50">
        <f>VLOOKUP($A158,'Data shares'!$C:$FM,114)</f>
        <v>24.12</v>
      </c>
      <c r="E158" s="50">
        <f>VLOOKUP($A158,'Data shares'!$C:$FM,106)</f>
        <v>31.89</v>
      </c>
      <c r="F158" s="50">
        <f>VLOOKUP($A158,'Data shares'!$C:$FM,108)</f>
        <v>-7.29</v>
      </c>
      <c r="G158" s="50">
        <f t="shared" si="4"/>
        <v>0.77140169332079023</v>
      </c>
    </row>
    <row r="159" spans="1:7" x14ac:dyDescent="0.25">
      <c r="A159" s="49" t="str">
        <f>'Data shares'!C154</f>
        <v>PAGEIND</v>
      </c>
      <c r="B159" s="50">
        <f>VLOOKUP($A159,'Data shares'!$C:$FM,102)</f>
        <v>28.09</v>
      </c>
      <c r="C159" s="50">
        <f>VLOOKUP($A159,'Data shares'!$C:$FM,110)</f>
        <v>27.76</v>
      </c>
      <c r="D159" s="50">
        <f>VLOOKUP($A159,'Data shares'!$C:$FM,114)</f>
        <v>28.61</v>
      </c>
      <c r="E159" s="50">
        <f>VLOOKUP($A159,'Data shares'!$C:$FM,106)</f>
        <v>29.18</v>
      </c>
      <c r="F159" s="50">
        <f>VLOOKUP($A159,'Data shares'!$C:$FM,108)</f>
        <v>-1.0900000000000001</v>
      </c>
      <c r="G159" s="50">
        <f t="shared" si="4"/>
        <v>0.96264564770390681</v>
      </c>
    </row>
    <row r="160" spans="1:7" x14ac:dyDescent="0.25">
      <c r="A160" s="49" t="str">
        <f>'Data shares'!C155</f>
        <v>PATANJALI</v>
      </c>
      <c r="B160" s="50">
        <f>VLOOKUP($A160,'Data shares'!$C:$FM,102)</f>
        <v>28.57</v>
      </c>
      <c r="C160" s="50">
        <f>VLOOKUP($A160,'Data shares'!$C:$FM,110)</f>
        <v>28.4</v>
      </c>
      <c r="D160" s="50">
        <f>VLOOKUP($A160,'Data shares'!$C:$FM,114)</f>
        <v>28.74</v>
      </c>
      <c r="E160" s="50">
        <f>VLOOKUP($A160,'Data shares'!$C:$FM,106)</f>
        <v>33.99</v>
      </c>
      <c r="F160" s="50">
        <f>VLOOKUP($A160,'Data shares'!$C:$FM,108)</f>
        <v>-5.42</v>
      </c>
      <c r="G160" s="50">
        <f t="shared" si="4"/>
        <v>0.84054133568696676</v>
      </c>
    </row>
    <row r="161" spans="1:7" x14ac:dyDescent="0.25">
      <c r="A161" s="49" t="str">
        <f>'Data shares'!C156</f>
        <v>PAYTM</v>
      </c>
      <c r="B161" s="50">
        <f>VLOOKUP($A161,'Data shares'!$C:$FM,102)</f>
        <v>40.35</v>
      </c>
      <c r="C161" s="50">
        <f>VLOOKUP($A161,'Data shares'!$C:$FM,110)</f>
        <v>40.06</v>
      </c>
      <c r="D161" s="50">
        <f>VLOOKUP($A161,'Data shares'!$C:$FM,114)</f>
        <v>41.03</v>
      </c>
      <c r="E161" s="50">
        <f>VLOOKUP($A161,'Data shares'!$C:$FM,106)</f>
        <v>55.27</v>
      </c>
      <c r="F161" s="50">
        <f>VLOOKUP($A161,'Data shares'!$C:$FM,108)</f>
        <v>-14.92</v>
      </c>
      <c r="G161" s="50">
        <f t="shared" si="4"/>
        <v>0.73005246969422832</v>
      </c>
    </row>
    <row r="162" spans="1:7" x14ac:dyDescent="0.25">
      <c r="A162" s="49" t="str">
        <f>'Data shares'!C157</f>
        <v>PERSISTENT</v>
      </c>
      <c r="B162" s="50">
        <f>VLOOKUP($A162,'Data shares'!$C:$FM,102)</f>
        <v>29.06</v>
      </c>
      <c r="C162" s="50">
        <f>VLOOKUP($A162,'Data shares'!$C:$FM,110)</f>
        <v>29.08</v>
      </c>
      <c r="D162" s="50">
        <f>VLOOKUP($A162,'Data shares'!$C:$FM,114)</f>
        <v>29.03</v>
      </c>
      <c r="E162" s="50">
        <f>VLOOKUP($A162,'Data shares'!$C:$FM,106)</f>
        <v>41.95</v>
      </c>
      <c r="F162" s="50">
        <f>VLOOKUP($A162,'Data shares'!$C:$FM,108)</f>
        <v>-12.89</v>
      </c>
      <c r="G162" s="50">
        <f t="shared" si="4"/>
        <v>0.69272943980929669</v>
      </c>
    </row>
    <row r="163" spans="1:7" x14ac:dyDescent="0.25">
      <c r="A163" s="49" t="str">
        <f>'Data shares'!C158</f>
        <v>PETRONET</v>
      </c>
      <c r="B163" s="50">
        <f>VLOOKUP($A163,'Data shares'!$C:$FM,102)</f>
        <v>24.62</v>
      </c>
      <c r="C163" s="50">
        <f>VLOOKUP($A163,'Data shares'!$C:$FM,110)</f>
        <v>22.9</v>
      </c>
      <c r="D163" s="50">
        <f>VLOOKUP($A163,'Data shares'!$C:$FM,114)</f>
        <v>27.02</v>
      </c>
      <c r="E163" s="50">
        <f>VLOOKUP($A163,'Data shares'!$C:$FM,106)</f>
        <v>32.51</v>
      </c>
      <c r="F163" s="50">
        <f>VLOOKUP($A163,'Data shares'!$C:$FM,108)</f>
        <v>-7.89</v>
      </c>
      <c r="G163" s="50">
        <f t="shared" si="4"/>
        <v>0.75730544447862203</v>
      </c>
    </row>
    <row r="164" spans="1:7" x14ac:dyDescent="0.25">
      <c r="A164" s="49" t="str">
        <f>'Data shares'!C159</f>
        <v>PFC</v>
      </c>
      <c r="B164" s="50">
        <f>VLOOKUP($A164,'Data shares'!$C:$FM,102)</f>
        <v>25.16</v>
      </c>
      <c r="C164" s="50">
        <f>VLOOKUP($A164,'Data shares'!$C:$FM,110)</f>
        <v>24.8</v>
      </c>
      <c r="D164" s="50">
        <f>VLOOKUP($A164,'Data shares'!$C:$FM,114)</f>
        <v>25.67</v>
      </c>
      <c r="E164" s="50">
        <f>VLOOKUP($A164,'Data shares'!$C:$FM,106)</f>
        <v>44.01</v>
      </c>
      <c r="F164" s="50">
        <f>VLOOKUP($A164,'Data shares'!$C:$FM,108)</f>
        <v>-18.850000000000001</v>
      </c>
      <c r="G164" s="50">
        <f t="shared" si="4"/>
        <v>0.5716882526698478</v>
      </c>
    </row>
    <row r="165" spans="1:7" x14ac:dyDescent="0.25">
      <c r="A165" s="49" t="str">
        <f>'Data shares'!C160</f>
        <v>PGEL</v>
      </c>
      <c r="B165" s="50">
        <f>VLOOKUP($A165,'Data shares'!$C:$FM,102)</f>
        <v>47.92</v>
      </c>
      <c r="C165" s="50">
        <f>VLOOKUP($A165,'Data shares'!$C:$FM,110)</f>
        <v>47.49</v>
      </c>
      <c r="D165" s="50">
        <f>VLOOKUP($A165,'Data shares'!$C:$FM,114)</f>
        <v>48.89</v>
      </c>
      <c r="E165" s="50">
        <f>VLOOKUP($A165,'Data shares'!$C:$FM,106)</f>
        <v>69.069999999999993</v>
      </c>
      <c r="F165" s="50">
        <f>VLOOKUP($A165,'Data shares'!$C:$FM,108)</f>
        <v>-21.15</v>
      </c>
      <c r="G165" s="50">
        <f t="shared" si="4"/>
        <v>0.69378890980165064</v>
      </c>
    </row>
    <row r="166" spans="1:7" x14ac:dyDescent="0.25">
      <c r="A166" s="49" t="str">
        <f>'Data shares'!C161</f>
        <v>PHOENIXLTD</v>
      </c>
      <c r="B166" s="50">
        <f>VLOOKUP($A166,'Data shares'!$C:$FM,102)</f>
        <v>31.95</v>
      </c>
      <c r="C166" s="50">
        <f>VLOOKUP($A166,'Data shares'!$C:$FM,110)</f>
        <v>32.11</v>
      </c>
      <c r="D166" s="50">
        <f>VLOOKUP($A166,'Data shares'!$C:$FM,114)</f>
        <v>31.44</v>
      </c>
      <c r="E166" s="50">
        <f>VLOOKUP($A166,'Data shares'!$C:$FM,106)</f>
        <v>44.08</v>
      </c>
      <c r="F166" s="50">
        <f>VLOOKUP($A166,'Data shares'!$C:$FM,108)</f>
        <v>-12.13</v>
      </c>
      <c r="G166" s="50">
        <f t="shared" si="4"/>
        <v>0.72481851179673318</v>
      </c>
    </row>
    <row r="167" spans="1:7" x14ac:dyDescent="0.25">
      <c r="A167" s="49" t="str">
        <f>'Data shares'!C162</f>
        <v>PIDILITIND</v>
      </c>
      <c r="B167" s="50">
        <f>VLOOKUP($A167,'Data shares'!$C:$FM,102)</f>
        <v>23.25</v>
      </c>
      <c r="C167" s="50">
        <f>VLOOKUP($A167,'Data shares'!$C:$FM,110)</f>
        <v>23.32</v>
      </c>
      <c r="D167" s="50">
        <f>VLOOKUP($A167,'Data shares'!$C:$FM,114)</f>
        <v>23.13</v>
      </c>
      <c r="E167" s="50">
        <f>VLOOKUP($A167,'Data shares'!$C:$FM,106)</f>
        <v>21.98</v>
      </c>
      <c r="F167" s="50">
        <f>VLOOKUP($A167,'Data shares'!$C:$FM,108)</f>
        <v>1.27</v>
      </c>
      <c r="G167" s="50">
        <f t="shared" ref="G167:G189" si="5">B167/E167</f>
        <v>1.0577797998180163</v>
      </c>
    </row>
    <row r="168" spans="1:7" x14ac:dyDescent="0.25">
      <c r="A168" s="49" t="str">
        <f>'Data shares'!C163</f>
        <v>PIIND</v>
      </c>
      <c r="B168" s="50">
        <f>VLOOKUP($A168,'Data shares'!$C:$FM,102)</f>
        <v>29.66</v>
      </c>
      <c r="C168" s="50">
        <f>VLOOKUP($A168,'Data shares'!$C:$FM,110)</f>
        <v>29.76</v>
      </c>
      <c r="D168" s="50">
        <f>VLOOKUP($A168,'Data shares'!$C:$FM,114)</f>
        <v>29.23</v>
      </c>
      <c r="E168" s="50">
        <f>VLOOKUP($A168,'Data shares'!$C:$FM,106)</f>
        <v>29.78</v>
      </c>
      <c r="F168" s="50">
        <f>VLOOKUP($A168,'Data shares'!$C:$FM,108)</f>
        <v>-0.12</v>
      </c>
      <c r="G168" s="50">
        <f t="shared" si="5"/>
        <v>0.99597044996642037</v>
      </c>
    </row>
    <row r="169" spans="1:7" x14ac:dyDescent="0.25">
      <c r="A169" s="49" t="str">
        <f>'Data shares'!C164</f>
        <v>PNB</v>
      </c>
      <c r="B169" s="50">
        <f>VLOOKUP($A169,'Data shares'!$C:$FM,102)</f>
        <v>28.26</v>
      </c>
      <c r="C169" s="50">
        <f>VLOOKUP($A169,'Data shares'!$C:$FM,110)</f>
        <v>28.4</v>
      </c>
      <c r="D169" s="50">
        <f>VLOOKUP($A169,'Data shares'!$C:$FM,114)</f>
        <v>27.95</v>
      </c>
      <c r="E169" s="50">
        <f>VLOOKUP($A169,'Data shares'!$C:$FM,106)</f>
        <v>37.119999999999997</v>
      </c>
      <c r="F169" s="50">
        <f>VLOOKUP($A169,'Data shares'!$C:$FM,108)</f>
        <v>-8.86</v>
      </c>
      <c r="G169" s="50">
        <f t="shared" si="5"/>
        <v>0.76131465517241392</v>
      </c>
    </row>
    <row r="170" spans="1:7" x14ac:dyDescent="0.25">
      <c r="A170" s="49" t="str">
        <f>'Data shares'!C165</f>
        <v>PNBHOUSING</v>
      </c>
      <c r="B170" s="50">
        <f>VLOOKUP($A170,'Data shares'!$C:$FM,102)</f>
        <v>38.92</v>
      </c>
      <c r="C170" s="50">
        <f>VLOOKUP($A170,'Data shares'!$C:$FM,110)</f>
        <v>39.1</v>
      </c>
      <c r="D170" s="50">
        <f>VLOOKUP($A170,'Data shares'!$C:$FM,114)</f>
        <v>38.44</v>
      </c>
      <c r="E170" s="50">
        <f>VLOOKUP($A170,'Data shares'!$C:$FM,106)</f>
        <v>48.8</v>
      </c>
      <c r="F170" s="50">
        <f>VLOOKUP($A170,'Data shares'!$C:$FM,108)</f>
        <v>-9.8800000000000008</v>
      </c>
      <c r="G170" s="50">
        <f t="shared" si="5"/>
        <v>0.79754098360655745</v>
      </c>
    </row>
    <row r="171" spans="1:7" x14ac:dyDescent="0.25">
      <c r="A171" s="49" t="str">
        <f>'Data shares'!C166</f>
        <v>POLICYBZR</v>
      </c>
      <c r="B171" s="50">
        <f>VLOOKUP($A171,'Data shares'!$C:$FM,102)</f>
        <v>35.270000000000003</v>
      </c>
      <c r="C171" s="50">
        <f>VLOOKUP($A171,'Data shares'!$C:$FM,110)</f>
        <v>35.22</v>
      </c>
      <c r="D171" s="50">
        <f>VLOOKUP($A171,'Data shares'!$C:$FM,114)</f>
        <v>35.42</v>
      </c>
      <c r="E171" s="50">
        <f>VLOOKUP($A171,'Data shares'!$C:$FM,106)</f>
        <v>47.31</v>
      </c>
      <c r="F171" s="50">
        <f>VLOOKUP($A171,'Data shares'!$C:$FM,108)</f>
        <v>-12.04</v>
      </c>
      <c r="G171" s="50">
        <f t="shared" si="5"/>
        <v>0.74550834918621856</v>
      </c>
    </row>
    <row r="172" spans="1:7" x14ac:dyDescent="0.25">
      <c r="A172" s="49" t="str">
        <f>'Data shares'!C167</f>
        <v>POLYCAB</v>
      </c>
      <c r="B172" s="50">
        <f>VLOOKUP($A172,'Data shares'!$C:$FM,102)</f>
        <v>24.58</v>
      </c>
      <c r="C172" s="50">
        <f>VLOOKUP($A172,'Data shares'!$C:$FM,110)</f>
        <v>24.49</v>
      </c>
      <c r="D172" s="50">
        <f>VLOOKUP($A172,'Data shares'!$C:$FM,114)</f>
        <v>24.79</v>
      </c>
      <c r="E172" s="50">
        <f>VLOOKUP($A172,'Data shares'!$C:$FM,106)</f>
        <v>40.619999999999997</v>
      </c>
      <c r="F172" s="50">
        <f>VLOOKUP($A172,'Data shares'!$C:$FM,108)</f>
        <v>-16.04</v>
      </c>
      <c r="G172" s="50">
        <f t="shared" si="5"/>
        <v>0.60512063023141305</v>
      </c>
    </row>
    <row r="173" spans="1:7" x14ac:dyDescent="0.25">
      <c r="A173" s="49" t="str">
        <f>'Data shares'!C168</f>
        <v>POWERGRID</v>
      </c>
      <c r="B173" s="50">
        <f>VLOOKUP($A173,'Data shares'!$C:$FM,102)</f>
        <v>21.3</v>
      </c>
      <c r="C173" s="50">
        <f>VLOOKUP($A173,'Data shares'!$C:$FM,110)</f>
        <v>21.58</v>
      </c>
      <c r="D173" s="50">
        <f>VLOOKUP($A173,'Data shares'!$C:$FM,114)</f>
        <v>20.84</v>
      </c>
      <c r="E173" s="50">
        <f>VLOOKUP($A173,'Data shares'!$C:$FM,106)</f>
        <v>29.01</v>
      </c>
      <c r="F173" s="50">
        <f>VLOOKUP($A173,'Data shares'!$C:$FM,108)</f>
        <v>-7.71</v>
      </c>
      <c r="G173" s="50">
        <f t="shared" si="5"/>
        <v>0.73422957600827299</v>
      </c>
    </row>
    <row r="174" spans="1:7" x14ac:dyDescent="0.25">
      <c r="A174" s="49" t="str">
        <f>'Data shares'!C169</f>
        <v>POWERINDIA</v>
      </c>
      <c r="B174" s="50">
        <f>VLOOKUP($A174,'Data shares'!$C:$FM,102)</f>
        <v>41.1</v>
      </c>
      <c r="C174" s="50">
        <f>VLOOKUP($A174,'Data shares'!$C:$FM,110)</f>
        <v>41.54</v>
      </c>
      <c r="D174" s="50">
        <f>VLOOKUP($A174,'Data shares'!$C:$FM,114)</f>
        <v>39.409999999999997</v>
      </c>
      <c r="E174" s="50">
        <f>VLOOKUP($A174,'Data shares'!$C:$FM,106)</f>
        <v>57.28</v>
      </c>
      <c r="F174" s="50">
        <f>VLOOKUP($A174,'Data shares'!$C:$FM,108)</f>
        <v>-16.18</v>
      </c>
      <c r="G174" s="50">
        <f t="shared" si="5"/>
        <v>0.7175279329608939</v>
      </c>
    </row>
    <row r="175" spans="1:7" x14ac:dyDescent="0.25">
      <c r="A175" s="49" t="str">
        <f>'Data shares'!C170</f>
        <v>PPLPHARMA</v>
      </c>
      <c r="B175" s="50">
        <f>VLOOKUP($A175,'Data shares'!$C:$FM,102)</f>
        <v>35.07</v>
      </c>
      <c r="C175" s="50">
        <f>VLOOKUP($A175,'Data shares'!$C:$FM,110)</f>
        <v>35.32</v>
      </c>
      <c r="D175" s="50">
        <f>VLOOKUP($A175,'Data shares'!$C:$FM,114)</f>
        <v>34.46</v>
      </c>
      <c r="E175" s="50">
        <f>VLOOKUP($A175,'Data shares'!$C:$FM,106)</f>
        <v>46.74</v>
      </c>
      <c r="F175" s="50">
        <f>VLOOKUP($A175,'Data shares'!$C:$FM,108)</f>
        <v>-11.67</v>
      </c>
      <c r="G175" s="50">
        <f t="shared" si="5"/>
        <v>0.75032092426187413</v>
      </c>
    </row>
    <row r="176" spans="1:7" x14ac:dyDescent="0.25">
      <c r="A176" s="49" t="str">
        <f>'Data shares'!C171</f>
        <v>PRESTIGE</v>
      </c>
      <c r="B176" s="50">
        <f>VLOOKUP($A176,'Data shares'!$C:$FM,102)</f>
        <v>33.729999999999997</v>
      </c>
      <c r="C176" s="50">
        <f>VLOOKUP($A176,'Data shares'!$C:$FM,110)</f>
        <v>33.450000000000003</v>
      </c>
      <c r="D176" s="50">
        <f>VLOOKUP($A176,'Data shares'!$C:$FM,114)</f>
        <v>34.97</v>
      </c>
      <c r="E176" s="50">
        <f>VLOOKUP($A176,'Data shares'!$C:$FM,106)</f>
        <v>46.88</v>
      </c>
      <c r="F176" s="50">
        <f>VLOOKUP($A176,'Data shares'!$C:$FM,108)</f>
        <v>-13.15</v>
      </c>
      <c r="G176" s="50">
        <f t="shared" si="5"/>
        <v>0.71949658703071662</v>
      </c>
    </row>
    <row r="177" spans="1:7" x14ac:dyDescent="0.25">
      <c r="A177" s="49" t="str">
        <f>'Data shares'!C172</f>
        <v>RBLBANK</v>
      </c>
      <c r="B177" s="50">
        <f>VLOOKUP($A177,'Data shares'!$C:$FM,102)</f>
        <v>29.25</v>
      </c>
      <c r="C177" s="50">
        <f>VLOOKUP($A177,'Data shares'!$C:$FM,110)</f>
        <v>29.53</v>
      </c>
      <c r="D177" s="50">
        <f>VLOOKUP($A177,'Data shares'!$C:$FM,114)</f>
        <v>28.33</v>
      </c>
      <c r="E177" s="50">
        <f>VLOOKUP($A177,'Data shares'!$C:$FM,106)</f>
        <v>47.57</v>
      </c>
      <c r="F177" s="50">
        <f>VLOOKUP($A177,'Data shares'!$C:$FM,108)</f>
        <v>-18.32</v>
      </c>
      <c r="G177" s="50">
        <f t="shared" si="5"/>
        <v>0.6148833298297246</v>
      </c>
    </row>
    <row r="178" spans="1:7" x14ac:dyDescent="0.25">
      <c r="A178" s="49" t="str">
        <f>'Data shares'!C173</f>
        <v>RECLTD</v>
      </c>
      <c r="B178" s="50">
        <f>VLOOKUP($A178,'Data shares'!$C:$FM,102)</f>
        <v>24.97</v>
      </c>
      <c r="C178" s="50">
        <f>VLOOKUP($A178,'Data shares'!$C:$FM,110)</f>
        <v>24.73</v>
      </c>
      <c r="D178" s="50">
        <f>VLOOKUP($A178,'Data shares'!$C:$FM,114)</f>
        <v>25.27</v>
      </c>
      <c r="E178" s="50">
        <f>VLOOKUP($A178,'Data shares'!$C:$FM,106)</f>
        <v>44.45</v>
      </c>
      <c r="F178" s="50">
        <f>VLOOKUP($A178,'Data shares'!$C:$FM,108)</f>
        <v>-19.48</v>
      </c>
      <c r="G178" s="50">
        <f t="shared" si="5"/>
        <v>0.56175478065241835</v>
      </c>
    </row>
    <row r="179" spans="1:7" x14ac:dyDescent="0.25">
      <c r="A179" s="49" t="str">
        <f>'Data shares'!C174</f>
        <v>RELIANCE</v>
      </c>
      <c r="B179" s="50">
        <f>VLOOKUP($A179,'Data shares'!$C:$FM,102)</f>
        <v>18.670000000000002</v>
      </c>
      <c r="C179" s="50">
        <f>VLOOKUP($A179,'Data shares'!$C:$FM,110)</f>
        <v>18.28</v>
      </c>
      <c r="D179" s="50">
        <f>VLOOKUP($A179,'Data shares'!$C:$FM,114)</f>
        <v>19.399999999999999</v>
      </c>
      <c r="E179" s="50">
        <f>VLOOKUP($A179,'Data shares'!$C:$FM,106)</f>
        <v>24.65</v>
      </c>
      <c r="F179" s="50">
        <f>VLOOKUP($A179,'Data shares'!$C:$FM,108)</f>
        <v>-5.98</v>
      </c>
      <c r="G179" s="50">
        <f t="shared" si="5"/>
        <v>0.7574036511156188</v>
      </c>
    </row>
    <row r="180" spans="1:7" x14ac:dyDescent="0.25">
      <c r="A180" s="49" t="str">
        <f>'Data shares'!C175</f>
        <v>RVNL</v>
      </c>
      <c r="B180" s="50">
        <f>VLOOKUP($A180,'Data shares'!$C:$FM,102)</f>
        <v>36.43</v>
      </c>
      <c r="C180" s="50">
        <f>VLOOKUP($A180,'Data shares'!$C:$FM,110)</f>
        <v>37.299999999999997</v>
      </c>
      <c r="D180" s="50">
        <f>VLOOKUP($A180,'Data shares'!$C:$FM,114)</f>
        <v>34.49</v>
      </c>
      <c r="E180" s="50">
        <f>VLOOKUP($A180,'Data shares'!$C:$FM,106)</f>
        <v>57.05</v>
      </c>
      <c r="F180" s="50">
        <f>VLOOKUP($A180,'Data shares'!$C:$FM,108)</f>
        <v>-20.62</v>
      </c>
      <c r="G180" s="50">
        <f t="shared" si="5"/>
        <v>0.63856266432953557</v>
      </c>
    </row>
    <row r="181" spans="1:7" x14ac:dyDescent="0.25">
      <c r="A181" s="49" t="str">
        <f>'Data shares'!C176</f>
        <v>SAIL</v>
      </c>
      <c r="B181" s="50">
        <f>VLOOKUP($A181,'Data shares'!$C:$FM,102)</f>
        <v>33.19</v>
      </c>
      <c r="C181" s="50">
        <f>VLOOKUP($A181,'Data shares'!$C:$FM,110)</f>
        <v>33.39</v>
      </c>
      <c r="D181" s="50">
        <f>VLOOKUP($A181,'Data shares'!$C:$FM,114)</f>
        <v>32.549999999999997</v>
      </c>
      <c r="E181" s="50">
        <f>VLOOKUP($A181,'Data shares'!$C:$FM,106)</f>
        <v>44.86</v>
      </c>
      <c r="F181" s="50">
        <f>VLOOKUP($A181,'Data shares'!$C:$FM,108)</f>
        <v>-11.67</v>
      </c>
      <c r="G181" s="50">
        <f t="shared" si="5"/>
        <v>0.73985733392777531</v>
      </c>
    </row>
    <row r="182" spans="1:7" x14ac:dyDescent="0.25">
      <c r="A182" s="49" t="str">
        <f>'Data shares'!C177</f>
        <v>SAMMAANCAP</v>
      </c>
      <c r="B182" s="50">
        <f>VLOOKUP($A182,'Data shares'!$C:$FM,102)</f>
        <v>40.880000000000003</v>
      </c>
      <c r="C182" s="50">
        <f>VLOOKUP($A182,'Data shares'!$C:$FM,110)</f>
        <v>40.130000000000003</v>
      </c>
      <c r="D182" s="50">
        <f>VLOOKUP($A182,'Data shares'!$C:$FM,114)</f>
        <v>42.56</v>
      </c>
      <c r="E182" s="50">
        <f>VLOOKUP($A182,'Data shares'!$C:$FM,106)</f>
        <v>57.6</v>
      </c>
      <c r="F182" s="50">
        <f>VLOOKUP($A182,'Data shares'!$C:$FM,108)</f>
        <v>-16.72</v>
      </c>
      <c r="G182" s="50">
        <f t="shared" si="5"/>
        <v>0.70972222222222225</v>
      </c>
    </row>
    <row r="183" spans="1:7" x14ac:dyDescent="0.25">
      <c r="A183" s="49" t="str">
        <f>'Data shares'!C178</f>
        <v>SBICARD</v>
      </c>
      <c r="B183" s="50">
        <f>VLOOKUP($A183,'Data shares'!$C:$FM,102)</f>
        <v>25.25</v>
      </c>
      <c r="C183" s="50">
        <f>VLOOKUP($A183,'Data shares'!$C:$FM,110)</f>
        <v>25.64</v>
      </c>
      <c r="D183" s="50">
        <f>VLOOKUP($A183,'Data shares'!$C:$FM,114)</f>
        <v>24.2</v>
      </c>
      <c r="E183" s="50">
        <f>VLOOKUP($A183,'Data shares'!$C:$FM,106)</f>
        <v>30.17</v>
      </c>
      <c r="F183" s="50">
        <f>VLOOKUP($A183,'Data shares'!$C:$FM,108)</f>
        <v>-4.92</v>
      </c>
      <c r="G183" s="50">
        <f t="shared" si="5"/>
        <v>0.83692409678488555</v>
      </c>
    </row>
    <row r="184" spans="1:7" x14ac:dyDescent="0.25">
      <c r="A184" s="49" t="str">
        <f>'Data shares'!C179</f>
        <v>SBILIFE</v>
      </c>
      <c r="B184" s="50">
        <f>VLOOKUP($A184,'Data shares'!$C:$FM,102)</f>
        <v>20.67</v>
      </c>
      <c r="C184" s="50">
        <f>VLOOKUP($A184,'Data shares'!$C:$FM,110)</f>
        <v>20.32</v>
      </c>
      <c r="D184" s="50">
        <f>VLOOKUP($A184,'Data shares'!$C:$FM,114)</f>
        <v>21.33</v>
      </c>
      <c r="E184" s="50">
        <f>VLOOKUP($A184,'Data shares'!$C:$FM,106)</f>
        <v>25.73</v>
      </c>
      <c r="F184" s="50">
        <f>VLOOKUP($A184,'Data shares'!$C:$FM,108)</f>
        <v>-5.0599999999999996</v>
      </c>
      <c r="G184" s="50">
        <f t="shared" si="5"/>
        <v>0.80334240186552663</v>
      </c>
    </row>
    <row r="185" spans="1:7" x14ac:dyDescent="0.25">
      <c r="A185" s="49" t="str">
        <f>'Data shares'!C180</f>
        <v>SBIN</v>
      </c>
      <c r="B185" s="50">
        <f>VLOOKUP($A185,'Data shares'!$C:$FM,102)</f>
        <v>23.18</v>
      </c>
      <c r="C185" s="50">
        <f>VLOOKUP($A185,'Data shares'!$C:$FM,110)</f>
        <v>23.32</v>
      </c>
      <c r="D185" s="50">
        <f>VLOOKUP($A185,'Data shares'!$C:$FM,114)</f>
        <v>22.92</v>
      </c>
      <c r="E185" s="50">
        <f>VLOOKUP($A185,'Data shares'!$C:$FM,106)</f>
        <v>26.14</v>
      </c>
      <c r="F185" s="50">
        <f>VLOOKUP($A185,'Data shares'!$C:$FM,108)</f>
        <v>-2.96</v>
      </c>
      <c r="G185" s="50">
        <f t="shared" si="5"/>
        <v>0.88676358071920425</v>
      </c>
    </row>
    <row r="186" spans="1:7" x14ac:dyDescent="0.25">
      <c r="A186" s="49" t="str">
        <f>'Data shares'!C181</f>
        <v>SHREECEM</v>
      </c>
      <c r="B186" s="50">
        <f>VLOOKUP($A186,'Data shares'!$C:$FM,102)</f>
        <v>25.46</v>
      </c>
      <c r="C186" s="50">
        <f>VLOOKUP($A186,'Data shares'!$C:$FM,110)</f>
        <v>26.11</v>
      </c>
      <c r="D186" s="50">
        <f>VLOOKUP($A186,'Data shares'!$C:$FM,114)</f>
        <v>23.97</v>
      </c>
      <c r="E186" s="50">
        <f>VLOOKUP($A186,'Data shares'!$C:$FM,106)</f>
        <v>25.79</v>
      </c>
      <c r="F186" s="50">
        <f>VLOOKUP($A186,'Data shares'!$C:$FM,108)</f>
        <v>-0.33</v>
      </c>
      <c r="G186" s="50">
        <f t="shared" si="5"/>
        <v>0.98720434276851499</v>
      </c>
    </row>
    <row r="187" spans="1:7" x14ac:dyDescent="0.25">
      <c r="A187" s="49" t="str">
        <f>'Data shares'!C182</f>
        <v>SHRIRAMFIN</v>
      </c>
      <c r="B187" s="50">
        <f>VLOOKUP($A187,'Data shares'!$C:$FM,102)</f>
        <v>38.26</v>
      </c>
      <c r="C187" s="50">
        <f>VLOOKUP($A187,'Data shares'!$C:$FM,110)</f>
        <v>38.36</v>
      </c>
      <c r="D187" s="50">
        <f>VLOOKUP($A187,'Data shares'!$C:$FM,114)</f>
        <v>38.1</v>
      </c>
      <c r="E187" s="50">
        <f>VLOOKUP($A187,'Data shares'!$C:$FM,106)</f>
        <v>40.31</v>
      </c>
      <c r="F187" s="50">
        <f>VLOOKUP($A187,'Data shares'!$C:$FM,108)</f>
        <v>-2.0499999999999998</v>
      </c>
      <c r="G187" s="50">
        <f t="shared" si="5"/>
        <v>0.94914413296948641</v>
      </c>
    </row>
    <row r="188" spans="1:7" x14ac:dyDescent="0.25">
      <c r="A188" s="49" t="str">
        <f>'Data shares'!C183</f>
        <v>SIEMENS</v>
      </c>
      <c r="B188" s="50">
        <f>VLOOKUP($A188,'Data shares'!$C:$FM,102)</f>
        <v>27.79</v>
      </c>
      <c r="C188" s="50">
        <f>VLOOKUP($A188,'Data shares'!$C:$FM,110)</f>
        <v>27.99</v>
      </c>
      <c r="D188" s="50">
        <f>VLOOKUP($A188,'Data shares'!$C:$FM,114)</f>
        <v>27.23</v>
      </c>
      <c r="E188" s="50">
        <f>VLOOKUP($A188,'Data shares'!$C:$FM,106)</f>
        <v>39.21</v>
      </c>
      <c r="F188" s="50">
        <f>VLOOKUP($A188,'Data shares'!$C:$FM,108)</f>
        <v>-11.42</v>
      </c>
      <c r="G188" s="50">
        <f t="shared" si="5"/>
        <v>0.70874776842642184</v>
      </c>
    </row>
    <row r="189" spans="1:7" x14ac:dyDescent="0.25">
      <c r="A189" s="49" t="str">
        <f>'Data shares'!C216</f>
        <v>ZYDUSLIFE</v>
      </c>
      <c r="B189" s="50">
        <f>VLOOKUP($A189,'Data shares'!$C:$FM,102)</f>
        <v>25.28</v>
      </c>
      <c r="C189" s="50">
        <f>VLOOKUP($A189,'Data shares'!$C:$FM,110)</f>
        <v>25.04</v>
      </c>
      <c r="D189" s="50">
        <f>VLOOKUP($A189,'Data shares'!$C:$FM,114)</f>
        <v>25.8</v>
      </c>
      <c r="E189" s="50">
        <f>VLOOKUP($A189,'Data shares'!$C:$FM,106)</f>
        <v>29.6</v>
      </c>
      <c r="F189" s="50">
        <f>VLOOKUP($A189,'Data shares'!$C:$FM,108)</f>
        <v>-4.32</v>
      </c>
      <c r="G189" s="50">
        <f t="shared" si="5"/>
        <v>0.8540540540540541</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12" activePane="bottomLeft" state="frozen"/>
      <selection pane="bottomLeft" activeCell="N231" sqref="N231"/>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683</v>
      </c>
      <c r="B5" s="49">
        <v>44660948</v>
      </c>
      <c r="C5" s="49">
        <v>5807000</v>
      </c>
      <c r="D5" s="49">
        <v>2386264.5495850001</v>
      </c>
      <c r="E5" s="50">
        <f>VLOOKUP($A5,'Data shares'!$C:$FA,154)*100</f>
        <v>13.320000000000002</v>
      </c>
      <c r="F5" s="173">
        <f>C5/B5</f>
        <v>0.13002410965391958</v>
      </c>
    </row>
    <row r="6" spans="1:6" x14ac:dyDescent="0.25">
      <c r="A6" s="99" t="s">
        <v>553</v>
      </c>
      <c r="B6" s="49">
        <v>7946564</v>
      </c>
      <c r="C6" s="49">
        <v>4452750</v>
      </c>
      <c r="D6" s="49">
        <v>2241514.920595</v>
      </c>
      <c r="E6" s="50">
        <f>VLOOKUP($A6,'Data shares'!$C:$FA,154)*100</f>
        <v>57.430000000000007</v>
      </c>
      <c r="F6" s="173">
        <f>C6/B6</f>
        <v>0.56033651777044768</v>
      </c>
    </row>
    <row r="7" spans="1:6" x14ac:dyDescent="0.25">
      <c r="A7" s="99" t="s">
        <v>544</v>
      </c>
      <c r="B7" s="49">
        <v>122316423</v>
      </c>
      <c r="C7" s="49">
        <v>106795000</v>
      </c>
      <c r="D7" s="49">
        <v>73679816.365040004</v>
      </c>
      <c r="E7" s="50">
        <f>VLOOKUP($A7,'Data shares'!$C:$FA,154)*100</f>
        <v>88.48</v>
      </c>
      <c r="F7" s="173">
        <f>C7/B7</f>
        <v>0.87310434184295926</v>
      </c>
    </row>
    <row r="8" spans="1:6" x14ac:dyDescent="0.25">
      <c r="A8" s="99" t="s">
        <v>579</v>
      </c>
      <c r="B8" s="49">
        <v>51907388</v>
      </c>
      <c r="C8" s="49">
        <v>25134300</v>
      </c>
      <c r="D8" s="49">
        <v>16094914.517740499</v>
      </c>
      <c r="E8" s="50">
        <f>VLOOKUP($A8,'Data shares'!$C:$FA,154)*100</f>
        <v>49.1</v>
      </c>
      <c r="F8" s="173">
        <f>C8/B8</f>
        <v>0.48421430876082611</v>
      </c>
    </row>
    <row r="9" spans="1:6" x14ac:dyDescent="0.25">
      <c r="A9" s="99" t="s">
        <v>159</v>
      </c>
      <c r="B9" s="49">
        <v>30040977</v>
      </c>
      <c r="C9" s="49">
        <v>25611300</v>
      </c>
      <c r="D9" s="49">
        <v>12672771.345819</v>
      </c>
      <c r="E9" s="50">
        <f>VLOOKUP($A9,'Data shares'!$C:$FA,154)*100</f>
        <v>87.11</v>
      </c>
      <c r="F9" s="173">
        <f>C9/B9</f>
        <v>0.85254550809049923</v>
      </c>
    </row>
    <row r="10" spans="1:6" x14ac:dyDescent="0.25">
      <c r="A10" s="99" t="s">
        <v>606</v>
      </c>
      <c r="B10" s="49">
        <v>61877951</v>
      </c>
      <c r="C10" s="49">
        <v>36826800</v>
      </c>
      <c r="D10" s="49">
        <v>18388414.989353999</v>
      </c>
      <c r="E10" s="50">
        <f>VLOOKUP($A10,'Data shares'!$C:$FA,154)*100</f>
        <v>60.62</v>
      </c>
      <c r="F10" s="173">
        <f>C10/B10</f>
        <v>0.59515222150778713</v>
      </c>
    </row>
    <row r="11" spans="1:6" x14ac:dyDescent="0.25">
      <c r="A11" s="99" t="s">
        <v>160</v>
      </c>
      <c r="B11" s="49">
        <v>73799006</v>
      </c>
      <c r="C11" s="49">
        <v>37753475</v>
      </c>
      <c r="D11" s="49">
        <v>23256782.488675501</v>
      </c>
      <c r="E11" s="50">
        <f>VLOOKUP($A11,'Data shares'!$C:$FA,154)*100</f>
        <v>51.77</v>
      </c>
      <c r="F11" s="173">
        <f>C11/B11</f>
        <v>0.51157159217022519</v>
      </c>
    </row>
    <row r="12" spans="1:6" x14ac:dyDescent="0.25">
      <c r="A12" s="99" t="s">
        <v>497</v>
      </c>
      <c r="B12" s="49">
        <v>6130387</v>
      </c>
      <c r="C12" s="49">
        <v>1962125</v>
      </c>
      <c r="D12" s="49">
        <v>1495987.01947125</v>
      </c>
      <c r="E12" s="50">
        <f>VLOOKUP($A12,'Data shares'!$C:$FA,154)*100</f>
        <v>32.450000000000003</v>
      </c>
      <c r="F12" s="173">
        <f>C12/B12</f>
        <v>0.32006543795685327</v>
      </c>
    </row>
    <row r="13" spans="1:6" x14ac:dyDescent="0.25">
      <c r="A13" s="99" t="s">
        <v>682</v>
      </c>
      <c r="B13" s="49">
        <v>3067454</v>
      </c>
      <c r="C13" s="49">
        <v>1529900</v>
      </c>
      <c r="D13" s="49">
        <v>575021.79465000005</v>
      </c>
      <c r="E13" s="50">
        <f>VLOOKUP($A13,'Data shares'!$C:$FA,154)*100</f>
        <v>51.66</v>
      </c>
      <c r="F13" s="173">
        <f>C13/B13</f>
        <v>0.49875238552884577</v>
      </c>
    </row>
    <row r="14" spans="1:6" x14ac:dyDescent="0.25">
      <c r="A14" s="99" t="s">
        <v>164</v>
      </c>
      <c r="B14" s="49">
        <v>119762774</v>
      </c>
      <c r="C14" s="49">
        <v>65158800</v>
      </c>
      <c r="D14" s="49">
        <v>41648380.033186503</v>
      </c>
      <c r="E14" s="50">
        <f>VLOOKUP($A14,'Data shares'!$C:$FA,154)*100</f>
        <v>55.110000000000007</v>
      </c>
      <c r="F14" s="173">
        <f>C14/B14</f>
        <v>0.54406555412619284</v>
      </c>
    </row>
    <row r="15" spans="1:6" x14ac:dyDescent="0.25">
      <c r="A15" s="99" t="s">
        <v>609</v>
      </c>
      <c r="B15" s="49">
        <v>9647634</v>
      </c>
      <c r="C15" s="49">
        <v>6801750</v>
      </c>
      <c r="D15" s="49">
        <v>3014681.6044600001</v>
      </c>
      <c r="E15" s="50">
        <f>VLOOKUP($A15,'Data shares'!$C:$FA,154)*100</f>
        <v>72.260000000000005</v>
      </c>
      <c r="F15" s="173">
        <f>C15/B15</f>
        <v>0.70501741670548446</v>
      </c>
    </row>
    <row r="16" spans="1:6" x14ac:dyDescent="0.25">
      <c r="A16" s="99" t="s">
        <v>598</v>
      </c>
      <c r="B16" s="49">
        <v>27232196</v>
      </c>
      <c r="C16" s="49">
        <v>12531750</v>
      </c>
      <c r="D16" s="49">
        <v>9006184.9778320007</v>
      </c>
      <c r="E16" s="50">
        <f>VLOOKUP($A16,'Data shares'!$C:$FA,154)*100</f>
        <v>46.300000000000004</v>
      </c>
      <c r="F16" s="173">
        <f>C16/B16</f>
        <v>0.46018139704928679</v>
      </c>
    </row>
    <row r="17" spans="1:6" x14ac:dyDescent="0.25">
      <c r="A17" s="99" t="s">
        <v>165</v>
      </c>
      <c r="B17" s="49">
        <v>15240043</v>
      </c>
      <c r="C17" s="49">
        <v>3868125</v>
      </c>
      <c r="D17" s="49">
        <v>2717549.6568525</v>
      </c>
      <c r="E17" s="50">
        <f>VLOOKUP($A17,'Data shares'!$C:$FA,154)*100</f>
        <v>25.740000000000002</v>
      </c>
      <c r="F17" s="173">
        <f>C17/B17</f>
        <v>0.25381326023817652</v>
      </c>
    </row>
    <row r="18" spans="1:6" x14ac:dyDescent="0.25">
      <c r="A18" s="99" t="s">
        <v>167</v>
      </c>
      <c r="B18" s="49">
        <v>409181558</v>
      </c>
      <c r="C18" s="49">
        <v>269735000</v>
      </c>
      <c r="D18" s="49">
        <v>132880486.28049999</v>
      </c>
      <c r="E18" s="50">
        <f>VLOOKUP($A18,'Data shares'!$C:$FA,154)*100</f>
        <v>67.47999999999999</v>
      </c>
      <c r="F18" s="173">
        <f>C18/B18</f>
        <v>0.65920615122150739</v>
      </c>
    </row>
    <row r="19" spans="1:6" x14ac:dyDescent="0.25">
      <c r="A19" s="99" t="s">
        <v>169</v>
      </c>
      <c r="B19" s="49">
        <v>52357280</v>
      </c>
      <c r="C19" s="49">
        <v>22588250</v>
      </c>
      <c r="D19" s="49">
        <v>12803227.4354125</v>
      </c>
      <c r="E19" s="50">
        <f>VLOOKUP($A19,'Data shares'!$C:$FA,154)*100</f>
        <v>44.379999999999995</v>
      </c>
      <c r="F19" s="173">
        <f>C19/B19</f>
        <v>0.43142520008678831</v>
      </c>
    </row>
    <row r="20" spans="1:6" x14ac:dyDescent="0.25">
      <c r="A20" s="99" t="s">
        <v>503</v>
      </c>
      <c r="B20" s="49">
        <v>18495534</v>
      </c>
      <c r="C20" s="49">
        <v>13108700</v>
      </c>
      <c r="D20" s="49">
        <v>7350723.5046664998</v>
      </c>
      <c r="E20" s="50">
        <f>VLOOKUP($A20,'Data shares'!$C:$FA,154)*100</f>
        <v>72.040000000000006</v>
      </c>
      <c r="F20" s="173">
        <f>C20/B20</f>
        <v>0.70874947433256053</v>
      </c>
    </row>
    <row r="21" spans="1:6" x14ac:dyDescent="0.25">
      <c r="A21" s="99" t="s">
        <v>495</v>
      </c>
      <c r="B21" s="49">
        <v>86234186</v>
      </c>
      <c r="C21" s="49">
        <v>39233000</v>
      </c>
      <c r="D21" s="49">
        <v>19577606.576409999</v>
      </c>
      <c r="E21" s="50">
        <f>VLOOKUP($A21,'Data shares'!$C:$FA,154)*100</f>
        <v>46.75</v>
      </c>
      <c r="F21" s="173">
        <f>C21/B21</f>
        <v>0.45495877934071299</v>
      </c>
    </row>
    <row r="22" spans="1:6" x14ac:dyDescent="0.25">
      <c r="A22" s="99" t="s">
        <v>171</v>
      </c>
      <c r="B22" s="49">
        <v>41977935</v>
      </c>
      <c r="C22" s="49">
        <v>32771200</v>
      </c>
      <c r="D22" s="49">
        <v>22861076.212551501</v>
      </c>
      <c r="E22" s="50">
        <f>VLOOKUP($A22,'Data shares'!$C:$FA,154)*100</f>
        <v>79.02</v>
      </c>
      <c r="F22" s="173">
        <f>C22/B22</f>
        <v>0.78067680080022994</v>
      </c>
    </row>
    <row r="23" spans="1:6" x14ac:dyDescent="0.25">
      <c r="A23" s="99" t="s">
        <v>173</v>
      </c>
      <c r="B23" s="49">
        <v>316147681</v>
      </c>
      <c r="C23" s="49">
        <v>129110625</v>
      </c>
      <c r="D23" s="49">
        <v>82786911.215849996</v>
      </c>
      <c r="E23" s="50">
        <f>VLOOKUP($A23,'Data shares'!$C:$FA,154)*100</f>
        <v>41.6</v>
      </c>
      <c r="F23" s="173">
        <f>C23/B23</f>
        <v>0.40838706958600146</v>
      </c>
    </row>
    <row r="24" spans="1:6" x14ac:dyDescent="0.25">
      <c r="A24" s="99" t="s">
        <v>174</v>
      </c>
      <c r="B24" s="49">
        <v>12547731</v>
      </c>
      <c r="C24" s="49">
        <v>5385450</v>
      </c>
      <c r="D24" s="49">
        <v>3030019.62794175</v>
      </c>
      <c r="E24" s="50">
        <f>VLOOKUP($A24,'Data shares'!$C:$FA,154)*100</f>
        <v>44.17</v>
      </c>
      <c r="F24" s="173">
        <f>C24/B24</f>
        <v>0.42919711938357619</v>
      </c>
    </row>
    <row r="25" spans="1:6" x14ac:dyDescent="0.25">
      <c r="A25" s="99" t="s">
        <v>176</v>
      </c>
      <c r="B25" s="49">
        <v>65659712</v>
      </c>
      <c r="C25" s="49">
        <v>32432500</v>
      </c>
      <c r="D25" s="49">
        <v>20067083.680805001</v>
      </c>
      <c r="E25" s="50">
        <f>VLOOKUP($A25,'Data shares'!$C:$FA,154)*100</f>
        <v>50.18</v>
      </c>
      <c r="F25" s="173">
        <f>C25/B25</f>
        <v>0.49394825246872848</v>
      </c>
    </row>
    <row r="26" spans="1:6" x14ac:dyDescent="0.25">
      <c r="A26" s="99" t="s">
        <v>177</v>
      </c>
      <c r="B26" s="49">
        <v>281116345</v>
      </c>
      <c r="C26" s="49">
        <v>127195500</v>
      </c>
      <c r="D26" s="49">
        <v>92088522.962902501</v>
      </c>
      <c r="E26" s="50">
        <f>VLOOKUP($A26,'Data shares'!$C:$FA,154)*100</f>
        <v>46.35</v>
      </c>
      <c r="F26" s="173">
        <f>C26/B26</f>
        <v>0.4524656864046806</v>
      </c>
    </row>
    <row r="27" spans="1:6" x14ac:dyDescent="0.25">
      <c r="A27" s="99" t="s">
        <v>179</v>
      </c>
      <c r="B27" s="49">
        <v>142752962</v>
      </c>
      <c r="C27" s="49">
        <v>173520000</v>
      </c>
      <c r="D27" s="49">
        <v>94418444.989151999</v>
      </c>
      <c r="E27" s="50">
        <f>VLOOKUP($A27,'Data shares'!$C:$FA,154)*100</f>
        <v>124.52000000000001</v>
      </c>
      <c r="F27" s="173">
        <f>C27/B27</f>
        <v>1.2155264421063292</v>
      </c>
    </row>
    <row r="28" spans="1:6" x14ac:dyDescent="0.25">
      <c r="A28" s="99" t="s">
        <v>180</v>
      </c>
      <c r="B28" s="49">
        <v>257509827</v>
      </c>
      <c r="C28" s="49">
        <v>211407300</v>
      </c>
      <c r="D28" s="49">
        <v>121346104.84187999</v>
      </c>
      <c r="E28" s="50">
        <f>VLOOKUP($A28,'Data shares'!$C:$FA,154)*100</f>
        <v>83.1</v>
      </c>
      <c r="F28" s="173">
        <f>C28/B28</f>
        <v>0.82096789261560876</v>
      </c>
    </row>
    <row r="29" spans="1:6" x14ac:dyDescent="0.25">
      <c r="A29" s="99" t="s">
        <v>602</v>
      </c>
      <c r="B29" s="49">
        <v>181770921</v>
      </c>
      <c r="C29" s="49">
        <v>123463600</v>
      </c>
      <c r="D29" s="49">
        <v>66710057.12748</v>
      </c>
      <c r="E29" s="50">
        <f>VLOOKUP($A29,'Data shares'!$C:$FA,154)*100</f>
        <v>69.64</v>
      </c>
      <c r="F29" s="173">
        <f>C29/B29</f>
        <v>0.67922635436280809</v>
      </c>
    </row>
    <row r="30" spans="1:6" x14ac:dyDescent="0.25">
      <c r="A30" s="99" t="s">
        <v>672</v>
      </c>
      <c r="B30" s="49">
        <v>13786716</v>
      </c>
      <c r="C30" s="49">
        <v>9567675</v>
      </c>
      <c r="D30" s="49">
        <v>4015805.5785575002</v>
      </c>
      <c r="E30" s="50">
        <f>VLOOKUP($A30,'Data shares'!$C:$FA,154)*100</f>
        <v>70.320000000000007</v>
      </c>
      <c r="F30" s="173">
        <f>C30/B30</f>
        <v>0.6939778116848131</v>
      </c>
    </row>
    <row r="31" spans="1:6" x14ac:dyDescent="0.25">
      <c r="A31" s="99" t="s">
        <v>185</v>
      </c>
      <c r="B31" s="49">
        <v>535778534</v>
      </c>
      <c r="C31" s="49">
        <v>216588600</v>
      </c>
      <c r="D31" s="49">
        <v>107707910.836996</v>
      </c>
      <c r="E31" s="50">
        <f>VLOOKUP($A31,'Data shares'!$C:$FA,154)*100</f>
        <v>41.47</v>
      </c>
      <c r="F31" s="173">
        <f>C31/B31</f>
        <v>0.40425023821503087</v>
      </c>
    </row>
    <row r="32" spans="1:6" x14ac:dyDescent="0.25">
      <c r="A32" s="99" t="s">
        <v>187</v>
      </c>
      <c r="B32" s="49">
        <v>35155737</v>
      </c>
      <c r="C32" s="49">
        <v>16281500</v>
      </c>
      <c r="D32" s="49">
        <v>8323964.2320100004</v>
      </c>
      <c r="E32" s="50">
        <f>VLOOKUP($A32,'Data shares'!$C:$FA,154)*100</f>
        <v>47.38</v>
      </c>
      <c r="F32" s="173">
        <f>C32/B32</f>
        <v>0.46312498014193243</v>
      </c>
    </row>
    <row r="33" spans="1:6" x14ac:dyDescent="0.25">
      <c r="A33" s="99" t="s">
        <v>189</v>
      </c>
      <c r="B33" s="49">
        <v>314058656</v>
      </c>
      <c r="C33" s="49">
        <v>76660725</v>
      </c>
      <c r="D33" s="49">
        <v>50659643.852268703</v>
      </c>
      <c r="E33" s="50">
        <f>VLOOKUP($A33,'Data shares'!$C:$FA,154)*100</f>
        <v>25.009999999999998</v>
      </c>
      <c r="F33" s="173">
        <f>C33/B33</f>
        <v>0.24409683839441762</v>
      </c>
    </row>
    <row r="34" spans="1:6" x14ac:dyDescent="0.25">
      <c r="A34" s="99" t="s">
        <v>190</v>
      </c>
      <c r="B34" s="49">
        <v>169029877</v>
      </c>
      <c r="C34" s="49">
        <v>105378000</v>
      </c>
      <c r="D34" s="49">
        <v>55359476.679412499</v>
      </c>
      <c r="E34" s="50">
        <f>VLOOKUP($A34,'Data shares'!$C:$FA,154)*100</f>
        <v>64.22</v>
      </c>
      <c r="F34" s="173">
        <f>C34/B34</f>
        <v>0.62342824753993042</v>
      </c>
    </row>
    <row r="35" spans="1:6" x14ac:dyDescent="0.25">
      <c r="A35" s="99" t="s">
        <v>191</v>
      </c>
      <c r="B35" s="49">
        <v>90981174</v>
      </c>
      <c r="C35" s="49">
        <v>65670000</v>
      </c>
      <c r="D35" s="49">
        <v>33074884.729075</v>
      </c>
      <c r="E35" s="50">
        <f>VLOOKUP($A35,'Data shares'!$C:$FA,154)*100</f>
        <v>73.03</v>
      </c>
      <c r="F35" s="173">
        <f>C35/B35</f>
        <v>0.72179767651712212</v>
      </c>
    </row>
    <row r="36" spans="1:6" x14ac:dyDescent="0.25">
      <c r="A36" s="99" t="s">
        <v>680</v>
      </c>
      <c r="B36" s="49">
        <v>19584741</v>
      </c>
      <c r="C36" s="49">
        <v>3000075</v>
      </c>
      <c r="D36" s="49">
        <v>1526705.3575442501</v>
      </c>
      <c r="E36" s="50">
        <f>VLOOKUP($A36,'Data shares'!$C:$FA,154)*100</f>
        <v>15.75</v>
      </c>
      <c r="F36" s="173">
        <f>C36/B36</f>
        <v>0.15318430813049813</v>
      </c>
    </row>
    <row r="37" spans="1:6" x14ac:dyDescent="0.25">
      <c r="A37" s="99" t="s">
        <v>192</v>
      </c>
      <c r="B37" s="49">
        <v>982526</v>
      </c>
      <c r="C37" s="49">
        <v>350475</v>
      </c>
      <c r="D37" s="49">
        <v>223268.61695975001</v>
      </c>
      <c r="E37" s="50">
        <f>VLOOKUP($A37,'Data shares'!$C:$FA,154)*100</f>
        <v>35.89</v>
      </c>
      <c r="F37" s="173">
        <f>C37/B37</f>
        <v>0.35670811764777727</v>
      </c>
    </row>
    <row r="38" spans="1:6" x14ac:dyDescent="0.25">
      <c r="A38" s="99" t="s">
        <v>194</v>
      </c>
      <c r="B38" s="49">
        <v>281577339</v>
      </c>
      <c r="C38" s="49">
        <v>73031550</v>
      </c>
      <c r="D38" s="49">
        <v>39175956.306919701</v>
      </c>
      <c r="E38" s="50">
        <f>VLOOKUP($A38,'Data shares'!$C:$FA,154)*100</f>
        <v>26.340000000000003</v>
      </c>
      <c r="F38" s="173">
        <f>C38/B38</f>
        <v>0.25936586466569317</v>
      </c>
    </row>
    <row r="39" spans="1:6" x14ac:dyDescent="0.25">
      <c r="A39" s="99" t="s">
        <v>195</v>
      </c>
      <c r="B39" s="49">
        <v>13082978</v>
      </c>
      <c r="C39" s="49">
        <v>5009625</v>
      </c>
      <c r="D39" s="49">
        <v>3423362.3919812501</v>
      </c>
      <c r="E39" s="50">
        <f>VLOOKUP($A39,'Data shares'!$C:$FA,154)*100</f>
        <v>39.01</v>
      </c>
      <c r="F39" s="173">
        <f>C39/B39</f>
        <v>0.38291167347373051</v>
      </c>
    </row>
    <row r="40" spans="1:6" x14ac:dyDescent="0.25">
      <c r="A40" s="99" t="s">
        <v>584</v>
      </c>
      <c r="B40" s="49">
        <v>48385387</v>
      </c>
      <c r="C40" s="49">
        <v>27063750</v>
      </c>
      <c r="D40" s="49">
        <v>11518686.7442475</v>
      </c>
      <c r="E40" s="50">
        <f>VLOOKUP($A40,'Data shares'!$C:$FA,154)*100</f>
        <v>58.52</v>
      </c>
      <c r="F40" s="173">
        <f>C40/B40</f>
        <v>0.55933726436868225</v>
      </c>
    </row>
    <row r="41" spans="1:6" x14ac:dyDescent="0.25">
      <c r="A41" s="99" t="s">
        <v>611</v>
      </c>
      <c r="B41" s="49">
        <v>7421215</v>
      </c>
      <c r="C41" s="49">
        <v>3712950</v>
      </c>
      <c r="D41" s="49">
        <v>1896218.5086330001</v>
      </c>
      <c r="E41" s="50">
        <f>VLOOKUP($A41,'Data shares'!$C:$FA,154)*100</f>
        <v>50.849999999999994</v>
      </c>
      <c r="F41" s="173">
        <f>C41/B41</f>
        <v>0.5003156491221451</v>
      </c>
    </row>
    <row r="42" spans="1:6" x14ac:dyDescent="0.25">
      <c r="A42" s="99" t="s">
        <v>196</v>
      </c>
      <c r="B42" s="49">
        <v>504315430</v>
      </c>
      <c r="C42" s="49">
        <v>458460000</v>
      </c>
      <c r="D42" s="49">
        <v>241242079.55951199</v>
      </c>
      <c r="E42" s="50">
        <f>VLOOKUP($A42,'Data shares'!$C:$FA,154)*100</f>
        <v>92.800000000000011</v>
      </c>
      <c r="F42" s="173">
        <f>C42/B42</f>
        <v>0.90907391035011564</v>
      </c>
    </row>
    <row r="43" spans="1:6" x14ac:dyDescent="0.25">
      <c r="A43" s="99" t="s">
        <v>597</v>
      </c>
      <c r="B43" s="49">
        <v>26647500</v>
      </c>
      <c r="C43" s="49">
        <v>18224325</v>
      </c>
      <c r="D43" s="49">
        <v>7813678.5722502498</v>
      </c>
      <c r="E43" s="50">
        <f>VLOOKUP($A43,'Data shares'!$C:$FA,154)*100</f>
        <v>70.64</v>
      </c>
      <c r="F43" s="173">
        <f>C43/B43</f>
        <v>0.68390374331550807</v>
      </c>
    </row>
    <row r="44" spans="1:6" x14ac:dyDescent="0.25">
      <c r="A44" s="99" t="s">
        <v>612</v>
      </c>
      <c r="B44" s="49">
        <v>100245792</v>
      </c>
      <c r="C44" s="49">
        <v>24132350</v>
      </c>
      <c r="D44" s="49">
        <v>13920491.857672</v>
      </c>
      <c r="E44" s="50">
        <f>VLOOKUP($A44,'Data shares'!$C:$FA,154)*100</f>
        <v>24.45</v>
      </c>
      <c r="F44" s="173">
        <f>C44/B44</f>
        <v>0.24073180049293241</v>
      </c>
    </row>
    <row r="45" spans="1:6" x14ac:dyDescent="0.25">
      <c r="A45" s="99" t="s">
        <v>198</v>
      </c>
      <c r="B45" s="49">
        <v>63212268</v>
      </c>
      <c r="C45" s="49">
        <v>22851250</v>
      </c>
      <c r="D45" s="49">
        <v>14118294.869200001</v>
      </c>
      <c r="E45" s="50">
        <f>VLOOKUP($A45,'Data shares'!$C:$FA,154)*100</f>
        <v>36.770000000000003</v>
      </c>
      <c r="F45" s="173">
        <f>C45/B45</f>
        <v>0.36150023916243601</v>
      </c>
    </row>
    <row r="46" spans="1:6" x14ac:dyDescent="0.25">
      <c r="A46" s="99" t="s">
        <v>199</v>
      </c>
      <c r="B46" s="49">
        <v>57073940</v>
      </c>
      <c r="C46" s="49">
        <v>31741875</v>
      </c>
      <c r="D46" s="49">
        <v>16249682.879107499</v>
      </c>
      <c r="E46" s="50">
        <f>VLOOKUP($A46,'Data shares'!$C:$FA,154)*100</f>
        <v>57.69</v>
      </c>
      <c r="F46" s="173">
        <f>C46/B46</f>
        <v>0.55615356150285056</v>
      </c>
    </row>
    <row r="47" spans="1:6" x14ac:dyDescent="0.25">
      <c r="A47" s="99" t="s">
        <v>200</v>
      </c>
      <c r="B47" s="49">
        <v>227199238</v>
      </c>
      <c r="C47" s="49">
        <v>114878250</v>
      </c>
      <c r="D47" s="49">
        <v>64770708.261343502</v>
      </c>
      <c r="E47" s="50">
        <f>VLOOKUP($A47,'Data shares'!$C:$FA,154)*100</f>
        <v>51.259999999999991</v>
      </c>
      <c r="F47" s="173">
        <f>C47/B47</f>
        <v>0.50562779616364739</v>
      </c>
    </row>
    <row r="48" spans="1:6" x14ac:dyDescent="0.25">
      <c r="A48" s="99" t="s">
        <v>470</v>
      </c>
      <c r="B48" s="49">
        <v>50163899</v>
      </c>
      <c r="C48" s="49">
        <v>24101250</v>
      </c>
      <c r="D48" s="49">
        <v>13584984.602103701</v>
      </c>
      <c r="E48" s="50">
        <f>VLOOKUP($A48,'Data shares'!$C:$FA,154)*100</f>
        <v>49.76</v>
      </c>
      <c r="F48" s="173">
        <f>C48/B48</f>
        <v>0.48045009420021356</v>
      </c>
    </row>
    <row r="49" spans="1:6" x14ac:dyDescent="0.25">
      <c r="A49" s="99" t="s">
        <v>201</v>
      </c>
      <c r="B49" s="49">
        <v>19990944</v>
      </c>
      <c r="C49" s="49">
        <v>10725750</v>
      </c>
      <c r="D49" s="49">
        <v>5453528.3286885004</v>
      </c>
      <c r="E49" s="50">
        <f>VLOOKUP($A49,'Data shares'!$C:$FA,154)*100</f>
        <v>54.879999999999995</v>
      </c>
      <c r="F49" s="173">
        <f>C49/B49</f>
        <v>0.53653044098367741</v>
      </c>
    </row>
    <row r="50" spans="1:6" x14ac:dyDescent="0.25">
      <c r="A50" s="99" t="s">
        <v>202</v>
      </c>
      <c r="B50" s="49">
        <v>48077012</v>
      </c>
      <c r="C50" s="49">
        <v>44438750</v>
      </c>
      <c r="D50" s="49">
        <v>24089423.431474999</v>
      </c>
      <c r="E50" s="50">
        <f>VLOOKUP($A50,'Data shares'!$C:$FA,154)*100</f>
        <v>94.17</v>
      </c>
      <c r="F50" s="173">
        <f>C50/B50</f>
        <v>0.92432429036979258</v>
      </c>
    </row>
    <row r="51" spans="1:6" x14ac:dyDescent="0.25">
      <c r="A51" s="99" t="s">
        <v>523</v>
      </c>
      <c r="B51" s="49">
        <v>81400589</v>
      </c>
      <c r="C51" s="49">
        <v>89416800</v>
      </c>
      <c r="D51" s="49">
        <v>52274112.864065997</v>
      </c>
      <c r="E51" s="50">
        <f>VLOOKUP($A51,'Data shares'!$C:$FA,154)*100</f>
        <v>111.38999999999999</v>
      </c>
      <c r="F51" s="173">
        <f>C51/B51</f>
        <v>1.0984785380361315</v>
      </c>
    </row>
    <row r="52" spans="1:6" x14ac:dyDescent="0.25">
      <c r="A52" s="99" t="s">
        <v>203</v>
      </c>
      <c r="B52" s="49">
        <v>20374200</v>
      </c>
      <c r="C52" s="49">
        <v>5235400</v>
      </c>
      <c r="D52" s="49">
        <v>2990473.736978</v>
      </c>
      <c r="E52" s="50">
        <f>VLOOKUP($A52,'Data shares'!$C:$FA,154)*100</f>
        <v>26.51</v>
      </c>
      <c r="F52" s="173">
        <f>C52/B52</f>
        <v>0.2569622365540733</v>
      </c>
    </row>
    <row r="53" spans="1:6" x14ac:dyDescent="0.25">
      <c r="A53" s="99" t="s">
        <v>572</v>
      </c>
      <c r="B53" s="49">
        <v>12039544</v>
      </c>
      <c r="C53" s="49">
        <v>7576900</v>
      </c>
      <c r="D53" s="49">
        <v>3664234.4007990002</v>
      </c>
      <c r="E53" s="50">
        <f>VLOOKUP($A53,'Data shares'!$C:$FA,154)*100</f>
        <v>64.03</v>
      </c>
      <c r="F53" s="173">
        <f>C53/B53</f>
        <v>0.62933446648809954</v>
      </c>
    </row>
    <row r="54" spans="1:6" x14ac:dyDescent="0.25">
      <c r="A54" s="99" t="s">
        <v>204</v>
      </c>
      <c r="B54" s="49">
        <v>89873278</v>
      </c>
      <c r="C54" s="49">
        <v>39367500</v>
      </c>
      <c r="D54" s="49">
        <v>21258333.144737501</v>
      </c>
      <c r="E54" s="50">
        <f>VLOOKUP($A54,'Data shares'!$C:$FA,154)*100</f>
        <v>44.519999999999996</v>
      </c>
      <c r="F54" s="173">
        <f>C54/B54</f>
        <v>0.43803342746661583</v>
      </c>
    </row>
    <row r="55" spans="1:6" x14ac:dyDescent="0.25">
      <c r="A55" s="99" t="s">
        <v>524</v>
      </c>
      <c r="B55" s="49">
        <v>12425041</v>
      </c>
      <c r="C55" s="49">
        <v>4264650</v>
      </c>
      <c r="D55" s="49">
        <v>2133011.2900557499</v>
      </c>
      <c r="E55" s="50">
        <f>VLOOKUP($A55,'Data shares'!$C:$FA,154)*100</f>
        <v>34.849999999999994</v>
      </c>
      <c r="F55" s="173">
        <f>C55/B55</f>
        <v>0.34323025573919635</v>
      </c>
    </row>
    <row r="56" spans="1:6" x14ac:dyDescent="0.25">
      <c r="A56" s="99" t="s">
        <v>600</v>
      </c>
      <c r="B56" s="49">
        <v>94196226</v>
      </c>
      <c r="C56" s="49">
        <v>33577650</v>
      </c>
      <c r="D56" s="49">
        <v>17412075.3324292</v>
      </c>
      <c r="E56" s="50">
        <f>VLOOKUP($A56,'Data shares'!$C:$FA,154)*100</f>
        <v>36.26</v>
      </c>
      <c r="F56" s="173">
        <f>C56/B56</f>
        <v>0.35646491824417681</v>
      </c>
    </row>
    <row r="57" spans="1:6" x14ac:dyDescent="0.25">
      <c r="A57" s="99" t="s">
        <v>205</v>
      </c>
      <c r="B57" s="49">
        <v>16353614</v>
      </c>
      <c r="C57" s="49">
        <v>5007800</v>
      </c>
      <c r="D57" s="49">
        <v>2379186.930311</v>
      </c>
      <c r="E57" s="50">
        <f>VLOOKUP($A57,'Data shares'!$C:$FA,154)*100</f>
        <v>31.869999999999997</v>
      </c>
      <c r="F57" s="173">
        <f>C57/B57</f>
        <v>0.30621977502954395</v>
      </c>
    </row>
    <row r="58" spans="1:6" x14ac:dyDescent="0.25">
      <c r="A58" s="99" t="s">
        <v>512</v>
      </c>
      <c r="B58" s="49">
        <v>6445442</v>
      </c>
      <c r="C58" s="49">
        <v>5501050</v>
      </c>
      <c r="D58" s="49">
        <v>1754602.8681935</v>
      </c>
      <c r="E58" s="50">
        <f>VLOOKUP($A58,'Data shares'!$C:$FA,154)*100</f>
        <v>91.31</v>
      </c>
      <c r="F58" s="173">
        <f>C58/B58</f>
        <v>0.85347909421882939</v>
      </c>
    </row>
    <row r="59" spans="1:6" x14ac:dyDescent="0.25">
      <c r="A59" s="99" t="s">
        <v>207</v>
      </c>
      <c r="B59" s="49">
        <v>83667734</v>
      </c>
      <c r="C59" s="49">
        <v>57991725</v>
      </c>
      <c r="D59" s="49">
        <v>32814773.6203072</v>
      </c>
      <c r="E59" s="50">
        <f>VLOOKUP($A59,'Data shares'!$C:$FA,154)*100</f>
        <v>70.48</v>
      </c>
      <c r="F59" s="173">
        <f>C59/B59</f>
        <v>0.69311934514684004</v>
      </c>
    </row>
    <row r="60" spans="1:6" x14ac:dyDescent="0.25">
      <c r="A60" s="99" t="s">
        <v>583</v>
      </c>
      <c r="B60" s="49">
        <v>22136392</v>
      </c>
      <c r="C60" s="49">
        <v>10070550</v>
      </c>
      <c r="D60" s="49">
        <v>5394529.0311599998</v>
      </c>
      <c r="E60" s="50">
        <f>VLOOKUP($A60,'Data shares'!$C:$FA,154)*100</f>
        <v>47.5</v>
      </c>
      <c r="F60" s="173">
        <f>C60/B60</f>
        <v>0.45493186062118884</v>
      </c>
    </row>
    <row r="61" spans="1:6" x14ac:dyDescent="0.25">
      <c r="A61" s="99" t="s">
        <v>208</v>
      </c>
      <c r="B61" s="49">
        <v>61006521</v>
      </c>
      <c r="C61" s="49">
        <v>26878750</v>
      </c>
      <c r="D61" s="49">
        <v>11976450.849775</v>
      </c>
      <c r="E61" s="50">
        <f>VLOOKUP($A61,'Data shares'!$C:$FA,154)*100</f>
        <v>45.46</v>
      </c>
      <c r="F61" s="173">
        <f>C61/B61</f>
        <v>0.44058814630652354</v>
      </c>
    </row>
    <row r="62" spans="1:6" x14ac:dyDescent="0.25">
      <c r="A62" s="99" t="s">
        <v>209</v>
      </c>
      <c r="B62" s="49">
        <v>20353850</v>
      </c>
      <c r="C62" s="49">
        <v>6513675</v>
      </c>
      <c r="D62" s="49">
        <v>3541300.9715947499</v>
      </c>
      <c r="E62" s="50">
        <f>VLOOKUP($A62,'Data shares'!$C:$FA,154)*100</f>
        <v>32.81</v>
      </c>
      <c r="F62" s="173">
        <f>C62/B62</f>
        <v>0.32002176492408069</v>
      </c>
    </row>
    <row r="63" spans="1:6" x14ac:dyDescent="0.25">
      <c r="A63" s="99" t="s">
        <v>668</v>
      </c>
      <c r="B63" s="49">
        <v>1361988292</v>
      </c>
      <c r="C63" s="49">
        <v>379788950</v>
      </c>
      <c r="D63" s="49">
        <v>238654007.50206</v>
      </c>
      <c r="E63" s="50">
        <f>VLOOKUP($A63,'Data shares'!$C:$FA,154)*100</f>
        <v>28.33</v>
      </c>
      <c r="F63" s="173">
        <f>C63/B63</f>
        <v>0.27884890951764513</v>
      </c>
    </row>
    <row r="64" spans="1:6" x14ac:dyDescent="0.25">
      <c r="A64" s="99" t="s">
        <v>211</v>
      </c>
      <c r="B64" s="49">
        <v>68856800</v>
      </c>
      <c r="C64" s="49">
        <v>59234400</v>
      </c>
      <c r="D64" s="49">
        <v>30375955.667663999</v>
      </c>
      <c r="E64" s="50">
        <f>VLOOKUP($A64,'Data shares'!$C:$FA,154)*100</f>
        <v>88.929999999999993</v>
      </c>
      <c r="F64" s="173">
        <f>C64/B64</f>
        <v>0.86025490583355602</v>
      </c>
    </row>
    <row r="65" spans="1:6" x14ac:dyDescent="0.25">
      <c r="A65" s="99" t="s">
        <v>212</v>
      </c>
      <c r="B65" s="49">
        <v>338654719</v>
      </c>
      <c r="C65" s="49">
        <v>239850000</v>
      </c>
      <c r="D65" s="49">
        <v>98076522.107800007</v>
      </c>
      <c r="E65" s="50">
        <f>VLOOKUP($A65,'Data shares'!$C:$FA,154)*100</f>
        <v>73.56</v>
      </c>
      <c r="F65" s="173">
        <f>C65/B65</f>
        <v>0.70824348973563245</v>
      </c>
    </row>
    <row r="66" spans="1:6" x14ac:dyDescent="0.25">
      <c r="A66" s="99" t="s">
        <v>678</v>
      </c>
      <c r="B66" s="49">
        <v>62490435</v>
      </c>
      <c r="C66" s="49">
        <v>15480625</v>
      </c>
      <c r="D66" s="49">
        <v>9023625.4463890009</v>
      </c>
      <c r="E66" s="50"/>
      <c r="F66" s="173">
        <f>C66/B66</f>
        <v>0.24772791227969529</v>
      </c>
    </row>
    <row r="67" spans="1:6" x14ac:dyDescent="0.25">
      <c r="A67" s="99" t="s">
        <v>213</v>
      </c>
      <c r="B67" s="49">
        <v>402429848</v>
      </c>
      <c r="C67" s="49">
        <v>153357750</v>
      </c>
      <c r="D67" s="49">
        <v>82509353.565880507</v>
      </c>
      <c r="E67" s="50">
        <f>VLOOKUP($A67,'Data shares'!$C:$FA,154)*100</f>
        <v>38.85</v>
      </c>
      <c r="F67" s="173">
        <f>C67/B67</f>
        <v>0.38107946207807131</v>
      </c>
    </row>
    <row r="68" spans="1:6" x14ac:dyDescent="0.25">
      <c r="A68" s="99" t="s">
        <v>214</v>
      </c>
      <c r="B68" s="49">
        <v>22585180</v>
      </c>
      <c r="C68" s="49">
        <v>13653375</v>
      </c>
      <c r="D68" s="49">
        <v>8826514.9305262491</v>
      </c>
      <c r="E68" s="50">
        <f>VLOOKUP($A68,'Data shares'!$C:$FA,154)*100</f>
        <v>61.08</v>
      </c>
      <c r="F68" s="173">
        <f>C68/B68</f>
        <v>0.60452805777948193</v>
      </c>
    </row>
    <row r="69" spans="1:6" x14ac:dyDescent="0.25">
      <c r="A69" s="99" t="s">
        <v>631</v>
      </c>
      <c r="B69" s="49">
        <v>534704421</v>
      </c>
      <c r="C69" s="49">
        <v>365601600</v>
      </c>
      <c r="D69" s="49">
        <v>200489558.08328301</v>
      </c>
      <c r="E69" s="50">
        <f>VLOOKUP($A69,'Data shares'!$C:$FA,154)*100</f>
        <v>69.239999999999995</v>
      </c>
      <c r="F69" s="173">
        <f>C69/B69</f>
        <v>0.68374523501461759</v>
      </c>
    </row>
    <row r="70" spans="1:6" x14ac:dyDescent="0.25">
      <c r="A70" s="99" t="s">
        <v>217</v>
      </c>
      <c r="B70" s="49">
        <v>58001204</v>
      </c>
      <c r="C70" s="49">
        <v>18312000</v>
      </c>
      <c r="D70" s="49">
        <v>11753973.866459999</v>
      </c>
      <c r="E70" s="50">
        <f>VLOOKUP($A70,'Data shares'!$C:$FA,154)*100</f>
        <v>31.879999999999995</v>
      </c>
      <c r="F70" s="173">
        <f>C70/B70</f>
        <v>0.31571758406946171</v>
      </c>
    </row>
    <row r="71" spans="1:6" x14ac:dyDescent="0.25">
      <c r="A71" s="99" t="s">
        <v>218</v>
      </c>
      <c r="B71" s="49">
        <v>24082879</v>
      </c>
      <c r="C71" s="49">
        <v>13838825</v>
      </c>
      <c r="D71" s="49">
        <v>8404590.9277137499</v>
      </c>
      <c r="E71" s="50">
        <f>VLOOKUP($A71,'Data shares'!$C:$FA,154)*100</f>
        <v>58.320000000000007</v>
      </c>
      <c r="F71" s="173">
        <f>C71/B71</f>
        <v>0.57463333183711129</v>
      </c>
    </row>
    <row r="72" spans="1:6" x14ac:dyDescent="0.25">
      <c r="A72" s="99" t="s">
        <v>219</v>
      </c>
      <c r="B72" s="49">
        <v>38514157</v>
      </c>
      <c r="C72" s="49">
        <v>18916250</v>
      </c>
      <c r="D72" s="49">
        <v>13079350.1896275</v>
      </c>
      <c r="E72" s="50">
        <f>VLOOKUP($A72,'Data shares'!$C:$FA,154)*100</f>
        <v>49.519999999999996</v>
      </c>
      <c r="F72" s="173">
        <f>C72/B72</f>
        <v>0.49115056575170529</v>
      </c>
    </row>
    <row r="73" spans="1:6" x14ac:dyDescent="0.25">
      <c r="A73" s="99" t="s">
        <v>513</v>
      </c>
      <c r="B73" s="49">
        <v>28450886</v>
      </c>
      <c r="C73" s="49">
        <v>17026650</v>
      </c>
      <c r="D73" s="49">
        <v>9132313.8879614994</v>
      </c>
      <c r="E73" s="50">
        <f>VLOOKUP($A73,'Data shares'!$C:$FA,154)*100</f>
        <v>61.419999999999995</v>
      </c>
      <c r="F73" s="173">
        <f>C73/B73</f>
        <v>0.59845763678501962</v>
      </c>
    </row>
    <row r="74" spans="1:6" x14ac:dyDescent="0.25">
      <c r="A74" s="99" t="s">
        <v>220</v>
      </c>
      <c r="B74" s="49">
        <v>38133766</v>
      </c>
      <c r="C74" s="49">
        <v>14064000</v>
      </c>
      <c r="D74" s="49">
        <v>9504666.7807400003</v>
      </c>
      <c r="E74" s="50">
        <f>VLOOKUP($A74,'Data shares'!$C:$FA,154)*100</f>
        <v>37.28</v>
      </c>
      <c r="F74" s="173">
        <f>C74/B74</f>
        <v>0.36880700427017882</v>
      </c>
    </row>
    <row r="75" spans="1:6" x14ac:dyDescent="0.25">
      <c r="A75" s="99" t="s">
        <v>222</v>
      </c>
      <c r="B75" s="49">
        <v>145993539</v>
      </c>
      <c r="C75" s="49">
        <v>29888250</v>
      </c>
      <c r="D75" s="49">
        <v>18046550.248758499</v>
      </c>
      <c r="E75" s="50">
        <f>VLOOKUP($A75,'Data shares'!$C:$FA,154)*100</f>
        <v>20.89</v>
      </c>
      <c r="F75" s="173">
        <f>C75/B75</f>
        <v>0.20472310079420705</v>
      </c>
    </row>
    <row r="76" spans="1:6" x14ac:dyDescent="0.25">
      <c r="A76" s="99" t="s">
        <v>475</v>
      </c>
      <c r="B76" s="49">
        <v>15259458</v>
      </c>
      <c r="C76" s="49">
        <v>4640700</v>
      </c>
      <c r="D76" s="49">
        <v>2066871.0481695</v>
      </c>
      <c r="E76" s="50">
        <f>VLOOKUP($A76,'Data shares'!$C:$FA,154)*100</f>
        <v>31.06</v>
      </c>
      <c r="F76" s="173">
        <f>C76/B76</f>
        <v>0.30411958275320133</v>
      </c>
    </row>
    <row r="77" spans="1:6" x14ac:dyDescent="0.25">
      <c r="A77" s="99" t="s">
        <v>224</v>
      </c>
      <c r="B77" s="49">
        <v>1329733550</v>
      </c>
      <c r="C77" s="49">
        <v>272173000</v>
      </c>
      <c r="D77" s="49">
        <v>207371284.11371899</v>
      </c>
      <c r="E77" s="50">
        <f>VLOOKUP($A77,'Data shares'!$C:$FA,154)*100</f>
        <v>20.75</v>
      </c>
      <c r="F77" s="173">
        <f>C77/B77</f>
        <v>0.20468235910871016</v>
      </c>
    </row>
    <row r="78" spans="1:6" x14ac:dyDescent="0.25">
      <c r="A78" s="99" t="s">
        <v>225</v>
      </c>
      <c r="B78" s="49">
        <v>119296253</v>
      </c>
      <c r="C78" s="49">
        <v>51738500</v>
      </c>
      <c r="D78" s="49">
        <v>31912084.428631</v>
      </c>
      <c r="E78" s="50">
        <f>VLOOKUP($A78,'Data shares'!$C:$FA,154)*100</f>
        <v>44.37</v>
      </c>
      <c r="F78" s="173">
        <f>C78/B78</f>
        <v>0.43369761160897485</v>
      </c>
    </row>
    <row r="79" spans="1:6" x14ac:dyDescent="0.25">
      <c r="A79" s="99" t="s">
        <v>226</v>
      </c>
      <c r="B79" s="49">
        <v>19579129</v>
      </c>
      <c r="C79" s="49">
        <v>7916250</v>
      </c>
      <c r="D79" s="49">
        <v>4351934.8026750004</v>
      </c>
      <c r="E79" s="50">
        <f>VLOOKUP($A79,'Data shares'!$C:$FA,154)*100</f>
        <v>42.29</v>
      </c>
      <c r="F79" s="173">
        <f>C79/B79</f>
        <v>0.40432084593752871</v>
      </c>
    </row>
    <row r="80" spans="1:6" x14ac:dyDescent="0.25">
      <c r="A80" s="99" t="s">
        <v>576</v>
      </c>
      <c r="B80" s="49">
        <v>147979599</v>
      </c>
      <c r="C80" s="49">
        <v>216487800</v>
      </c>
      <c r="D80" s="49">
        <v>103998951.03732599</v>
      </c>
      <c r="E80" s="50">
        <f>VLOOKUP($A80,'Data shares'!$C:$FA,154)*100</f>
        <v>148.38</v>
      </c>
      <c r="F80" s="173">
        <f>C80/B80</f>
        <v>1.4629570661290954</v>
      </c>
    </row>
    <row r="81" spans="1:6" x14ac:dyDescent="0.25">
      <c r="A81" s="99" t="s">
        <v>228</v>
      </c>
      <c r="B81" s="49">
        <v>176136372</v>
      </c>
      <c r="C81" s="49">
        <v>100011800</v>
      </c>
      <c r="D81" s="49">
        <v>63339442.422353998</v>
      </c>
      <c r="E81" s="50">
        <f>VLOOKUP($A81,'Data shares'!$C:$FA,154)*100</f>
        <v>58.56</v>
      </c>
      <c r="F81" s="173">
        <f>C81/B81</f>
        <v>0.56780890207049339</v>
      </c>
    </row>
    <row r="82" spans="1:6" x14ac:dyDescent="0.25">
      <c r="A82" s="99" t="s">
        <v>229</v>
      </c>
      <c r="B82" s="49">
        <v>143933168</v>
      </c>
      <c r="C82" s="49">
        <v>88982550</v>
      </c>
      <c r="D82" s="49">
        <v>52107918.739317</v>
      </c>
      <c r="E82" s="50">
        <f>VLOOKUP($A82,'Data shares'!$C:$FA,154)*100</f>
        <v>62.539999999999992</v>
      </c>
      <c r="F82" s="173">
        <f>C82/B82</f>
        <v>0.61822129837370077</v>
      </c>
    </row>
    <row r="83" spans="1:6" x14ac:dyDescent="0.25">
      <c r="A83" s="99" t="s">
        <v>230</v>
      </c>
      <c r="B83" s="49">
        <v>89517840</v>
      </c>
      <c r="C83" s="49">
        <v>31740600</v>
      </c>
      <c r="D83" s="49">
        <v>17178325.849071</v>
      </c>
      <c r="E83" s="50">
        <f>VLOOKUP($A83,'Data shares'!$C:$FA,154)*100</f>
        <v>36.340000000000003</v>
      </c>
      <c r="F83" s="173">
        <f>C83/B83</f>
        <v>0.35457289854178786</v>
      </c>
    </row>
    <row r="84" spans="1:6" x14ac:dyDescent="0.25">
      <c r="A84" s="99" t="s">
        <v>669</v>
      </c>
      <c r="B84" s="49">
        <v>167680340</v>
      </c>
      <c r="C84" s="49">
        <v>82290600</v>
      </c>
      <c r="D84" s="49">
        <v>33894670.118706197</v>
      </c>
      <c r="E84" s="50">
        <f>VLOOKUP($A84,'Data shares'!$C:$FA,154)*100</f>
        <v>50.51</v>
      </c>
      <c r="F84" s="173">
        <f>C84/B84</f>
        <v>0.49075878543662305</v>
      </c>
    </row>
    <row r="85" spans="1:6" x14ac:dyDescent="0.25">
      <c r="A85" s="99" t="s">
        <v>608</v>
      </c>
      <c r="B85" s="49">
        <v>75071250</v>
      </c>
      <c r="C85" s="49">
        <v>54279000</v>
      </c>
      <c r="D85" s="49">
        <v>26538980.701113701</v>
      </c>
      <c r="E85" s="50">
        <f>VLOOKUP($A85,'Data shares'!$C:$FA,154)*100</f>
        <v>73.66</v>
      </c>
      <c r="F85" s="173">
        <f>C85/B85</f>
        <v>0.7230331185373895</v>
      </c>
    </row>
    <row r="86" spans="1:6" x14ac:dyDescent="0.25">
      <c r="A86" s="99" t="s">
        <v>232</v>
      </c>
      <c r="B86" s="49">
        <v>579785172</v>
      </c>
      <c r="C86" s="49">
        <v>176073800</v>
      </c>
      <c r="D86" s="49">
        <v>105862133.647193</v>
      </c>
      <c r="E86" s="50">
        <f>VLOOKUP($A86,'Data shares'!$C:$FA,154)*100</f>
        <v>31.080000000000002</v>
      </c>
      <c r="F86" s="173">
        <f>C86/B86</f>
        <v>0.30368800118261735</v>
      </c>
    </row>
    <row r="87" spans="1:6" x14ac:dyDescent="0.25">
      <c r="A87" s="99" t="s">
        <v>472</v>
      </c>
      <c r="B87" s="49">
        <v>26688038</v>
      </c>
      <c r="C87" s="49">
        <v>9441900</v>
      </c>
      <c r="D87" s="49">
        <v>5839693.5019897502</v>
      </c>
      <c r="E87" s="50">
        <f>VLOOKUP($A87,'Data shares'!$C:$FA,154)*100</f>
        <v>35.730000000000004</v>
      </c>
      <c r="F87" s="173">
        <f>C87/B87</f>
        <v>0.3537877156799612</v>
      </c>
    </row>
    <row r="88" spans="1:6" x14ac:dyDescent="0.25">
      <c r="A88" s="99" t="s">
        <v>233</v>
      </c>
      <c r="B88" s="49">
        <v>48653643</v>
      </c>
      <c r="C88" s="49">
        <v>19577625</v>
      </c>
      <c r="D88" s="49">
        <v>11414551.0623865</v>
      </c>
      <c r="E88" s="50">
        <f>VLOOKUP($A88,'Data shares'!$C:$FA,154)*100</f>
        <v>41.15</v>
      </c>
      <c r="F88" s="173">
        <f>C88/B88</f>
        <v>0.40238764854668746</v>
      </c>
    </row>
    <row r="89" spans="1:6" x14ac:dyDescent="0.25">
      <c r="A89" s="99" t="s">
        <v>234</v>
      </c>
      <c r="B89" s="49">
        <v>8713529091</v>
      </c>
      <c r="C89" s="49">
        <v>10583160300</v>
      </c>
      <c r="D89" s="49">
        <v>5341055552.6919699</v>
      </c>
      <c r="E89" s="50">
        <f>VLOOKUP($A89,'Data shares'!$C:$FA,154)*100</f>
        <v>122.81</v>
      </c>
      <c r="F89" s="173">
        <f>C89/B89</f>
        <v>1.2145664735234658</v>
      </c>
    </row>
    <row r="90" spans="1:6" x14ac:dyDescent="0.25">
      <c r="A90" s="99" t="s">
        <v>235</v>
      </c>
      <c r="B90" s="49">
        <v>761294821</v>
      </c>
      <c r="C90" s="49">
        <v>676481400</v>
      </c>
      <c r="D90" s="49">
        <v>369705360.79396999</v>
      </c>
      <c r="E90" s="50"/>
      <c r="F90" s="173">
        <f>C90/B90</f>
        <v>0.88859319850804552</v>
      </c>
    </row>
    <row r="91" spans="1:6" x14ac:dyDescent="0.25">
      <c r="A91" s="99" t="s">
        <v>514</v>
      </c>
      <c r="B91" s="49">
        <v>133395043</v>
      </c>
      <c r="C91" s="49">
        <v>137546250</v>
      </c>
      <c r="D91" s="49">
        <v>66843191.166187502</v>
      </c>
      <c r="E91" s="50">
        <f>VLOOKUP($A91,'Data shares'!$C:$FA,154)*100</f>
        <v>104.46</v>
      </c>
      <c r="F91" s="173">
        <f>C91/B91</f>
        <v>1.0311196496259609</v>
      </c>
    </row>
    <row r="92" spans="1:6" x14ac:dyDescent="0.25">
      <c r="A92" s="99" t="s">
        <v>236</v>
      </c>
      <c r="B92" s="49">
        <v>94000476</v>
      </c>
      <c r="C92" s="49">
        <v>46876500</v>
      </c>
      <c r="D92" s="49">
        <v>15326179.184222501</v>
      </c>
      <c r="E92" s="50">
        <f>VLOOKUP($A92,'Data shares'!$C:$FA,154)*100</f>
        <v>51.01</v>
      </c>
      <c r="F92" s="173">
        <f>C92/B92</f>
        <v>0.49868364496367018</v>
      </c>
    </row>
    <row r="93" spans="1:6" x14ac:dyDescent="0.25">
      <c r="A93" s="99" t="s">
        <v>667</v>
      </c>
      <c r="B93" s="49">
        <v>47888370</v>
      </c>
      <c r="C93" s="49">
        <v>23807850</v>
      </c>
      <c r="D93" s="49">
        <v>15063942.160674</v>
      </c>
      <c r="E93" s="50">
        <f>VLOOKUP($A93,'Data shares'!$C:$FA,154)*100</f>
        <v>50.4</v>
      </c>
      <c r="F93" s="173">
        <f>C93/B93</f>
        <v>0.49715306660051284</v>
      </c>
    </row>
    <row r="94" spans="1:6" x14ac:dyDescent="0.25">
      <c r="A94" s="99" t="s">
        <v>501</v>
      </c>
      <c r="B94" s="49">
        <v>111956321</v>
      </c>
      <c r="C94" s="49">
        <v>43203000</v>
      </c>
      <c r="D94" s="49">
        <v>25787269.75251</v>
      </c>
      <c r="E94" s="50">
        <f>VLOOKUP($A94,'Data shares'!$C:$FA,154)*100</f>
        <v>39.050000000000004</v>
      </c>
      <c r="F94" s="173">
        <f>C94/B94</f>
        <v>0.38589156569373156</v>
      </c>
    </row>
    <row r="95" spans="1:6" x14ac:dyDescent="0.25">
      <c r="A95" s="99" t="s">
        <v>578</v>
      </c>
      <c r="B95" s="49">
        <v>52862157</v>
      </c>
      <c r="C95" s="49">
        <v>17153000</v>
      </c>
      <c r="D95" s="49">
        <v>8361121.6103100004</v>
      </c>
      <c r="E95" s="50">
        <f>VLOOKUP($A95,'Data shares'!$C:$FA,154)*100</f>
        <v>33.43</v>
      </c>
      <c r="F95" s="173">
        <f>C95/B95</f>
        <v>0.32448543482627845</v>
      </c>
    </row>
    <row r="96" spans="1:6" x14ac:dyDescent="0.25">
      <c r="A96" s="99" t="s">
        <v>238</v>
      </c>
      <c r="B96" s="49">
        <v>32732860</v>
      </c>
      <c r="C96" s="49">
        <v>11409750</v>
      </c>
      <c r="D96" s="49">
        <v>7414979.7711479999</v>
      </c>
      <c r="E96" s="50">
        <f>VLOOKUP($A96,'Data shares'!$C:$FA,154)*100</f>
        <v>35.480000000000004</v>
      </c>
      <c r="F96" s="173">
        <f>C96/B96</f>
        <v>0.34857174105776273</v>
      </c>
    </row>
    <row r="97" spans="1:6" x14ac:dyDescent="0.25">
      <c r="A97" s="99" t="s">
        <v>239</v>
      </c>
      <c r="B97" s="49">
        <v>93805784</v>
      </c>
      <c r="C97" s="49">
        <v>91489300</v>
      </c>
      <c r="D97" s="49">
        <v>53551759.240672</v>
      </c>
      <c r="E97" s="50">
        <f>VLOOKUP($A97,'Data shares'!$C:$FA,154)*100</f>
        <v>99</v>
      </c>
      <c r="F97" s="173">
        <f>C97/B97</f>
        <v>0.9753055312666008</v>
      </c>
    </row>
    <row r="98" spans="1:6" x14ac:dyDescent="0.25">
      <c r="A98" s="99" t="s">
        <v>473</v>
      </c>
      <c r="B98" s="49">
        <v>197705578</v>
      </c>
      <c r="C98" s="49">
        <v>152578400</v>
      </c>
      <c r="D98" s="49">
        <v>93090321.738699004</v>
      </c>
      <c r="E98" s="50">
        <f>VLOOKUP($A98,'Data shares'!$C:$FA,154)*100</f>
        <v>78.180000000000007</v>
      </c>
      <c r="F98" s="173">
        <f>C98/B98</f>
        <v>0.77174554983977239</v>
      </c>
    </row>
    <row r="99" spans="1:6" x14ac:dyDescent="0.25">
      <c r="A99" s="99" t="s">
        <v>240</v>
      </c>
      <c r="B99" s="49">
        <v>341789333</v>
      </c>
      <c r="C99" s="49">
        <v>127374000</v>
      </c>
      <c r="D99" s="49">
        <v>63503585.992307998</v>
      </c>
      <c r="E99" s="50">
        <f>VLOOKUP($A99,'Data shares'!$C:$FA,154)*100</f>
        <v>38.42</v>
      </c>
      <c r="F99" s="173">
        <f>C99/B99</f>
        <v>0.37266815462611291</v>
      </c>
    </row>
    <row r="100" spans="1:6" x14ac:dyDescent="0.25">
      <c r="A100" s="99" t="s">
        <v>670</v>
      </c>
      <c r="B100" s="49">
        <v>144708707</v>
      </c>
      <c r="C100" s="49">
        <v>89155456</v>
      </c>
      <c r="D100" s="49">
        <v>45094071.486211598</v>
      </c>
      <c r="E100" s="50">
        <f>VLOOKUP($A100,'Data shares'!$C:$FA,154)*100</f>
        <v>62.45</v>
      </c>
      <c r="F100" s="173">
        <f>C100/B100</f>
        <v>0.61610291355861535</v>
      </c>
    </row>
    <row r="101" spans="1:6" x14ac:dyDescent="0.25">
      <c r="A101" s="99" t="s">
        <v>241</v>
      </c>
      <c r="B101" s="49">
        <v>684903861</v>
      </c>
      <c r="C101" s="49">
        <v>230100000</v>
      </c>
      <c r="D101" s="49">
        <v>108741237.71277</v>
      </c>
      <c r="E101" s="50">
        <f>VLOOKUP($A101,'Data shares'!$C:$FA,154)*100</f>
        <v>34.160000000000004</v>
      </c>
      <c r="F101" s="173">
        <f>C101/B101</f>
        <v>0.33595956031557545</v>
      </c>
    </row>
    <row r="102" spans="1:6" x14ac:dyDescent="0.25">
      <c r="A102" s="99" t="s">
        <v>490</v>
      </c>
      <c r="B102" s="49">
        <v>30082783</v>
      </c>
      <c r="C102" s="49">
        <v>29638000</v>
      </c>
      <c r="D102" s="49">
        <v>13475968.9637475</v>
      </c>
      <c r="E102" s="50">
        <f>VLOOKUP($A102,'Data shares'!$C:$FA,154)*100</f>
        <v>101.58</v>
      </c>
      <c r="F102" s="173">
        <f>C102/B102</f>
        <v>0.98521469905227854</v>
      </c>
    </row>
    <row r="103" spans="1:6" x14ac:dyDescent="0.25">
      <c r="A103" s="99" t="s">
        <v>665</v>
      </c>
      <c r="B103" s="49">
        <v>119011160</v>
      </c>
      <c r="C103" s="49">
        <v>85680750</v>
      </c>
      <c r="D103" s="49">
        <v>34055591.311495498</v>
      </c>
      <c r="E103" s="50">
        <f>VLOOKUP($A103,'Data shares'!$C:$FA,154)*100</f>
        <v>73.97</v>
      </c>
      <c r="F103" s="173">
        <f>C103/B103</f>
        <v>0.7199387855727144</v>
      </c>
    </row>
    <row r="104" spans="1:6" x14ac:dyDescent="0.25">
      <c r="A104" s="99" t="s">
        <v>592</v>
      </c>
      <c r="B104" s="49">
        <v>226853356</v>
      </c>
      <c r="C104" s="49">
        <v>96122250</v>
      </c>
      <c r="D104" s="49">
        <v>40169686.785827503</v>
      </c>
      <c r="E104" s="50">
        <f>VLOOKUP($A104,'Data shares'!$C:$FA,154)*100</f>
        <v>43.61</v>
      </c>
      <c r="F104" s="173">
        <f>C104/B104</f>
        <v>0.42371976194171884</v>
      </c>
    </row>
    <row r="105" spans="1:6" x14ac:dyDescent="0.25">
      <c r="A105" s="99" t="s">
        <v>242</v>
      </c>
      <c r="B105" s="49">
        <v>1251412841</v>
      </c>
      <c r="C105" s="49">
        <v>227944000</v>
      </c>
      <c r="D105" s="49">
        <v>155604138.32185599</v>
      </c>
      <c r="E105" s="50">
        <f>VLOOKUP($A105,'Data shares'!$C:$FA,154)*100</f>
        <v>18.52</v>
      </c>
      <c r="F105" s="173">
        <f>C105/B105</f>
        <v>0.18214932157628388</v>
      </c>
    </row>
    <row r="106" spans="1:6" x14ac:dyDescent="0.25">
      <c r="A106" s="99" t="s">
        <v>243</v>
      </c>
      <c r="B106" s="49">
        <v>54776702</v>
      </c>
      <c r="C106" s="49">
        <v>23690625</v>
      </c>
      <c r="D106" s="49">
        <v>13691901.647331201</v>
      </c>
      <c r="E106" s="50">
        <f>VLOOKUP($A106,'Data shares'!$C:$FA,154)*100</f>
        <v>44.37</v>
      </c>
      <c r="F106" s="173">
        <f>C106/B106</f>
        <v>0.43249454850348601</v>
      </c>
    </row>
    <row r="107" spans="1:6" x14ac:dyDescent="0.25">
      <c r="A107" s="99" t="s">
        <v>570</v>
      </c>
      <c r="B107" s="49">
        <v>446457456</v>
      </c>
      <c r="C107" s="49">
        <v>268038650</v>
      </c>
      <c r="D107" s="49">
        <v>141458760.211202</v>
      </c>
      <c r="E107" s="50">
        <f>VLOOKUP($A107,'Data shares'!$C:$FA,154)*100</f>
        <v>61.370000000000005</v>
      </c>
      <c r="F107" s="173">
        <f>C107/B107</f>
        <v>0.60036773134325261</v>
      </c>
    </row>
    <row r="108" spans="1:6" x14ac:dyDescent="0.25">
      <c r="A108" s="99" t="s">
        <v>580</v>
      </c>
      <c r="B108" s="49">
        <v>80203755</v>
      </c>
      <c r="C108" s="49">
        <v>57191000</v>
      </c>
      <c r="D108" s="49">
        <v>37044310.983340003</v>
      </c>
      <c r="E108" s="50">
        <f>VLOOKUP($A108,'Data shares'!$C:$FA,154)*100</f>
        <v>72.06</v>
      </c>
      <c r="F108" s="173">
        <f>C108/B108</f>
        <v>0.71307135183383874</v>
      </c>
    </row>
    <row r="109" spans="1:6" x14ac:dyDescent="0.25">
      <c r="A109" s="99" t="s">
        <v>244</v>
      </c>
      <c r="B109" s="49">
        <v>133166619</v>
      </c>
      <c r="C109" s="49">
        <v>61906275</v>
      </c>
      <c r="D109" s="49">
        <v>43489714.560920998</v>
      </c>
      <c r="E109" s="50">
        <f>VLOOKUP($A109,'Data shares'!$C:$FA,154)*100</f>
        <v>46.989999999999995</v>
      </c>
      <c r="F109" s="173">
        <f>C109/B109</f>
        <v>0.46487832660225459</v>
      </c>
    </row>
    <row r="110" spans="1:6" x14ac:dyDescent="0.25">
      <c r="A110" s="99" t="s">
        <v>245</v>
      </c>
      <c r="B110" s="49">
        <v>48884739</v>
      </c>
      <c r="C110" s="49">
        <v>35231250</v>
      </c>
      <c r="D110" s="49">
        <v>21134317.88955</v>
      </c>
      <c r="E110" s="50">
        <f>VLOOKUP($A110,'Data shares'!$C:$FA,154)*100</f>
        <v>73.37</v>
      </c>
      <c r="F110" s="173">
        <f>C110/B110</f>
        <v>0.72070038054207475</v>
      </c>
    </row>
    <row r="111" spans="1:6" x14ac:dyDescent="0.25">
      <c r="A111" s="99" t="s">
        <v>582</v>
      </c>
      <c r="B111" s="49">
        <v>57552009</v>
      </c>
      <c r="C111" s="49">
        <v>47329000</v>
      </c>
      <c r="D111" s="49">
        <v>25693364.016053502</v>
      </c>
      <c r="E111" s="50">
        <f>VLOOKUP($A111,'Data shares'!$C:$FA,154)*100</f>
        <v>83.240000000000009</v>
      </c>
      <c r="F111" s="173">
        <f>C111/B111</f>
        <v>0.82236920695505178</v>
      </c>
    </row>
    <row r="112" spans="1:6" x14ac:dyDescent="0.25">
      <c r="A112" s="99" t="s">
        <v>677</v>
      </c>
      <c r="B112" s="49">
        <v>4667784</v>
      </c>
      <c r="C112" s="49">
        <v>3564000</v>
      </c>
      <c r="D112" s="49">
        <v>1138908.053632</v>
      </c>
      <c r="E112" s="50">
        <f>VLOOKUP($A112,'Data shares'!$C:$FA,154)*100</f>
        <v>78.149999999999991</v>
      </c>
      <c r="F112" s="173">
        <f>C112/B112</f>
        <v>0.76353147446411407</v>
      </c>
    </row>
    <row r="113" spans="1:6" x14ac:dyDescent="0.25">
      <c r="A113" s="99" t="s">
        <v>610</v>
      </c>
      <c r="B113" s="49">
        <v>9313740</v>
      </c>
      <c r="C113" s="49">
        <v>2952425</v>
      </c>
      <c r="D113" s="49">
        <v>1169242.1115182501</v>
      </c>
      <c r="E113" s="50">
        <f>VLOOKUP($A113,'Data shares'!$C:$FA,154)*100</f>
        <v>32.97</v>
      </c>
      <c r="F113" s="173">
        <f>C113/B113</f>
        <v>0.31699671667879931</v>
      </c>
    </row>
    <row r="114" spans="1:6" x14ac:dyDescent="0.25">
      <c r="A114" s="99" t="s">
        <v>684</v>
      </c>
      <c r="B114" s="49">
        <v>19911179</v>
      </c>
      <c r="C114" s="49">
        <v>7739100</v>
      </c>
      <c r="D114" s="49">
        <v>2362268.4822944999</v>
      </c>
      <c r="E114" s="50">
        <f>VLOOKUP($A114,'Data shares'!$C:$FA,154)*100</f>
        <v>39.94</v>
      </c>
      <c r="F114" s="173">
        <f>C114/B114</f>
        <v>0.38868115243200818</v>
      </c>
    </row>
    <row r="115" spans="1:6" x14ac:dyDescent="0.25">
      <c r="A115" s="99" t="s">
        <v>246</v>
      </c>
      <c r="B115" s="49">
        <v>215751979</v>
      </c>
      <c r="C115" s="49">
        <v>51392000</v>
      </c>
      <c r="D115" s="49">
        <v>29894513.374864001</v>
      </c>
      <c r="E115" s="50">
        <f>VLOOKUP($A115,'Data shares'!$C:$FA,154)*100</f>
        <v>24.45</v>
      </c>
      <c r="F115" s="173">
        <f>C115/B115</f>
        <v>0.23819943732706156</v>
      </c>
    </row>
    <row r="116" spans="1:6" x14ac:dyDescent="0.25">
      <c r="A116" s="99" t="s">
        <v>577</v>
      </c>
      <c r="B116" s="49">
        <v>24568295</v>
      </c>
      <c r="C116" s="49">
        <v>7475600</v>
      </c>
      <c r="D116" s="49">
        <v>3706238.7000560001</v>
      </c>
      <c r="E116" s="50">
        <f>VLOOKUP($A116,'Data shares'!$C:$FA,154)*100</f>
        <v>31</v>
      </c>
      <c r="F116" s="173">
        <f>C116/B116</f>
        <v>0.30427833921727171</v>
      </c>
    </row>
    <row r="117" spans="1:6" x14ac:dyDescent="0.25">
      <c r="A117" s="99" t="s">
        <v>535</v>
      </c>
      <c r="B117" s="49">
        <v>58629477</v>
      </c>
      <c r="C117" s="49">
        <v>54162000</v>
      </c>
      <c r="D117" s="49">
        <v>18806228.075440001</v>
      </c>
      <c r="E117" s="50">
        <f>VLOOKUP($A117,'Data shares'!$C:$FA,154)*100</f>
        <v>95.23</v>
      </c>
      <c r="F117" s="173">
        <f>C117/B117</f>
        <v>0.92380152052183584</v>
      </c>
    </row>
    <row r="118" spans="1:6" x14ac:dyDescent="0.25">
      <c r="A118" s="99" t="s">
        <v>248</v>
      </c>
      <c r="B118" s="49">
        <v>45183075</v>
      </c>
      <c r="C118" s="49">
        <v>47165000</v>
      </c>
      <c r="D118" s="49">
        <v>29126163.065699998</v>
      </c>
      <c r="E118" s="50">
        <f>VLOOKUP($A118,'Data shares'!$C:$FA,154)*100</f>
        <v>105.98</v>
      </c>
      <c r="F118" s="173">
        <f>C118/B118</f>
        <v>1.0438643230900067</v>
      </c>
    </row>
    <row r="119" spans="1:6" x14ac:dyDescent="0.25">
      <c r="A119" s="99" t="s">
        <v>607</v>
      </c>
      <c r="B119" s="49">
        <v>32057152</v>
      </c>
      <c r="C119" s="49">
        <v>14335300</v>
      </c>
      <c r="D119" s="49">
        <v>6927887.0193539998</v>
      </c>
      <c r="E119" s="50"/>
      <c r="F119" s="173">
        <f>C119/B119</f>
        <v>0.44717946248001073</v>
      </c>
    </row>
    <row r="120" spans="1:6" x14ac:dyDescent="0.25">
      <c r="A120" s="99" t="s">
        <v>588</v>
      </c>
      <c r="B120" s="49">
        <v>42060143</v>
      </c>
      <c r="C120" s="49">
        <v>16462350</v>
      </c>
      <c r="D120" s="49">
        <v>10553319.259902</v>
      </c>
      <c r="E120" s="50">
        <f>VLOOKUP($A120,'Data shares'!$C:$FA,154)*100</f>
        <v>39.629999999999995</v>
      </c>
      <c r="F120" s="173">
        <f>C120/B120</f>
        <v>0.39140023846328814</v>
      </c>
    </row>
    <row r="121" spans="1:6" x14ac:dyDescent="0.25">
      <c r="A121" s="99" t="s">
        <v>249</v>
      </c>
      <c r="B121" s="49">
        <v>136007303</v>
      </c>
      <c r="C121" s="49">
        <v>30930550</v>
      </c>
      <c r="D121" s="49">
        <v>17813900.5222237</v>
      </c>
      <c r="E121" s="50">
        <f>VLOOKUP($A121,'Data shares'!$C:$FA,154)*100</f>
        <v>23.26</v>
      </c>
      <c r="F121" s="173">
        <f>C121/B121</f>
        <v>0.22741830267746727</v>
      </c>
    </row>
    <row r="122" spans="1:6" x14ac:dyDescent="0.25">
      <c r="A122" s="99" t="s">
        <v>565</v>
      </c>
      <c r="B122" s="49">
        <v>126777205</v>
      </c>
      <c r="C122" s="49">
        <v>98900230</v>
      </c>
      <c r="D122" s="49">
        <v>45099446.606071398</v>
      </c>
      <c r="E122" s="50">
        <f>VLOOKUP($A122,'Data shares'!$C:$FA,154)*100</f>
        <v>82.73</v>
      </c>
      <c r="F122" s="173">
        <f>C122/B122</f>
        <v>0.78011050961409034</v>
      </c>
    </row>
    <row r="123" spans="1:6" x14ac:dyDescent="0.25">
      <c r="A123" s="99" t="s">
        <v>561</v>
      </c>
      <c r="B123" s="49">
        <v>9315942</v>
      </c>
      <c r="C123" s="49">
        <v>4809750</v>
      </c>
      <c r="D123" s="49">
        <v>2398157.1879059998</v>
      </c>
      <c r="E123" s="50">
        <f>VLOOKUP($A123,'Data shares'!$C:$FA,154)*100</f>
        <v>53.93</v>
      </c>
      <c r="F123" s="173">
        <f>C123/B123</f>
        <v>0.51629239426351092</v>
      </c>
    </row>
    <row r="124" spans="1:6" x14ac:dyDescent="0.25">
      <c r="A124" s="99" t="s">
        <v>250</v>
      </c>
      <c r="B124" s="49">
        <v>35341043</v>
      </c>
      <c r="C124" s="49">
        <v>17143650</v>
      </c>
      <c r="D124" s="49">
        <v>10700891.5200285</v>
      </c>
      <c r="E124" s="50">
        <f>VLOOKUP($A124,'Data shares'!$C:$FA,154)*100</f>
        <v>49.29</v>
      </c>
      <c r="F124" s="173">
        <f>C124/B124</f>
        <v>0.48509179539494635</v>
      </c>
    </row>
    <row r="125" spans="1:6" x14ac:dyDescent="0.25">
      <c r="A125" s="99" t="s">
        <v>251</v>
      </c>
      <c r="B125" s="49">
        <v>100261459</v>
      </c>
      <c r="C125" s="49">
        <v>26915800</v>
      </c>
      <c r="D125" s="49">
        <v>19526653.682390001</v>
      </c>
      <c r="E125" s="50">
        <f>VLOOKUP($A125,'Data shares'!$C:$FA,154)*100</f>
        <v>27.169999999999998</v>
      </c>
      <c r="F125" s="173">
        <f>C125/B125</f>
        <v>0.26845609737237119</v>
      </c>
    </row>
    <row r="126" spans="1:6" x14ac:dyDescent="0.25">
      <c r="A126" s="99" t="s">
        <v>253</v>
      </c>
      <c r="B126" s="49">
        <v>82205057</v>
      </c>
      <c r="C126" s="49">
        <v>52953000</v>
      </c>
      <c r="D126" s="49">
        <v>24753193.129439998</v>
      </c>
      <c r="E126" s="50">
        <f>VLOOKUP($A126,'Data shares'!$C:$FA,154)*100</f>
        <v>65.55</v>
      </c>
      <c r="F126" s="173">
        <f>C126/B126</f>
        <v>0.64415745128672564</v>
      </c>
    </row>
    <row r="127" spans="1:6" x14ac:dyDescent="0.25">
      <c r="A127" s="99" t="s">
        <v>673</v>
      </c>
      <c r="B127" s="49">
        <v>16915220</v>
      </c>
      <c r="C127" s="49">
        <v>2848500</v>
      </c>
      <c r="D127" s="49">
        <v>1611274.9544414999</v>
      </c>
      <c r="E127" s="50">
        <f>VLOOKUP($A127,'Data shares'!$C:$FA,154)*100</f>
        <v>17.059999999999999</v>
      </c>
      <c r="F127" s="173">
        <f>C127/B127</f>
        <v>0.1683986374401279</v>
      </c>
    </row>
    <row r="128" spans="1:6" x14ac:dyDescent="0.25">
      <c r="A128" s="99" t="s">
        <v>254</v>
      </c>
      <c r="B128" s="49">
        <v>79408529</v>
      </c>
      <c r="C128" s="49">
        <v>32661600</v>
      </c>
      <c r="D128" s="49">
        <v>26753479.631352</v>
      </c>
      <c r="E128" s="50">
        <f>VLOOKUP($A128,'Data shares'!$C:$FA,154)*100</f>
        <v>41.4</v>
      </c>
      <c r="F128" s="173">
        <f>C128/B128</f>
        <v>0.41131098146900569</v>
      </c>
    </row>
    <row r="129" spans="1:6" x14ac:dyDescent="0.25">
      <c r="A129" s="99" t="s">
        <v>255</v>
      </c>
      <c r="B129" s="49">
        <v>16752897</v>
      </c>
      <c r="C129" s="49">
        <v>6653100</v>
      </c>
      <c r="D129" s="49">
        <v>2980266.9626655001</v>
      </c>
      <c r="E129" s="50">
        <f>VLOOKUP($A129,'Data shares'!$C:$FA,154)*100</f>
        <v>41.06</v>
      </c>
      <c r="F129" s="173">
        <f>C129/B129</f>
        <v>0.39713131406466595</v>
      </c>
    </row>
    <row r="130" spans="1:6" x14ac:dyDescent="0.25">
      <c r="A130" s="99" t="s">
        <v>603</v>
      </c>
      <c r="B130" s="49">
        <v>97211768</v>
      </c>
      <c r="C130" s="49">
        <v>21346500</v>
      </c>
      <c r="D130" s="49">
        <v>15746711.4709695</v>
      </c>
      <c r="E130" s="50">
        <f>VLOOKUP($A130,'Data shares'!$C:$FA,154)*100</f>
        <v>22.13</v>
      </c>
      <c r="F130" s="173">
        <f>C130/B130</f>
        <v>0.21958761206770769</v>
      </c>
    </row>
    <row r="131" spans="1:6" x14ac:dyDescent="0.25">
      <c r="A131" s="99" t="s">
        <v>674</v>
      </c>
      <c r="B131" s="49">
        <v>11364224</v>
      </c>
      <c r="C131" s="49">
        <v>8682800</v>
      </c>
      <c r="D131" s="49">
        <v>3681892.6267025</v>
      </c>
      <c r="E131" s="50">
        <f>VLOOKUP($A131,'Data shares'!$C:$FA,154)*100</f>
        <v>77.819999999999993</v>
      </c>
      <c r="F131" s="173">
        <f>C131/B131</f>
        <v>0.76404688960724465</v>
      </c>
    </row>
    <row r="132" spans="1:6" x14ac:dyDescent="0.25">
      <c r="A132" s="99" t="s">
        <v>517</v>
      </c>
      <c r="B132" s="49">
        <v>7635422</v>
      </c>
      <c r="C132" s="49">
        <v>8769000</v>
      </c>
      <c r="D132" s="49">
        <v>2679138.7248650002</v>
      </c>
      <c r="E132" s="50">
        <f>VLOOKUP($A132,'Data shares'!$C:$FA,154)*100</f>
        <v>119.16</v>
      </c>
      <c r="F132" s="173">
        <f>C132/B132</f>
        <v>1.1484630450026208</v>
      </c>
    </row>
    <row r="133" spans="1:6" x14ac:dyDescent="0.25">
      <c r="A133" s="99" t="s">
        <v>257</v>
      </c>
      <c r="B133" s="49">
        <v>34712157</v>
      </c>
      <c r="C133" s="49">
        <v>8748800</v>
      </c>
      <c r="D133" s="49">
        <v>5694127.0293920003</v>
      </c>
      <c r="E133" s="50">
        <f>VLOOKUP($A133,'Data shares'!$C:$FA,154)*100</f>
        <v>25.5</v>
      </c>
      <c r="F133" s="173">
        <f>C133/B133</f>
        <v>0.25203850051726834</v>
      </c>
    </row>
    <row r="134" spans="1:6" x14ac:dyDescent="0.25">
      <c r="A134" s="99" t="s">
        <v>559</v>
      </c>
      <c r="B134" s="49">
        <v>542522848</v>
      </c>
      <c r="C134" s="49">
        <v>300464400</v>
      </c>
      <c r="D134" s="49">
        <v>156509784.97844201</v>
      </c>
      <c r="E134" s="50">
        <f>VLOOKUP($A134,'Data shares'!$C:$FA,154)*100</f>
        <v>56.25</v>
      </c>
      <c r="F134" s="173">
        <f>C134/B134</f>
        <v>0.55382810347556088</v>
      </c>
    </row>
    <row r="135" spans="1:6" x14ac:dyDescent="0.25">
      <c r="A135" s="99" t="s">
        <v>487</v>
      </c>
      <c r="B135" s="49">
        <v>14652855</v>
      </c>
      <c r="C135" s="49">
        <v>5843200</v>
      </c>
      <c r="D135" s="49">
        <v>3803263.7498019999</v>
      </c>
      <c r="E135" s="50"/>
      <c r="F135" s="173">
        <f>C135/B135</f>
        <v>0.39877552872801919</v>
      </c>
    </row>
    <row r="136" spans="1:6" x14ac:dyDescent="0.25">
      <c r="A136" s="99" t="s">
        <v>262</v>
      </c>
      <c r="B136" s="49">
        <v>16050690</v>
      </c>
      <c r="C136" s="49">
        <v>7624925</v>
      </c>
      <c r="D136" s="49">
        <v>3045452.5802442501</v>
      </c>
      <c r="E136" s="50">
        <f>VLOOKUP($A136,'Data shares'!$C:$FA,154)*100</f>
        <v>48.94</v>
      </c>
      <c r="F136" s="173">
        <f>C136/B136</f>
        <v>0.47505278589269373</v>
      </c>
    </row>
    <row r="137" spans="1:6" x14ac:dyDescent="0.25">
      <c r="A137" s="99" t="s">
        <v>263</v>
      </c>
      <c r="B137" s="49">
        <v>134225816</v>
      </c>
      <c r="C137" s="49">
        <v>144352500</v>
      </c>
      <c r="D137" s="49">
        <v>68770948.671112493</v>
      </c>
      <c r="E137" s="50">
        <f>VLOOKUP($A137,'Data shares'!$C:$FA,154)*100</f>
        <v>109.11</v>
      </c>
      <c r="F137" s="173">
        <f>C137/B137</f>
        <v>1.0754451289757851</v>
      </c>
    </row>
    <row r="138" spans="1:6" x14ac:dyDescent="0.25">
      <c r="A138" s="99" t="s">
        <v>264</v>
      </c>
      <c r="B138" s="49">
        <v>60530911</v>
      </c>
      <c r="C138" s="49">
        <v>12529125</v>
      </c>
      <c r="D138" s="49">
        <v>9200299.5465824995</v>
      </c>
      <c r="E138" s="50">
        <f>VLOOKUP($A138,'Data shares'!$C:$FA,154)*100</f>
        <v>20.82</v>
      </c>
      <c r="F138" s="173">
        <f>C138/B138</f>
        <v>0.20698722013286733</v>
      </c>
    </row>
    <row r="139" spans="1:6" x14ac:dyDescent="0.25">
      <c r="A139" s="99" t="s">
        <v>550</v>
      </c>
      <c r="B139" s="49">
        <v>154894704</v>
      </c>
      <c r="C139" s="49">
        <v>106242500</v>
      </c>
      <c r="D139" s="49">
        <v>55535115.191270001</v>
      </c>
      <c r="E139" s="50">
        <f>VLOOKUP($A139,'Data shares'!$C:$FA,154)*100</f>
        <v>69.650000000000006</v>
      </c>
      <c r="F139" s="173">
        <f>C139/B139</f>
        <v>0.68590143663013814</v>
      </c>
    </row>
    <row r="140" spans="1:6" x14ac:dyDescent="0.25">
      <c r="A140" s="99" t="s">
        <v>591</v>
      </c>
      <c r="B140" s="49">
        <v>72342848</v>
      </c>
      <c r="C140" s="49">
        <v>31201200</v>
      </c>
      <c r="D140" s="49">
        <v>18157723.593102001</v>
      </c>
      <c r="E140" s="50">
        <f>VLOOKUP($A140,'Data shares'!$C:$FA,154)*100</f>
        <v>43.54</v>
      </c>
      <c r="F140" s="173">
        <f>C140/B140</f>
        <v>0.43129626303902219</v>
      </c>
    </row>
    <row r="141" spans="1:6" x14ac:dyDescent="0.25">
      <c r="A141" s="99" t="s">
        <v>265</v>
      </c>
      <c r="B141" s="49">
        <v>71801274</v>
      </c>
      <c r="C141" s="49">
        <v>33806500</v>
      </c>
      <c r="D141" s="49">
        <v>20340328.429125</v>
      </c>
      <c r="E141" s="50">
        <f>VLOOKUP($A141,'Data shares'!$C:$FA,154)*100</f>
        <v>48.35</v>
      </c>
      <c r="F141" s="173">
        <f>C141/B141</f>
        <v>0.47083426402712575</v>
      </c>
    </row>
    <row r="142" spans="1:6" x14ac:dyDescent="0.25">
      <c r="A142" s="99" t="s">
        <v>585</v>
      </c>
      <c r="B142" s="49">
        <v>398201603</v>
      </c>
      <c r="C142" s="49">
        <v>92595200</v>
      </c>
      <c r="D142" s="49">
        <v>50645685.744447999</v>
      </c>
      <c r="E142" s="50">
        <f>VLOOKUP($A142,'Data shares'!$C:$FA,154)*100</f>
        <v>23.599999999999998</v>
      </c>
      <c r="F142" s="173">
        <f>C142/B142</f>
        <v>0.23253346873141542</v>
      </c>
    </row>
    <row r="143" spans="1:6" x14ac:dyDescent="0.25">
      <c r="A143" s="99" t="s">
        <v>267</v>
      </c>
      <c r="B143" s="49">
        <v>517037525</v>
      </c>
      <c r="C143" s="49">
        <v>553176000</v>
      </c>
      <c r="D143" s="49">
        <v>259065099.26199001</v>
      </c>
      <c r="E143" s="50">
        <f>VLOOKUP($A143,'Data shares'!$C:$FA,154)*100</f>
        <v>109.53</v>
      </c>
      <c r="F143" s="173">
        <f>C143/B143</f>
        <v>1.0698952653388165</v>
      </c>
    </row>
    <row r="144" spans="1:6" x14ac:dyDescent="0.25">
      <c r="A144" s="99" t="s">
        <v>268</v>
      </c>
      <c r="B144" s="49">
        <v>572782298</v>
      </c>
      <c r="C144" s="49">
        <v>170046000</v>
      </c>
      <c r="D144" s="49">
        <v>104009462.28492001</v>
      </c>
      <c r="E144" s="50">
        <f>VLOOKUP($A144,'Data shares'!$C:$FA,154)*100</f>
        <v>30.03</v>
      </c>
      <c r="F144" s="173">
        <f>C144/B144</f>
        <v>0.29687719155035758</v>
      </c>
    </row>
    <row r="145" spans="1:6" x14ac:dyDescent="0.25">
      <c r="A145" s="99" t="s">
        <v>686</v>
      </c>
      <c r="B145" s="49">
        <v>2444664</v>
      </c>
      <c r="C145" s="49">
        <v>1068075</v>
      </c>
      <c r="D145" s="49">
        <v>372778.66926825</v>
      </c>
      <c r="E145" s="50">
        <f>VLOOKUP($A145,'Data shares'!$C:$FA,154)*100</f>
        <v>45.36</v>
      </c>
      <c r="F145" s="173">
        <f>C145/B145</f>
        <v>0.43690053111593252</v>
      </c>
    </row>
    <row r="146" spans="1:6" x14ac:dyDescent="0.25">
      <c r="A146" s="99" t="s">
        <v>613</v>
      </c>
      <c r="B146" s="49">
        <v>205324177</v>
      </c>
      <c r="C146" s="49">
        <v>87996875</v>
      </c>
      <c r="D146" s="49">
        <v>56128187.600000001</v>
      </c>
      <c r="E146" s="50">
        <f>VLOOKUP($A146,'Data shares'!$C:$FA,154)*100</f>
        <v>43.85</v>
      </c>
      <c r="F146" s="173">
        <f>C146/B146</f>
        <v>0.42857532067448639</v>
      </c>
    </row>
    <row r="147" spans="1:6" x14ac:dyDescent="0.25">
      <c r="A147" s="99" t="s">
        <v>528</v>
      </c>
      <c r="B147" s="49">
        <v>17614093</v>
      </c>
      <c r="C147" s="49">
        <v>8189650</v>
      </c>
      <c r="D147" s="49">
        <v>4518161.2039759997</v>
      </c>
      <c r="E147" s="50">
        <f>VLOOKUP($A147,'Data shares'!$C:$FA,154)*100</f>
        <v>47.910000000000004</v>
      </c>
      <c r="F147" s="173">
        <f>C147/B147</f>
        <v>0.46494872032298229</v>
      </c>
    </row>
    <row r="148" spans="1:6" x14ac:dyDescent="0.25">
      <c r="A148" s="99" t="s">
        <v>518</v>
      </c>
      <c r="B148" s="49">
        <v>3401732</v>
      </c>
      <c r="C148" s="49">
        <v>2591850</v>
      </c>
      <c r="D148" s="49">
        <v>1200373.9334752499</v>
      </c>
      <c r="E148" s="50">
        <f>VLOOKUP($A148,'Data shares'!$C:$FA,154)*100</f>
        <v>77.92</v>
      </c>
      <c r="F148" s="173">
        <f>C148/B148</f>
        <v>0.76192069216504998</v>
      </c>
    </row>
    <row r="149" spans="1:6" x14ac:dyDescent="0.25">
      <c r="A149" s="99" t="s">
        <v>587</v>
      </c>
      <c r="B149" s="49">
        <v>94123587</v>
      </c>
      <c r="C149" s="49">
        <v>19052600</v>
      </c>
      <c r="D149" s="49">
        <v>10578249.641427999</v>
      </c>
      <c r="E149" s="50">
        <f>VLOOKUP($A149,'Data shares'!$C:$FA,154)*100</f>
        <v>20.59</v>
      </c>
      <c r="F149" s="173">
        <f>C149/B149</f>
        <v>0.20242109982485049</v>
      </c>
    </row>
    <row r="150" spans="1:6" x14ac:dyDescent="0.25">
      <c r="A150" s="99" t="s">
        <v>269</v>
      </c>
      <c r="B150" s="49">
        <v>517141211</v>
      </c>
      <c r="C150" s="49">
        <v>211428000</v>
      </c>
      <c r="D150" s="49">
        <v>105009099.160567</v>
      </c>
      <c r="E150" s="50">
        <f>VLOOKUP($A150,'Data shares'!$C:$FA,154)*100</f>
        <v>41.43</v>
      </c>
      <c r="F150" s="173">
        <f>C150/B150</f>
        <v>0.40883997543177814</v>
      </c>
    </row>
    <row r="151" spans="1:6" x14ac:dyDescent="0.25">
      <c r="A151" s="99" t="s">
        <v>270</v>
      </c>
      <c r="B151" s="49">
        <v>955549</v>
      </c>
      <c r="C151" s="49">
        <v>352770</v>
      </c>
      <c r="D151" s="49">
        <v>198484.251357</v>
      </c>
      <c r="E151" s="50">
        <f>VLOOKUP($A151,'Data shares'!$C:$FA,154)*100</f>
        <v>37.450000000000003</v>
      </c>
      <c r="F151" s="173">
        <f>C151/B151</f>
        <v>0.36918043972627251</v>
      </c>
    </row>
    <row r="152" spans="1:6" x14ac:dyDescent="0.25">
      <c r="A152" s="99" t="s">
        <v>666</v>
      </c>
      <c r="B152" s="49">
        <v>50840137</v>
      </c>
      <c r="C152" s="49">
        <v>41086800</v>
      </c>
      <c r="D152" s="49">
        <v>20634887.687940001</v>
      </c>
      <c r="E152" s="50">
        <f>VLOOKUP($A152,'Data shares'!$C:$FA,154)*100</f>
        <v>81.95</v>
      </c>
      <c r="F152" s="173">
        <f>C152/B152</f>
        <v>0.80815675221331529</v>
      </c>
    </row>
    <row r="153" spans="1:6" x14ac:dyDescent="0.25">
      <c r="A153" s="99" t="s">
        <v>575</v>
      </c>
      <c r="B153" s="49">
        <v>95715382</v>
      </c>
      <c r="C153" s="49">
        <v>36104275</v>
      </c>
      <c r="D153" s="49">
        <v>20621212.985157002</v>
      </c>
      <c r="E153" s="50">
        <f>VLOOKUP($A153,'Data shares'!$C:$FA,154)*100</f>
        <v>38.43</v>
      </c>
      <c r="F153" s="173">
        <f>C153/B153</f>
        <v>0.3772045228843155</v>
      </c>
    </row>
    <row r="154" spans="1:6" x14ac:dyDescent="0.25">
      <c r="A154" s="99" t="s">
        <v>529</v>
      </c>
      <c r="B154" s="49">
        <v>16151851</v>
      </c>
      <c r="C154" s="49">
        <v>5409400</v>
      </c>
      <c r="D154" s="49">
        <v>2924594.0936889998</v>
      </c>
      <c r="E154" s="50">
        <f>VLOOKUP($A154,'Data shares'!$C:$FA,154)*100</f>
        <v>34.270000000000003</v>
      </c>
      <c r="F154" s="173">
        <f>C154/B154</f>
        <v>0.33490898349669024</v>
      </c>
    </row>
    <row r="155" spans="1:6" x14ac:dyDescent="0.25">
      <c r="A155" s="99" t="s">
        <v>272</v>
      </c>
      <c r="B155" s="49">
        <v>93668136</v>
      </c>
      <c r="C155" s="49">
        <v>74849400</v>
      </c>
      <c r="D155" s="49">
        <v>34241267.661533996</v>
      </c>
      <c r="E155" s="50">
        <f>VLOOKUP($A155,'Data shares'!$C:$FA,154)*100</f>
        <v>81.27</v>
      </c>
      <c r="F155" s="173">
        <f>C155/B155</f>
        <v>0.79909137937793484</v>
      </c>
    </row>
    <row r="156" spans="1:6" x14ac:dyDescent="0.25">
      <c r="A156" s="99" t="s">
        <v>273</v>
      </c>
      <c r="B156" s="49">
        <v>203602113</v>
      </c>
      <c r="C156" s="49">
        <v>109943600</v>
      </c>
      <c r="D156" s="49">
        <v>55800071.014090002</v>
      </c>
      <c r="E156" s="50">
        <f>VLOOKUP($A156,'Data shares'!$C:$FA,154)*100</f>
        <v>55.230000000000004</v>
      </c>
      <c r="F156" s="173">
        <f>C156/B156</f>
        <v>0.53999243121803953</v>
      </c>
    </row>
    <row r="157" spans="1:6" x14ac:dyDescent="0.25">
      <c r="A157" s="99" t="s">
        <v>681</v>
      </c>
      <c r="B157" s="49">
        <v>23897684</v>
      </c>
      <c r="C157" s="49">
        <v>17663100</v>
      </c>
      <c r="D157" s="49">
        <v>5764218.3785619996</v>
      </c>
      <c r="E157" s="50">
        <f>VLOOKUP($A157,'Data shares'!$C:$FA,154)*100</f>
        <v>75.160000000000011</v>
      </c>
      <c r="F157" s="173">
        <f>C157/B157</f>
        <v>0.73911346388210675</v>
      </c>
    </row>
    <row r="158" spans="1:6" x14ac:dyDescent="0.25">
      <c r="A158" s="99" t="s">
        <v>645</v>
      </c>
      <c r="B158" s="49">
        <v>28283155</v>
      </c>
      <c r="C158" s="49">
        <v>6219150</v>
      </c>
      <c r="D158" s="49">
        <v>3884643.7561154999</v>
      </c>
      <c r="E158" s="50">
        <f>VLOOKUP($A158,'Data shares'!$C:$FA,154)*100</f>
        <v>22.24</v>
      </c>
      <c r="F158" s="173">
        <f>C158/B158</f>
        <v>0.21988883489129837</v>
      </c>
    </row>
    <row r="159" spans="1:6" x14ac:dyDescent="0.25">
      <c r="A159" s="99" t="s">
        <v>274</v>
      </c>
      <c r="B159" s="49">
        <v>31170515</v>
      </c>
      <c r="C159" s="49">
        <v>11831000</v>
      </c>
      <c r="D159" s="49">
        <v>9055616.3690799996</v>
      </c>
      <c r="E159" s="50">
        <f>VLOOKUP($A159,'Data shares'!$C:$FA,154)*100</f>
        <v>38.18</v>
      </c>
      <c r="F159" s="173">
        <f>C159/B159</f>
        <v>0.37955741186823511</v>
      </c>
    </row>
    <row r="160" spans="1:6" x14ac:dyDescent="0.25">
      <c r="A160" s="99" t="s">
        <v>483</v>
      </c>
      <c r="B160" s="49">
        <v>8178275</v>
      </c>
      <c r="C160" s="49">
        <v>2671200</v>
      </c>
      <c r="D160" s="49">
        <v>1655748.5863397501</v>
      </c>
      <c r="E160" s="50">
        <f>VLOOKUP($A160,'Data shares'!$C:$FA,154)*100</f>
        <v>33.160000000000004</v>
      </c>
      <c r="F160" s="173">
        <f>C160/B160</f>
        <v>0.32662144523142106</v>
      </c>
    </row>
    <row r="161" spans="1:6" x14ac:dyDescent="0.25">
      <c r="A161" s="99" t="s">
        <v>275</v>
      </c>
      <c r="B161" s="49">
        <v>447910372</v>
      </c>
      <c r="C161" s="49">
        <v>504288000</v>
      </c>
      <c r="D161" s="49">
        <v>218148857.26743999</v>
      </c>
      <c r="E161" s="50">
        <f>VLOOKUP($A161,'Data shares'!$C:$FA,154)*100</f>
        <v>115.67</v>
      </c>
      <c r="F161" s="173">
        <f>C161/B161</f>
        <v>1.1258681011298395</v>
      </c>
    </row>
    <row r="162" spans="1:6" x14ac:dyDescent="0.25">
      <c r="A162" s="99" t="s">
        <v>671</v>
      </c>
      <c r="B162" s="49">
        <v>28062406</v>
      </c>
      <c r="C162" s="49">
        <v>28909400</v>
      </c>
      <c r="D162" s="49">
        <v>15668275.309875499</v>
      </c>
      <c r="E162" s="50">
        <f>VLOOKUP($A162,'Data shares'!$C:$FA,154)*100</f>
        <v>104.10999999999999</v>
      </c>
      <c r="F162" s="173">
        <f>C162/B162</f>
        <v>1.0301825153552406</v>
      </c>
    </row>
    <row r="163" spans="1:6" x14ac:dyDescent="0.25">
      <c r="A163" s="99" t="s">
        <v>573</v>
      </c>
      <c r="B163" s="49">
        <v>51720057</v>
      </c>
      <c r="C163" s="49">
        <v>10981250</v>
      </c>
      <c r="D163" s="49">
        <v>8454808.9148459993</v>
      </c>
      <c r="E163" s="50">
        <f>VLOOKUP($A163,'Data shares'!$C:$FA,154)*100</f>
        <v>21.44</v>
      </c>
      <c r="F163" s="173">
        <f>C163/B163</f>
        <v>0.21232091836248362</v>
      </c>
    </row>
    <row r="164" spans="1:6" x14ac:dyDescent="0.25">
      <c r="A164" s="99" t="s">
        <v>519</v>
      </c>
      <c r="B164" s="49">
        <v>8350688</v>
      </c>
      <c r="C164" s="49">
        <v>3401500</v>
      </c>
      <c r="D164" s="49">
        <v>1743859.2742224999</v>
      </c>
      <c r="E164" s="50">
        <f>VLOOKUP($A164,'Data shares'!$C:$FA,154)*100</f>
        <v>42.19</v>
      </c>
      <c r="F164" s="173">
        <f>C164/B164</f>
        <v>0.40733170727968759</v>
      </c>
    </row>
    <row r="165" spans="1:6" x14ac:dyDescent="0.25">
      <c r="A165" s="99" t="s">
        <v>276</v>
      </c>
      <c r="B165" s="49">
        <v>488832949</v>
      </c>
      <c r="C165" s="49">
        <v>123201700</v>
      </c>
      <c r="D165" s="49">
        <v>78957604.862978995</v>
      </c>
      <c r="E165" s="50">
        <f>VLOOKUP($A165,'Data shares'!$C:$FA,154)*100</f>
        <v>25.679999999999996</v>
      </c>
      <c r="F165" s="173">
        <f>C165/B165</f>
        <v>0.25203231544034077</v>
      </c>
    </row>
    <row r="166" spans="1:6" x14ac:dyDescent="0.25">
      <c r="A166" s="99" t="s">
        <v>688</v>
      </c>
      <c r="B166" s="49">
        <v>1917916</v>
      </c>
      <c r="C166" s="49">
        <v>249000</v>
      </c>
      <c r="D166" s="49">
        <v>141768.29392349999</v>
      </c>
      <c r="E166" s="50">
        <f>VLOOKUP($A166,'Data shares'!$C:$FA,154)*100</f>
        <v>13.3</v>
      </c>
      <c r="F166" s="173">
        <f>C166/B166</f>
        <v>0.1298284179286267</v>
      </c>
    </row>
    <row r="167" spans="1:6" x14ac:dyDescent="0.25">
      <c r="A167" s="99" t="s">
        <v>679</v>
      </c>
      <c r="B167" s="49">
        <v>120138597</v>
      </c>
      <c r="C167" s="49">
        <v>42322500</v>
      </c>
      <c r="D167" s="49">
        <v>19450663.171349999</v>
      </c>
      <c r="E167" s="50"/>
      <c r="F167" s="173">
        <f>C167/B167</f>
        <v>0.35228062468550386</v>
      </c>
    </row>
    <row r="168" spans="1:6" x14ac:dyDescent="0.25">
      <c r="A168" s="99" t="s">
        <v>605</v>
      </c>
      <c r="B168" s="49">
        <v>25234534</v>
      </c>
      <c r="C168" s="49">
        <v>7096050</v>
      </c>
      <c r="D168" s="49">
        <v>4151634.3395595001</v>
      </c>
      <c r="E168" s="50">
        <f>VLOOKUP($A168,'Data shares'!$C:$FA,154)*100</f>
        <v>28.439999999999998</v>
      </c>
      <c r="F168" s="173">
        <f>C168/B168</f>
        <v>0.28120392474852124</v>
      </c>
    </row>
    <row r="169" spans="1:6" x14ac:dyDescent="0.25">
      <c r="A169" s="99" t="s">
        <v>279</v>
      </c>
      <c r="B169" s="49">
        <v>91351468</v>
      </c>
      <c r="C169" s="49">
        <v>111779050</v>
      </c>
      <c r="D169" s="49">
        <v>52954200.982928</v>
      </c>
      <c r="E169" s="50">
        <f>VLOOKUP($A169,'Data shares'!$C:$FA,154)*100</f>
        <v>125.41</v>
      </c>
      <c r="F169" s="173">
        <f>C169/B169</f>
        <v>1.2236152570640682</v>
      </c>
    </row>
    <row r="170" spans="1:6" x14ac:dyDescent="0.25">
      <c r="A170" s="99" t="s">
        <v>280</v>
      </c>
      <c r="B170" s="49">
        <v>187084550</v>
      </c>
      <c r="C170" s="49">
        <v>146075475</v>
      </c>
      <c r="D170" s="49">
        <v>80149954.200203195</v>
      </c>
      <c r="E170" s="50">
        <f>VLOOKUP($A170,'Data shares'!$C:$FA,154)*100</f>
        <v>79.400000000000006</v>
      </c>
      <c r="F170" s="173">
        <f>C170/B170</f>
        <v>0.78079924290915526</v>
      </c>
    </row>
    <row r="171" spans="1:6" x14ac:dyDescent="0.25">
      <c r="A171" s="99" t="s">
        <v>281</v>
      </c>
      <c r="B171" s="49">
        <v>662701060</v>
      </c>
      <c r="C171" s="49">
        <v>207029000</v>
      </c>
      <c r="D171" s="49">
        <v>126339682.118185</v>
      </c>
      <c r="E171" s="50">
        <f>VLOOKUP($A171,'Data shares'!$C:$FA,154)*100</f>
        <v>31.869999999999997</v>
      </c>
      <c r="F171" s="173">
        <f>C171/B171</f>
        <v>0.31240179395518092</v>
      </c>
    </row>
    <row r="172" spans="1:6" x14ac:dyDescent="0.25">
      <c r="A172" s="99" t="s">
        <v>676</v>
      </c>
      <c r="B172" s="49">
        <v>84941460</v>
      </c>
      <c r="C172" s="49">
        <v>64204250</v>
      </c>
      <c r="D172" s="49">
        <v>28646103.243944999</v>
      </c>
      <c r="E172" s="50">
        <f>VLOOKUP($A172,'Data shares'!$C:$FA,154)*100</f>
        <v>77.53</v>
      </c>
      <c r="F172" s="173">
        <f>C172/B172</f>
        <v>0.75586468610264057</v>
      </c>
    </row>
    <row r="173" spans="1:6" x14ac:dyDescent="0.25">
      <c r="A173" s="99" t="s">
        <v>282</v>
      </c>
      <c r="B173" s="49">
        <v>216861410</v>
      </c>
      <c r="C173" s="49">
        <v>289097000</v>
      </c>
      <c r="D173" s="49">
        <v>171970091.209151</v>
      </c>
      <c r="E173" s="50">
        <f>VLOOKUP($A173,'Data shares'!$C:$FA,154)*100</f>
        <v>135.57</v>
      </c>
      <c r="F173" s="173">
        <f>C173/B173</f>
        <v>1.333095639284094</v>
      </c>
    </row>
    <row r="174" spans="1:6" x14ac:dyDescent="0.25">
      <c r="A174" s="99" t="s">
        <v>687</v>
      </c>
      <c r="B174" s="49">
        <v>122326971</v>
      </c>
      <c r="C174" s="49">
        <v>172051600</v>
      </c>
      <c r="D174" s="49">
        <v>87754595.929543003</v>
      </c>
      <c r="E174" s="50">
        <f>VLOOKUP($A174,'Data shares'!$C:$FA,154)*100</f>
        <v>146.86999999999998</v>
      </c>
      <c r="F174" s="173">
        <f>C174/B174</f>
        <v>1.4064894977249129</v>
      </c>
    </row>
    <row r="175" spans="1:6" x14ac:dyDescent="0.25">
      <c r="A175" s="99" t="s">
        <v>536</v>
      </c>
      <c r="B175" s="49">
        <v>39583537</v>
      </c>
      <c r="C175" s="49">
        <v>37007200</v>
      </c>
      <c r="D175" s="49">
        <v>18036734.479952</v>
      </c>
      <c r="E175" s="50">
        <f>VLOOKUP($A175,'Data shares'!$C:$FA,154)*100</f>
        <v>95.47</v>
      </c>
      <c r="F175" s="173">
        <f>C175/B175</f>
        <v>0.93491392646392357</v>
      </c>
    </row>
    <row r="176" spans="1:6" x14ac:dyDescent="0.25">
      <c r="A176" s="99" t="s">
        <v>462</v>
      </c>
      <c r="B176" s="49">
        <v>44735132</v>
      </c>
      <c r="C176" s="49">
        <v>13944000</v>
      </c>
      <c r="D176" s="49">
        <v>7601009.4867187496</v>
      </c>
      <c r="E176" s="50">
        <f>VLOOKUP($A176,'Data shares'!$C:$FA,154)*100</f>
        <v>32.200000000000003</v>
      </c>
      <c r="F176" s="173">
        <f>C176/B176</f>
        <v>0.31170132682295426</v>
      </c>
    </row>
    <row r="177" spans="1:6" x14ac:dyDescent="0.25">
      <c r="A177" s="99" t="s">
        <v>283</v>
      </c>
      <c r="B177" s="49">
        <v>407307212</v>
      </c>
      <c r="C177" s="49">
        <v>184781250</v>
      </c>
      <c r="D177" s="49">
        <v>89639756.998327494</v>
      </c>
      <c r="E177" s="50">
        <f>VLOOKUP($A177,'Data shares'!$C:$FA,154)*100</f>
        <v>46.63</v>
      </c>
      <c r="F177" s="173">
        <f>C177/B177</f>
        <v>0.4536655491383737</v>
      </c>
    </row>
    <row r="178" spans="1:6" x14ac:dyDescent="0.25">
      <c r="A178" s="99" t="s">
        <v>284</v>
      </c>
      <c r="B178" s="49">
        <v>1548028</v>
      </c>
      <c r="C178" s="49">
        <v>381275</v>
      </c>
      <c r="D178" s="49">
        <v>267159.04691124998</v>
      </c>
      <c r="E178" s="50">
        <f>VLOOKUP($A178,'Data shares'!$C:$FA,154)*100</f>
        <v>25.15</v>
      </c>
      <c r="F178" s="173">
        <f>C178/B178</f>
        <v>0.24629722459800468</v>
      </c>
    </row>
    <row r="179" spans="1:6" x14ac:dyDescent="0.25">
      <c r="A179" s="99" t="s">
        <v>562</v>
      </c>
      <c r="B179" s="49">
        <v>210459276</v>
      </c>
      <c r="C179" s="49">
        <v>70328775</v>
      </c>
      <c r="D179" s="49">
        <v>50920113.303675003</v>
      </c>
      <c r="E179" s="50">
        <f>VLOOKUP($A179,'Data shares'!$C:$FA,154)*100</f>
        <v>33.85</v>
      </c>
      <c r="F179" s="173">
        <f>C179/B179</f>
        <v>0.33416809340349529</v>
      </c>
    </row>
    <row r="180" spans="1:6" x14ac:dyDescent="0.25">
      <c r="A180" s="99" t="s">
        <v>285</v>
      </c>
      <c r="B180" s="49">
        <v>13354588</v>
      </c>
      <c r="C180" s="49">
        <v>3835500</v>
      </c>
      <c r="D180" s="49">
        <v>1924152.3276875</v>
      </c>
      <c r="E180" s="50">
        <f>VLOOKUP($A180,'Data shares'!$C:$FA,154)*100</f>
        <v>29.470000000000002</v>
      </c>
      <c r="F180" s="173">
        <f>C180/B180</f>
        <v>0.28720466704027109</v>
      </c>
    </row>
    <row r="181" spans="1:6" x14ac:dyDescent="0.25">
      <c r="A181" s="99" t="s">
        <v>646</v>
      </c>
      <c r="B181" s="49">
        <v>3644817</v>
      </c>
      <c r="C181" s="49">
        <v>1405275</v>
      </c>
      <c r="D181" s="49">
        <v>827848.53644549998</v>
      </c>
      <c r="E181" s="50">
        <f>VLOOKUP($A181,'Data shares'!$C:$FA,154)*100</f>
        <v>39.050000000000004</v>
      </c>
      <c r="F181" s="173">
        <f>C181/B181</f>
        <v>0.38555433647285997</v>
      </c>
    </row>
    <row r="182" spans="1:6" x14ac:dyDescent="0.25">
      <c r="A182" s="99" t="s">
        <v>614</v>
      </c>
      <c r="B182" s="49">
        <v>67126548</v>
      </c>
      <c r="C182" s="49">
        <v>32126850</v>
      </c>
      <c r="D182" s="49">
        <v>17998245.775576498</v>
      </c>
      <c r="E182" s="50">
        <f>VLOOKUP($A182,'Data shares'!$C:$FA,154)*100</f>
        <v>48.75</v>
      </c>
      <c r="F182" s="173">
        <f>C182/B182</f>
        <v>0.47860125326271807</v>
      </c>
    </row>
    <row r="183" spans="1:6" x14ac:dyDescent="0.25">
      <c r="A183" s="99" t="s">
        <v>286</v>
      </c>
      <c r="B183" s="49">
        <v>21205300</v>
      </c>
      <c r="C183" s="49">
        <v>7384800</v>
      </c>
      <c r="D183" s="49">
        <v>3219204.6210960001</v>
      </c>
      <c r="E183" s="50">
        <f>VLOOKUP($A183,'Data shares'!$C:$FA,154)*100</f>
        <v>36.36</v>
      </c>
      <c r="F183" s="173">
        <f>C183/B183</f>
        <v>0.34825255950163403</v>
      </c>
    </row>
    <row r="184" spans="1:6" x14ac:dyDescent="0.25">
      <c r="A184" s="99" t="s">
        <v>288</v>
      </c>
      <c r="B184" s="49">
        <v>109220043</v>
      </c>
      <c r="C184" s="49">
        <v>25373250</v>
      </c>
      <c r="D184" s="49">
        <v>17425647.192103501</v>
      </c>
      <c r="E184" s="50">
        <f>VLOOKUP($A184,'Data shares'!$C:$FA,154)*100</f>
        <v>23.72</v>
      </c>
      <c r="F184" s="173">
        <f>C184/B184</f>
        <v>0.23231312955992886</v>
      </c>
    </row>
    <row r="185" spans="1:6" x14ac:dyDescent="0.25">
      <c r="A185" s="99" t="s">
        <v>574</v>
      </c>
      <c r="B185" s="49">
        <v>7242074</v>
      </c>
      <c r="C185" s="49">
        <v>2903775</v>
      </c>
      <c r="D185" s="49">
        <v>1424619.60476675</v>
      </c>
      <c r="E185" s="50">
        <f>VLOOKUP($A185,'Data shares'!$C:$FA,154)*100</f>
        <v>40.94</v>
      </c>
      <c r="F185" s="173">
        <f>C185/B185</f>
        <v>0.40095903466327465</v>
      </c>
    </row>
    <row r="186" spans="1:6" x14ac:dyDescent="0.25">
      <c r="A186" s="99" t="s">
        <v>685</v>
      </c>
      <c r="B186" s="49">
        <v>1813533848</v>
      </c>
      <c r="C186" s="49">
        <v>464056000</v>
      </c>
      <c r="D186" s="49">
        <v>183349362.79719999</v>
      </c>
      <c r="E186" s="50">
        <f>VLOOKUP($A186,'Data shares'!$C:$FA,154)*100</f>
        <v>26.51</v>
      </c>
      <c r="F186" s="173">
        <f>C186/B186</f>
        <v>0.25588494006426726</v>
      </c>
    </row>
    <row r="187" spans="1:6" x14ac:dyDescent="0.25">
      <c r="A187" s="99" t="s">
        <v>520</v>
      </c>
      <c r="B187" s="49">
        <v>28408333</v>
      </c>
      <c r="C187" s="49">
        <v>13517000</v>
      </c>
      <c r="D187" s="49">
        <v>8486659.0609900001</v>
      </c>
      <c r="E187" s="50"/>
      <c r="F187" s="173">
        <f>C187/B187</f>
        <v>0.47581109387868692</v>
      </c>
    </row>
    <row r="188" spans="1:6" x14ac:dyDescent="0.25">
      <c r="A188" s="99" t="s">
        <v>291</v>
      </c>
      <c r="B188" s="49">
        <v>65471528</v>
      </c>
      <c r="C188" s="49">
        <v>22480700</v>
      </c>
      <c r="D188" s="49">
        <v>17170290.112767</v>
      </c>
      <c r="E188" s="50">
        <f>VLOOKUP($A188,'Data shares'!$C:$FA,154)*100</f>
        <v>34.82</v>
      </c>
      <c r="F188" s="173">
        <f>C188/B188</f>
        <v>0.34336605065945613</v>
      </c>
    </row>
    <row r="189" spans="1:6" x14ac:dyDescent="0.25">
      <c r="A189" s="99" t="s">
        <v>604</v>
      </c>
      <c r="B189" s="49">
        <v>4309631</v>
      </c>
      <c r="C189" s="49">
        <v>4307900</v>
      </c>
      <c r="D189" s="49">
        <v>2289089.9676020001</v>
      </c>
      <c r="E189" s="50">
        <f>VLOOKUP($A189,'Data shares'!$C:$FA,154)*100</f>
        <v>101.16000000000001</v>
      </c>
      <c r="F189" s="173">
        <f>C189/B189</f>
        <v>0.99959834148213622</v>
      </c>
    </row>
    <row r="190" spans="1:6" x14ac:dyDescent="0.25">
      <c r="A190" s="99" t="s">
        <v>293</v>
      </c>
      <c r="B190" s="49">
        <v>169808198</v>
      </c>
      <c r="C190" s="49">
        <v>104734950</v>
      </c>
      <c r="D190" s="49">
        <v>52519542.210955501</v>
      </c>
      <c r="E190" s="50">
        <f>VLOOKUP($A190,'Data shares'!$C:$FA,154)*100</f>
        <v>62.39</v>
      </c>
      <c r="F190" s="173">
        <f>C190/B190</f>
        <v>0.61678382571376211</v>
      </c>
    </row>
    <row r="191" spans="1:6" x14ac:dyDescent="0.25">
      <c r="A191" s="99" t="s">
        <v>294</v>
      </c>
      <c r="B191" s="49">
        <v>833987639</v>
      </c>
      <c r="C191" s="49">
        <v>414194000</v>
      </c>
      <c r="D191" s="49">
        <v>211348210.10644001</v>
      </c>
      <c r="E191" s="50">
        <f>VLOOKUP($A191,'Data shares'!$C:$FA,154)*100</f>
        <v>50.7</v>
      </c>
      <c r="F191" s="173">
        <f>C191/B191</f>
        <v>0.49664285252074342</v>
      </c>
    </row>
    <row r="192" spans="1:6" x14ac:dyDescent="0.25">
      <c r="A192" s="99" t="s">
        <v>664</v>
      </c>
      <c r="B192" s="49">
        <v>27246569</v>
      </c>
      <c r="C192" s="49">
        <v>17468000</v>
      </c>
      <c r="D192" s="49">
        <v>8090882.7463600002</v>
      </c>
      <c r="E192" s="50">
        <f>VLOOKUP($A192,'Data shares'!$C:$FA,154)*100</f>
        <v>66.569999999999993</v>
      </c>
      <c r="F192" s="173">
        <f>C192/B192</f>
        <v>0.6411082437572232</v>
      </c>
    </row>
    <row r="193" spans="1:6" x14ac:dyDescent="0.25">
      <c r="A193" s="99" t="s">
        <v>295</v>
      </c>
      <c r="B193" s="49">
        <v>123298271</v>
      </c>
      <c r="C193" s="49">
        <v>52866975</v>
      </c>
      <c r="D193" s="49">
        <v>27090523.954551701</v>
      </c>
      <c r="E193" s="50"/>
      <c r="F193" s="173">
        <f>C193/B193</f>
        <v>0.4287730441897275</v>
      </c>
    </row>
    <row r="194" spans="1:6" x14ac:dyDescent="0.25">
      <c r="A194" s="99" t="s">
        <v>296</v>
      </c>
      <c r="B194" s="49">
        <v>76137451</v>
      </c>
      <c r="C194" s="49">
        <v>27256800</v>
      </c>
      <c r="D194" s="49">
        <v>16267586.485044001</v>
      </c>
      <c r="E194" s="50"/>
      <c r="F194" s="173">
        <f>C194/B194</f>
        <v>0.35799464838926642</v>
      </c>
    </row>
    <row r="195" spans="1:6" x14ac:dyDescent="0.25">
      <c r="A195" s="99" t="s">
        <v>595</v>
      </c>
      <c r="B195" s="49">
        <v>14039249</v>
      </c>
      <c r="C195" s="49">
        <v>2910000</v>
      </c>
      <c r="D195" s="49">
        <v>1887968.812958</v>
      </c>
      <c r="E195" s="50">
        <f>VLOOKUP($A195,'Data shares'!$C:$FA,154)*100</f>
        <v>20.86</v>
      </c>
      <c r="F195" s="173">
        <f>C195/B195</f>
        <v>0.20727604446648107</v>
      </c>
    </row>
    <row r="196" spans="1:6" x14ac:dyDescent="0.25">
      <c r="A196" s="99" t="s">
        <v>663</v>
      </c>
      <c r="B196" s="49">
        <v>12028036</v>
      </c>
      <c r="C196" s="49">
        <v>10342125</v>
      </c>
      <c r="D196" s="49">
        <v>5717495.7925482504</v>
      </c>
      <c r="E196" s="50">
        <f>VLOOKUP($A196,'Data shares'!$C:$FA,154)*100</f>
        <v>90.57</v>
      </c>
      <c r="F196" s="173">
        <f>C196/B196</f>
        <v>0.85983488908746197</v>
      </c>
    </row>
    <row r="197" spans="1:6" x14ac:dyDescent="0.25">
      <c r="A197" s="99" t="s">
        <v>297</v>
      </c>
      <c r="B197" s="49">
        <v>41744334</v>
      </c>
      <c r="C197" s="49">
        <v>19789350</v>
      </c>
      <c r="D197" s="49">
        <v>11661199.668149499</v>
      </c>
      <c r="E197" s="50">
        <f>VLOOKUP($A197,'Data shares'!$C:$FA,154)*100</f>
        <v>48.309999999999995</v>
      </c>
      <c r="F197" s="173">
        <f>C197/B197</f>
        <v>0.47406074318972247</v>
      </c>
    </row>
    <row r="198" spans="1:6" x14ac:dyDescent="0.25">
      <c r="A198" s="99" t="s">
        <v>690</v>
      </c>
      <c r="B198" s="49">
        <v>284575867</v>
      </c>
      <c r="C198" s="49">
        <v>98445600</v>
      </c>
      <c r="D198" s="49">
        <v>41021121.959136002</v>
      </c>
      <c r="E198" s="50">
        <f>VLOOKUP($A198,'Data shares'!$C:$FA,154)*100</f>
        <v>36.24</v>
      </c>
      <c r="F198" s="173">
        <f>C198/B198</f>
        <v>0.34593797793823466</v>
      </c>
    </row>
    <row r="199" spans="1:6" x14ac:dyDescent="0.25">
      <c r="A199" s="99" t="s">
        <v>298</v>
      </c>
      <c r="B199" s="49">
        <v>16072672</v>
      </c>
      <c r="C199" s="49">
        <v>3480000</v>
      </c>
      <c r="D199" s="49">
        <v>2250737.1072499999</v>
      </c>
      <c r="E199" s="50"/>
      <c r="F199" s="173">
        <f>C199/B199</f>
        <v>0.21651658168598226</v>
      </c>
    </row>
    <row r="200" spans="1:6" x14ac:dyDescent="0.25">
      <c r="A200" s="99" t="s">
        <v>299</v>
      </c>
      <c r="B200" s="49">
        <v>24646022</v>
      </c>
      <c r="C200" s="49">
        <v>5592375</v>
      </c>
      <c r="D200" s="49">
        <v>3331055.7252150001</v>
      </c>
      <c r="E200" s="50">
        <f>VLOOKUP($A200,'Data shares'!$C:$FA,154)*100</f>
        <v>23.119999999999997</v>
      </c>
      <c r="F200" s="173">
        <f>C200/B200</f>
        <v>0.22690781498125742</v>
      </c>
    </row>
    <row r="201" spans="1:6" x14ac:dyDescent="0.25">
      <c r="A201" s="99" t="s">
        <v>482</v>
      </c>
      <c r="B201" s="49">
        <v>33590487</v>
      </c>
      <c r="C201" s="49">
        <v>14153500</v>
      </c>
      <c r="D201" s="49">
        <v>7693640.1818920001</v>
      </c>
      <c r="E201" s="50">
        <f>VLOOKUP($A201,'Data shares'!$C:$FA,154)*100</f>
        <v>44.16</v>
      </c>
      <c r="F201" s="173">
        <f>C201/B201</f>
        <v>0.42135441501637055</v>
      </c>
    </row>
    <row r="202" spans="1:6" x14ac:dyDescent="0.25">
      <c r="A202" s="99" t="s">
        <v>300</v>
      </c>
      <c r="B202" s="49">
        <v>35369445</v>
      </c>
      <c r="C202" s="49">
        <v>13640200</v>
      </c>
      <c r="D202" s="49">
        <v>8878761.2257959992</v>
      </c>
      <c r="E202" s="50">
        <f>VLOOKUP($A202,'Data shares'!$C:$FA,154)*100</f>
        <v>39.290000000000006</v>
      </c>
      <c r="F202" s="173">
        <f>C202/B202</f>
        <v>0.38564925177649806</v>
      </c>
    </row>
    <row r="203" spans="1:6" x14ac:dyDescent="0.25">
      <c r="A203" s="99" t="s">
        <v>302</v>
      </c>
      <c r="B203" s="49">
        <v>11962066</v>
      </c>
      <c r="C203" s="49">
        <v>3718400</v>
      </c>
      <c r="D203" s="49">
        <v>2463888.3556205002</v>
      </c>
      <c r="E203" s="50">
        <f>VLOOKUP($A203,'Data shares'!$C:$FA,154)*100</f>
        <v>32.01</v>
      </c>
      <c r="F203" s="173">
        <f>C203/B203</f>
        <v>0.31084931315376457</v>
      </c>
    </row>
    <row r="204" spans="1:6" x14ac:dyDescent="0.25">
      <c r="A204" s="99" t="s">
        <v>593</v>
      </c>
      <c r="B204" s="49">
        <v>289041713</v>
      </c>
      <c r="C204" s="49">
        <v>129665775</v>
      </c>
      <c r="D204" s="49">
        <v>75964425.273662999</v>
      </c>
      <c r="E204" s="50">
        <f>VLOOKUP($A204,'Data shares'!$C:$FA,154)*100</f>
        <v>45.519999999999996</v>
      </c>
      <c r="F204" s="173">
        <f>C204/B204</f>
        <v>0.44860575193172897</v>
      </c>
    </row>
    <row r="205" spans="1:6" x14ac:dyDescent="0.25">
      <c r="A205" s="99" t="s">
        <v>569</v>
      </c>
      <c r="B205" s="49">
        <v>47269416</v>
      </c>
      <c r="C205" s="49">
        <v>19180400</v>
      </c>
      <c r="D205" s="49">
        <v>11848214.860487999</v>
      </c>
      <c r="E205" s="50">
        <f>VLOOKUP($A205,'Data shares'!$C:$FA,154)*100</f>
        <v>41.099999999999994</v>
      </c>
      <c r="F205" s="173">
        <f>C205/B205</f>
        <v>0.40576765323269492</v>
      </c>
    </row>
    <row r="206" spans="1:6" x14ac:dyDescent="0.25">
      <c r="A206" s="99" t="s">
        <v>675</v>
      </c>
      <c r="B206" s="49">
        <v>22813802</v>
      </c>
      <c r="C206" s="49">
        <v>7768750</v>
      </c>
      <c r="D206" s="49">
        <v>3622608.9061580002</v>
      </c>
      <c r="E206" s="50">
        <f>VLOOKUP($A206,'Data shares'!$C:$FA,154)*100</f>
        <v>34.61</v>
      </c>
      <c r="F206" s="173">
        <f>C206/B206</f>
        <v>0.34052850989063549</v>
      </c>
    </row>
    <row r="207" spans="1:6" x14ac:dyDescent="0.25">
      <c r="A207" s="99" t="s">
        <v>303</v>
      </c>
      <c r="B207" s="49">
        <v>82588393</v>
      </c>
      <c r="C207" s="49">
        <v>45945340</v>
      </c>
      <c r="D207" s="49">
        <v>26166904.250007398</v>
      </c>
      <c r="E207" s="50">
        <f>VLOOKUP($A207,'Data shares'!$C:$FA,154)*100</f>
        <v>56.56</v>
      </c>
      <c r="F207" s="173">
        <f>C207/B207</f>
        <v>0.55631715706104123</v>
      </c>
    </row>
    <row r="208" spans="1:6" x14ac:dyDescent="0.25">
      <c r="A208" s="99" t="s">
        <v>586</v>
      </c>
      <c r="B208" s="49">
        <v>203804339</v>
      </c>
      <c r="C208" s="49">
        <v>55787675</v>
      </c>
      <c r="D208" s="49">
        <v>36575128.676462002</v>
      </c>
      <c r="E208" s="50">
        <f>VLOOKUP($A208,'Data shares'!$C:$FA,154)*100</f>
        <v>27.589999999999996</v>
      </c>
      <c r="F208" s="173">
        <f>C208/B208</f>
        <v>0.2737315371877338</v>
      </c>
    </row>
    <row r="209" spans="1:6" x14ac:dyDescent="0.25">
      <c r="A209" s="99" t="s">
        <v>304</v>
      </c>
      <c r="B209" s="49">
        <v>255091106</v>
      </c>
      <c r="C209" s="49">
        <v>164207350</v>
      </c>
      <c r="D209" s="49">
        <v>97341708.078934997</v>
      </c>
      <c r="E209" s="50">
        <f>VLOOKUP($A209,'Data shares'!$C:$FA,154)*100</f>
        <v>65.180000000000007</v>
      </c>
      <c r="F209" s="173">
        <f>C209/B209</f>
        <v>0.64372040474041459</v>
      </c>
    </row>
    <row r="210" spans="1:6" x14ac:dyDescent="0.25">
      <c r="A210" s="99" t="s">
        <v>305</v>
      </c>
      <c r="B210" s="49">
        <v>34594689</v>
      </c>
      <c r="C210" s="49">
        <v>19086375</v>
      </c>
      <c r="D210" s="49">
        <v>10931535.586035</v>
      </c>
      <c r="E210" s="50">
        <f>VLOOKUP($A210,'Data shares'!$C:$FA,154)*100</f>
        <v>55.720000000000006</v>
      </c>
      <c r="F210" s="173">
        <f>C210/B210</f>
        <v>0.55171402176790774</v>
      </c>
    </row>
    <row r="211" spans="1:6" x14ac:dyDescent="0.25">
      <c r="A211" s="99" t="s">
        <v>306</v>
      </c>
      <c r="B211" s="49">
        <v>292948819</v>
      </c>
      <c r="C211" s="49">
        <v>266349000</v>
      </c>
      <c r="D211" s="49">
        <v>127273912.16706</v>
      </c>
      <c r="E211" s="50">
        <f>VLOOKUP($A211,'Data shares'!$C:$FA,154)*100</f>
        <v>93.7</v>
      </c>
      <c r="F211" s="173">
        <f>C211/B211</f>
        <v>0.90919977390316775</v>
      </c>
    </row>
    <row r="212" spans="1:6" x14ac:dyDescent="0.25">
      <c r="A212" s="99" t="s">
        <v>590</v>
      </c>
      <c r="B212" s="49">
        <v>3136562346</v>
      </c>
      <c r="C212" s="49">
        <v>1660211300</v>
      </c>
      <c r="D212" s="49">
        <v>933676084.06438398</v>
      </c>
      <c r="E212" s="50">
        <f>VLOOKUP($A212,'Data shares'!$C:$FA,154)*100</f>
        <v>53.99</v>
      </c>
      <c r="F212" s="173">
        <f>C212/B212</f>
        <v>0.52930919805156651</v>
      </c>
    </row>
    <row r="213" spans="1:6" x14ac:dyDescent="0.25">
      <c r="A213" s="99" t="s">
        <v>557</v>
      </c>
      <c r="B213" s="49">
        <v>32617803</v>
      </c>
      <c r="C213" s="49">
        <v>12303000</v>
      </c>
      <c r="D213" s="49">
        <v>7192163.9899439998</v>
      </c>
      <c r="E213" s="50">
        <f>VLOOKUP($A213,'Data shares'!$C:$FA,154)*100</f>
        <v>38.119999999999997</v>
      </c>
      <c r="F213" s="173">
        <f>C213/B213</f>
        <v>0.37718665478481184</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P41" sqref="P41"/>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89.42</v>
      </c>
      <c r="F6" s="49">
        <f>VLOOKUP($A6,'Data shares'!$C:$FA,129)</f>
        <v>8623750</v>
      </c>
      <c r="G6" s="17"/>
    </row>
    <row r="7" spans="1:7" x14ac:dyDescent="0.25">
      <c r="A7" s="101" t="s">
        <v>228</v>
      </c>
      <c r="B7" s="17">
        <v>292206563</v>
      </c>
      <c r="C7" s="17">
        <v>71903525</v>
      </c>
      <c r="D7" s="17">
        <f t="shared" ref="D7:D70" si="0">C7</f>
        <v>71903525</v>
      </c>
      <c r="E7" s="49">
        <f>VLOOKUP($A7,'Data shares'!$C:$FA,128)*100</f>
        <v>83.41</v>
      </c>
      <c r="F7" s="49">
        <f>VLOOKUP($A7,'Data shares'!$C:$FA,129)</f>
        <v>43653400</v>
      </c>
      <c r="G7" s="17"/>
    </row>
    <row r="8" spans="1:7" x14ac:dyDescent="0.25">
      <c r="A8" s="101" t="s">
        <v>200</v>
      </c>
      <c r="B8" s="17">
        <v>417418754</v>
      </c>
      <c r="C8" s="17">
        <v>109662000</v>
      </c>
      <c r="D8" s="17">
        <f t="shared" si="0"/>
        <v>109662000</v>
      </c>
      <c r="E8" s="49">
        <f>VLOOKUP($A8,'Data shares'!$C:$FA,128)*100</f>
        <v>55.779999999999994</v>
      </c>
      <c r="F8" s="49">
        <f>VLOOKUP($A8,'Data shares'!$C:$FA,129)</f>
        <v>22262850</v>
      </c>
      <c r="G8" s="17"/>
    </row>
    <row r="9" spans="1:7" x14ac:dyDescent="0.25">
      <c r="A9" s="101" t="s">
        <v>214</v>
      </c>
      <c r="B9" s="17">
        <v>30110093</v>
      </c>
      <c r="C9" s="17">
        <v>10703050</v>
      </c>
      <c r="D9" s="17">
        <f t="shared" si="0"/>
        <v>10703050</v>
      </c>
      <c r="E9" s="49">
        <f>VLOOKUP($A9,'Data shares'!$C:$FA,128)*100</f>
        <v>84.899999999999991</v>
      </c>
      <c r="F9" s="49">
        <f>VLOOKUP($A9,'Data shares'!$C:$FA,129)</f>
        <v>5159250</v>
      </c>
      <c r="G9" s="17"/>
    </row>
    <row r="10" spans="1:7" x14ac:dyDescent="0.25">
      <c r="A10" s="101" t="s">
        <v>243</v>
      </c>
      <c r="B10" s="17">
        <v>80699820</v>
      </c>
      <c r="C10" s="17">
        <v>65367500</v>
      </c>
      <c r="D10" s="17">
        <f t="shared" si="0"/>
        <v>65367500</v>
      </c>
      <c r="E10" s="49">
        <f>VLOOKUP($A10,'Data shares'!$C:$FA,128)*100</f>
        <v>85.88</v>
      </c>
      <c r="F10" s="49">
        <f>VLOOKUP($A10,'Data shares'!$C:$FA,129)</f>
        <v>8842500</v>
      </c>
      <c r="G10" s="17"/>
    </row>
    <row r="11" spans="1:7" x14ac:dyDescent="0.25">
      <c r="A11" s="101" t="s">
        <v>231</v>
      </c>
      <c r="B11" s="17">
        <v>80556813</v>
      </c>
      <c r="C11" s="17">
        <v>62967200</v>
      </c>
      <c r="D11" s="17">
        <f t="shared" si="0"/>
        <v>62967200</v>
      </c>
      <c r="E11" s="49">
        <f>VLOOKUP($A11,'Data shares'!$C:$FA,128)*100</f>
        <v>71.240000000000009</v>
      </c>
      <c r="F11" s="49">
        <f>VLOOKUP($A11,'Data shares'!$C:$FA,129)</f>
        <v>13997100</v>
      </c>
      <c r="G11" s="17"/>
    </row>
    <row r="12" spans="1:7" x14ac:dyDescent="0.25">
      <c r="A12" s="101" t="s">
        <v>195</v>
      </c>
      <c r="B12" s="17">
        <v>23823080</v>
      </c>
      <c r="C12" s="17">
        <v>2862400</v>
      </c>
      <c r="D12" s="17">
        <f t="shared" si="0"/>
        <v>2862400</v>
      </c>
      <c r="E12" s="49">
        <f>VLOOKUP($A12,'Data shares'!$C:$FA,128)*100</f>
        <v>79.7</v>
      </c>
      <c r="F12" s="49">
        <f>VLOOKUP($A12,'Data shares'!$C:$FA,129)</f>
        <v>1977625</v>
      </c>
      <c r="G12" s="17"/>
    </row>
    <row r="13" spans="1:7" x14ac:dyDescent="0.25">
      <c r="A13" s="101" t="s">
        <v>304</v>
      </c>
      <c r="B13" s="17">
        <v>223492679</v>
      </c>
      <c r="C13" s="17">
        <v>98465300</v>
      </c>
      <c r="D13" s="17">
        <f t="shared" si="0"/>
        <v>98465300</v>
      </c>
      <c r="E13" s="49">
        <f>VLOOKUP($A13,'Data shares'!$C:$FA,128)*100</f>
        <v>85.99</v>
      </c>
      <c r="F13" s="49">
        <f>VLOOKUP($A13,'Data shares'!$C:$FA,129)</f>
        <v>77181100</v>
      </c>
      <c r="G13" s="17"/>
    </row>
    <row r="14" spans="1:7" x14ac:dyDescent="0.25">
      <c r="A14" s="101" t="s">
        <v>167</v>
      </c>
      <c r="B14" s="17">
        <v>282181803</v>
      </c>
      <c r="C14" s="17">
        <v>95526000</v>
      </c>
      <c r="D14" s="17">
        <f t="shared" si="0"/>
        <v>95526000</v>
      </c>
      <c r="E14" s="49">
        <f>VLOOKUP($A14,'Data shares'!$C:$FA,128)*100</f>
        <v>87.09</v>
      </c>
      <c r="F14" s="49">
        <f>VLOOKUP($A14,'Data shares'!$C:$FA,129)</f>
        <v>95960000</v>
      </c>
      <c r="G14" s="17"/>
    </row>
    <row r="15" spans="1:7" x14ac:dyDescent="0.25">
      <c r="A15" s="101" t="s">
        <v>222</v>
      </c>
      <c r="B15" s="17">
        <v>214194964</v>
      </c>
      <c r="C15" s="17">
        <v>37437400</v>
      </c>
      <c r="D15" s="17">
        <f t="shared" si="0"/>
        <v>37437400</v>
      </c>
      <c r="E15" s="49">
        <f>VLOOKUP($A15,'Data shares'!$C:$FA,128)*100</f>
        <v>82.35</v>
      </c>
      <c r="F15" s="49">
        <f>VLOOKUP($A15,'Data shares'!$C:$FA,129)</f>
        <v>9973950</v>
      </c>
      <c r="G15" s="17"/>
    </row>
    <row r="16" spans="1:7" x14ac:dyDescent="0.25">
      <c r="A16" s="101" t="s">
        <v>290</v>
      </c>
      <c r="B16" s="17">
        <v>31601465</v>
      </c>
      <c r="C16" s="17">
        <v>13192000</v>
      </c>
      <c r="D16" s="17">
        <f t="shared" si="0"/>
        <v>13192000</v>
      </c>
      <c r="E16" s="49">
        <f>VLOOKUP($A16,'Data shares'!$C:$FA,128)*100</f>
        <v>91.35</v>
      </c>
      <c r="F16" s="49">
        <f>VLOOKUP($A16,'Data shares'!$C:$FA,129)</f>
        <v>6284000</v>
      </c>
      <c r="G16" s="17"/>
    </row>
    <row r="17" spans="1:7" x14ac:dyDescent="0.25">
      <c r="A17" s="101" t="s">
        <v>500</v>
      </c>
      <c r="B17" s="17">
        <v>24930381</v>
      </c>
      <c r="C17" s="17">
        <v>1925625</v>
      </c>
      <c r="D17" s="17">
        <f t="shared" si="0"/>
        <v>1925625</v>
      </c>
      <c r="E17" s="49">
        <f>VLOOKUP($A17,'Data shares'!$C:$FA,128)*100</f>
        <v>80.83</v>
      </c>
      <c r="F17" s="49">
        <f>VLOOKUP($A17,'Data shares'!$C:$FA,129)</f>
        <v>17380000</v>
      </c>
      <c r="G17" s="17"/>
    </row>
    <row r="18" spans="1:7" x14ac:dyDescent="0.25">
      <c r="A18" s="101" t="s">
        <v>491</v>
      </c>
      <c r="B18" s="17">
        <v>53841317</v>
      </c>
      <c r="C18" s="17">
        <v>9268750</v>
      </c>
      <c r="D18" s="17">
        <f t="shared" si="0"/>
        <v>9268750</v>
      </c>
      <c r="E18" s="49">
        <f>VLOOKUP($A18,'Data shares'!$C:$FA,128)*100</f>
        <v>83.2</v>
      </c>
      <c r="F18" s="49">
        <f>VLOOKUP($A18,'Data shares'!$C:$FA,129)</f>
        <v>10190250</v>
      </c>
      <c r="G18" s="17"/>
    </row>
    <row r="19" spans="1:7" x14ac:dyDescent="0.25">
      <c r="A19" s="101" t="s">
        <v>257</v>
      </c>
      <c r="B19" s="17">
        <v>43771086</v>
      </c>
      <c r="C19" s="17">
        <v>2865850</v>
      </c>
      <c r="D19" s="17">
        <f t="shared" si="0"/>
        <v>2865850</v>
      </c>
      <c r="E19" s="49">
        <f>VLOOKUP($A19,'Data shares'!$C:$FA,128)*100</f>
        <v>85.25</v>
      </c>
      <c r="F19" s="49">
        <f>VLOOKUP($A19,'Data shares'!$C:$FA,129)</f>
        <v>3704000</v>
      </c>
      <c r="G19" s="17"/>
    </row>
    <row r="20" spans="1:7" x14ac:dyDescent="0.25">
      <c r="A20" s="101" t="s">
        <v>259</v>
      </c>
      <c r="B20" s="17">
        <v>12838406</v>
      </c>
      <c r="C20" s="17">
        <v>3561800</v>
      </c>
      <c r="D20" s="17">
        <f t="shared" si="0"/>
        <v>3561800</v>
      </c>
      <c r="E20" s="49">
        <f>VLOOKUP($A20,'Data shares'!$C:$FA,128)*100</f>
        <v>66.930000000000007</v>
      </c>
      <c r="F20" s="49">
        <f>VLOOKUP($A20,'Data shares'!$C:$FA,129)</f>
        <v>1108240</v>
      </c>
      <c r="G20" s="17"/>
    </row>
    <row r="21" spans="1:7" x14ac:dyDescent="0.25">
      <c r="A21" s="101" t="s">
        <v>212</v>
      </c>
      <c r="B21" s="17">
        <v>393764205</v>
      </c>
      <c r="C21" s="17">
        <v>124730000</v>
      </c>
      <c r="D21" s="17">
        <f t="shared" si="0"/>
        <v>124730000</v>
      </c>
      <c r="E21" s="49">
        <f>VLOOKUP($A21,'Data shares'!$C:$FA,128)*100</f>
        <v>77.790000000000006</v>
      </c>
      <c r="F21" s="49">
        <f>VLOOKUP($A21,'Data shares'!$C:$FA,129)</f>
        <v>61420000</v>
      </c>
      <c r="G21" s="17"/>
    </row>
    <row r="22" spans="1:7" x14ac:dyDescent="0.25">
      <c r="A22" s="101" t="s">
        <v>209</v>
      </c>
      <c r="B22" s="17">
        <v>27768950</v>
      </c>
      <c r="C22" s="17">
        <v>5371100</v>
      </c>
      <c r="D22" s="17">
        <f t="shared" si="0"/>
        <v>5371100</v>
      </c>
      <c r="E22" s="49">
        <f>VLOOKUP($A22,'Data shares'!$C:$FA,128)*100</f>
        <v>83.06</v>
      </c>
      <c r="F22" s="49">
        <f>VLOOKUP($A22,'Data shares'!$C:$FA,129)</f>
        <v>1851150</v>
      </c>
      <c r="G22" s="17"/>
    </row>
    <row r="23" spans="1:7" x14ac:dyDescent="0.25">
      <c r="A23" s="101" t="s">
        <v>501</v>
      </c>
      <c r="B23" s="17">
        <v>155792872</v>
      </c>
      <c r="C23" s="17">
        <v>50166406</v>
      </c>
      <c r="D23" s="17">
        <f t="shared" si="0"/>
        <v>50166406</v>
      </c>
      <c r="E23" s="49">
        <f>VLOOKUP($A23,'Data shares'!$C:$FA,128)*100</f>
        <v>83.44</v>
      </c>
      <c r="F23" s="49">
        <f>VLOOKUP($A23,'Data shares'!$C:$FA,129)</f>
        <v>14897000</v>
      </c>
      <c r="G23" s="17"/>
    </row>
    <row r="24" spans="1:7" x14ac:dyDescent="0.25">
      <c r="A24" s="101" t="s">
        <v>276</v>
      </c>
      <c r="B24" s="17">
        <v>678857930</v>
      </c>
      <c r="C24" s="17">
        <v>84677374</v>
      </c>
      <c r="D24" s="17">
        <f t="shared" si="0"/>
        <v>84677374</v>
      </c>
      <c r="E24" s="49">
        <f>VLOOKUP($A24,'Data shares'!$C:$FA,128)*100</f>
        <v>69.089999999999989</v>
      </c>
      <c r="F24" s="49">
        <f>VLOOKUP($A24,'Data shares'!$C:$FA,129)</f>
        <v>36588300</v>
      </c>
      <c r="G24" s="17"/>
    </row>
    <row r="25" spans="1:7" x14ac:dyDescent="0.25">
      <c r="A25" s="101" t="s">
        <v>210</v>
      </c>
      <c r="B25" s="17">
        <v>14114257</v>
      </c>
      <c r="C25" s="17">
        <v>11000000</v>
      </c>
      <c r="D25" s="17">
        <f t="shared" si="0"/>
        <v>11000000</v>
      </c>
      <c r="E25" s="49">
        <f>VLOOKUP($A25,'Data shares'!$C:$FA,128)*100</f>
        <v>83.06</v>
      </c>
      <c r="F25" s="49">
        <f>VLOOKUP($A25,'Data shares'!$C:$FA,129)</f>
        <v>1851150</v>
      </c>
      <c r="G25" s="17"/>
    </row>
    <row r="26" spans="1:7" x14ac:dyDescent="0.25">
      <c r="A26" s="101" t="s">
        <v>267</v>
      </c>
      <c r="B26" s="17">
        <v>229794455</v>
      </c>
      <c r="C26" s="17">
        <v>133289800</v>
      </c>
      <c r="D26" s="17">
        <f t="shared" si="0"/>
        <v>133289800</v>
      </c>
      <c r="E26" s="49">
        <f>VLOOKUP($A26,'Data shares'!$C:$FA,128)*100</f>
        <v>83.86</v>
      </c>
      <c r="F26" s="49">
        <f>VLOOKUP($A26,'Data shares'!$C:$FA,129)</f>
        <v>150930000</v>
      </c>
      <c r="G26" s="17"/>
    </row>
    <row r="27" spans="1:7" x14ac:dyDescent="0.25">
      <c r="A27" s="101" t="s">
        <v>533</v>
      </c>
      <c r="B27" s="17">
        <v>61337685</v>
      </c>
      <c r="C27" s="17">
        <v>24741600</v>
      </c>
      <c r="D27" s="17">
        <f t="shared" si="0"/>
        <v>24741600</v>
      </c>
      <c r="E27" s="49">
        <f>VLOOKUP($A27,'Data shares'!$C:$FA,128)*100</f>
        <v>90.88000000000001</v>
      </c>
      <c r="F27" s="49">
        <f>VLOOKUP($A27,'Data shares'!$C:$FA,129)</f>
        <v>6445675</v>
      </c>
      <c r="G27" s="17"/>
    </row>
    <row r="28" spans="1:7" x14ac:dyDescent="0.25">
      <c r="A28" s="101" t="s">
        <v>502</v>
      </c>
      <c r="B28" s="17">
        <v>5165920</v>
      </c>
      <c r="C28" s="17">
        <v>1179400</v>
      </c>
      <c r="D28" s="17">
        <f t="shared" si="0"/>
        <v>1179400</v>
      </c>
      <c r="E28" s="49">
        <f>VLOOKUP($A28,'Data shares'!$C:$FA,128)*100</f>
        <v>79.25</v>
      </c>
      <c r="F28" s="49">
        <f>VLOOKUP($A28,'Data shares'!$C:$FA,129)</f>
        <v>1692875</v>
      </c>
      <c r="G28" s="17"/>
    </row>
    <row r="29" spans="1:7" x14ac:dyDescent="0.25">
      <c r="A29" s="101" t="s">
        <v>474</v>
      </c>
      <c r="B29" s="17">
        <v>7339737</v>
      </c>
      <c r="C29" s="17">
        <v>979625</v>
      </c>
      <c r="D29" s="17">
        <f t="shared" si="0"/>
        <v>979625</v>
      </c>
      <c r="E29" s="49">
        <f>VLOOKUP($A29,'Data shares'!$C:$FA,128)*100</f>
        <v>86.45</v>
      </c>
      <c r="F29" s="49">
        <f>VLOOKUP($A29,'Data shares'!$C:$FA,129)</f>
        <v>2793600</v>
      </c>
      <c r="G29" s="17"/>
    </row>
    <row r="30" spans="1:7" x14ac:dyDescent="0.25">
      <c r="A30" s="101" t="s">
        <v>158</v>
      </c>
      <c r="B30" s="17">
        <v>17078428</v>
      </c>
      <c r="C30" s="17">
        <v>3648750</v>
      </c>
      <c r="D30" s="17">
        <f t="shared" si="0"/>
        <v>3648750</v>
      </c>
      <c r="E30" s="49">
        <f>VLOOKUP($A30,'Data shares'!$C:$FA,128)*100</f>
        <v>93.24</v>
      </c>
      <c r="F30" s="49">
        <f>VLOOKUP($A30,'Data shares'!$C:$FA,129)</f>
        <v>50610600</v>
      </c>
      <c r="G30" s="17"/>
    </row>
    <row r="31" spans="1:7" x14ac:dyDescent="0.25">
      <c r="A31" s="101" t="s">
        <v>268</v>
      </c>
      <c r="B31" s="17">
        <v>948263976</v>
      </c>
      <c r="C31" s="17">
        <v>170042400</v>
      </c>
      <c r="D31" s="17">
        <f t="shared" si="0"/>
        <v>170042400</v>
      </c>
      <c r="E31" s="49">
        <f>VLOOKUP($A31,'Data shares'!$C:$FA,128)*100</f>
        <v>77.429999999999993</v>
      </c>
      <c r="F31" s="49">
        <f>VLOOKUP($A31,'Data shares'!$C:$FA,129)</f>
        <v>51499500</v>
      </c>
      <c r="G31" s="17"/>
    </row>
    <row r="32" spans="1:7" x14ac:dyDescent="0.25">
      <c r="A32" s="101" t="s">
        <v>557</v>
      </c>
      <c r="B32" s="17">
        <v>51441633</v>
      </c>
      <c r="C32" s="17">
        <v>26329600</v>
      </c>
      <c r="D32" s="17">
        <f t="shared" si="0"/>
        <v>26329600</v>
      </c>
      <c r="E32" s="49">
        <f>VLOOKUP($A32,'Data shares'!$C:$FA,128)*100</f>
        <v>89.52</v>
      </c>
      <c r="F32" s="49">
        <f>VLOOKUP($A32,'Data shares'!$C:$FA,129)</f>
        <v>5667300</v>
      </c>
      <c r="G32" s="17"/>
    </row>
    <row r="33" spans="1:7" x14ac:dyDescent="0.25">
      <c r="A33" s="101" t="s">
        <v>549</v>
      </c>
      <c r="B33" s="17">
        <v>319287188</v>
      </c>
      <c r="C33" s="17">
        <v>149780000</v>
      </c>
      <c r="D33" s="17">
        <f t="shared" si="0"/>
        <v>149780000</v>
      </c>
      <c r="E33" s="49">
        <f>VLOOKUP($A33,'Data shares'!$C:$FA,128)*100</f>
        <v>81.14</v>
      </c>
      <c r="F33" s="49">
        <f>VLOOKUP($A33,'Data shares'!$C:$FA,129)</f>
        <v>3548590800</v>
      </c>
      <c r="G33" s="17"/>
    </row>
    <row r="34" spans="1:7" x14ac:dyDescent="0.25">
      <c r="A34" s="101" t="s">
        <v>536</v>
      </c>
      <c r="B34" s="17">
        <v>57585215</v>
      </c>
      <c r="C34" s="17">
        <v>5314000</v>
      </c>
      <c r="D34" s="17">
        <f t="shared" si="0"/>
        <v>5314000</v>
      </c>
      <c r="E34" s="49">
        <f>VLOOKUP($A34,'Data shares'!$C:$FA,128)*100</f>
        <v>89.149999999999991</v>
      </c>
      <c r="F34" s="49">
        <f>VLOOKUP($A34,'Data shares'!$C:$FA,129)</f>
        <v>12917600</v>
      </c>
      <c r="G34" s="17"/>
    </row>
    <row r="35" spans="1:7" x14ac:dyDescent="0.25">
      <c r="A35" s="101" t="s">
        <v>270</v>
      </c>
      <c r="B35" s="17">
        <v>1178038</v>
      </c>
      <c r="C35" s="17">
        <v>100890</v>
      </c>
      <c r="D35" s="17">
        <f t="shared" si="0"/>
        <v>100890</v>
      </c>
      <c r="E35" s="49">
        <f>VLOOKUP($A35,'Data shares'!$C:$FA,128)*100</f>
        <v>87.5</v>
      </c>
      <c r="F35" s="49">
        <f>VLOOKUP($A35,'Data shares'!$C:$FA,129)</f>
        <v>150120</v>
      </c>
      <c r="G35" s="17"/>
    </row>
    <row r="36" spans="1:7" x14ac:dyDescent="0.25">
      <c r="A36" s="101" t="s">
        <v>258</v>
      </c>
      <c r="B36" s="17">
        <v>13335005</v>
      </c>
      <c r="C36" s="17">
        <v>5970600</v>
      </c>
      <c r="D36" s="17">
        <f t="shared" si="0"/>
        <v>5970600</v>
      </c>
      <c r="E36" s="49">
        <f>VLOOKUP($A36,'Data shares'!$C:$FA,128)*100</f>
        <v>85.25</v>
      </c>
      <c r="F36" s="49">
        <f>VLOOKUP($A36,'Data shares'!$C:$FA,129)</f>
        <v>3704000</v>
      </c>
      <c r="G36" s="17"/>
    </row>
    <row r="37" spans="1:7" x14ac:dyDescent="0.25">
      <c r="A37" s="101" t="s">
        <v>301</v>
      </c>
      <c r="B37" s="17">
        <v>14428803</v>
      </c>
      <c r="C37" s="17">
        <v>2171400</v>
      </c>
      <c r="D37" s="17">
        <f t="shared" si="0"/>
        <v>2171400</v>
      </c>
      <c r="E37" s="49">
        <f>VLOOKUP($A37,'Data shares'!$C:$FA,128)*100</f>
        <v>83.07</v>
      </c>
      <c r="F37" s="49">
        <f>VLOOKUP($A37,'Data shares'!$C:$FA,129)</f>
        <v>5591950</v>
      </c>
      <c r="G37" s="17"/>
    </row>
    <row r="38" spans="1:7" x14ac:dyDescent="0.25">
      <c r="A38" s="101" t="s">
        <v>283</v>
      </c>
      <c r="B38" s="17">
        <v>747713393</v>
      </c>
      <c r="C38" s="17">
        <v>158166000</v>
      </c>
      <c r="D38" s="17">
        <f t="shared" si="0"/>
        <v>158166000</v>
      </c>
      <c r="E38" s="49">
        <f>VLOOKUP($A38,'Data shares'!$C:$FA,128)*100</f>
        <v>78.33</v>
      </c>
      <c r="F38" s="49">
        <f>VLOOKUP($A38,'Data shares'!$C:$FA,129)</f>
        <v>54015000</v>
      </c>
      <c r="G38" s="17"/>
    </row>
    <row r="39" spans="1:7" x14ac:dyDescent="0.25">
      <c r="A39" s="101" t="s">
        <v>281</v>
      </c>
      <c r="B39" s="17">
        <v>648405756</v>
      </c>
      <c r="C39" s="17">
        <v>61815500</v>
      </c>
      <c r="D39" s="17">
        <f t="shared" si="0"/>
        <v>61815500</v>
      </c>
      <c r="E39" s="49">
        <f>VLOOKUP($A39,'Data shares'!$C:$FA,128)*100</f>
        <v>80.42</v>
      </c>
      <c r="F39" s="49">
        <f>VLOOKUP($A39,'Data shares'!$C:$FA,129)</f>
        <v>73173500</v>
      </c>
      <c r="G39" s="17"/>
    </row>
    <row r="40" spans="1:7" x14ac:dyDescent="0.25">
      <c r="A40" s="101" t="s">
        <v>198</v>
      </c>
      <c r="B40" s="17">
        <v>79546680</v>
      </c>
      <c r="C40" s="17">
        <v>13283750</v>
      </c>
      <c r="D40" s="17">
        <f t="shared" si="0"/>
        <v>13283750</v>
      </c>
      <c r="E40" s="49">
        <f>VLOOKUP($A40,'Data shares'!$C:$FA,128)*100</f>
        <v>90.08</v>
      </c>
      <c r="F40" s="49">
        <f>VLOOKUP($A40,'Data shares'!$C:$FA,129)</f>
        <v>11974375</v>
      </c>
      <c r="G40" s="17"/>
    </row>
    <row r="41" spans="1:7" x14ac:dyDescent="0.25">
      <c r="A41" s="101" t="s">
        <v>299</v>
      </c>
      <c r="B41" s="17">
        <v>44634693</v>
      </c>
      <c r="C41" s="17">
        <v>3805500</v>
      </c>
      <c r="D41" s="17">
        <f t="shared" si="0"/>
        <v>3805500</v>
      </c>
      <c r="E41" s="49">
        <f>VLOOKUP($A41,'Data shares'!$C:$FA,128)*100</f>
        <v>80.38</v>
      </c>
      <c r="F41" s="49">
        <f>VLOOKUP($A41,'Data shares'!$C:$FA,129)</f>
        <v>1770750</v>
      </c>
      <c r="G41" s="17"/>
    </row>
    <row r="42" spans="1:7" x14ac:dyDescent="0.25">
      <c r="A42" s="101" t="s">
        <v>273</v>
      </c>
      <c r="B42" s="17">
        <v>232357926</v>
      </c>
      <c r="C42" s="17">
        <v>67053000</v>
      </c>
      <c r="D42" s="17">
        <f t="shared" si="0"/>
        <v>67053000</v>
      </c>
      <c r="E42" s="49">
        <f>VLOOKUP($A42,'Data shares'!$C:$FA,128)*100</f>
        <v>70.399999999999991</v>
      </c>
      <c r="F42" s="49">
        <f>VLOOKUP($A42,'Data shares'!$C:$FA,129)</f>
        <v>32713200</v>
      </c>
      <c r="G42" s="17"/>
    </row>
    <row r="43" spans="1:7" x14ac:dyDescent="0.25">
      <c r="A43" s="101" t="s">
        <v>207</v>
      </c>
      <c r="B43" s="17">
        <v>124016568</v>
      </c>
      <c r="C43" s="17">
        <v>57530550</v>
      </c>
      <c r="D43" s="17">
        <f t="shared" si="0"/>
        <v>57530550</v>
      </c>
      <c r="E43" s="49">
        <f>VLOOKUP($A43,'Data shares'!$C:$FA,128)*100</f>
        <v>79.239999999999995</v>
      </c>
      <c r="F43" s="49">
        <f>VLOOKUP($A43,'Data shares'!$C:$FA,129)</f>
        <v>18744825</v>
      </c>
      <c r="G43" s="17"/>
    </row>
    <row r="44" spans="1:7" x14ac:dyDescent="0.25">
      <c r="A44" s="101" t="s">
        <v>191</v>
      </c>
      <c r="B44" s="17">
        <v>92946457</v>
      </c>
      <c r="C44" s="17">
        <v>36478000</v>
      </c>
      <c r="D44" s="17">
        <f t="shared" si="0"/>
        <v>36478000</v>
      </c>
      <c r="E44" s="49">
        <f>VLOOKUP($A44,'Data shares'!$C:$FA,128)*100</f>
        <v>79.349999999999994</v>
      </c>
      <c r="F44" s="49">
        <f>VLOOKUP($A44,'Data shares'!$C:$FA,129)</f>
        <v>21272500</v>
      </c>
      <c r="G44" s="17"/>
    </row>
    <row r="45" spans="1:7" x14ac:dyDescent="0.25">
      <c r="A45" s="101" t="s">
        <v>288</v>
      </c>
      <c r="B45" s="17">
        <v>218440087</v>
      </c>
      <c r="C45" s="17">
        <v>44080400</v>
      </c>
      <c r="D45" s="17">
        <f t="shared" si="0"/>
        <v>44080400</v>
      </c>
      <c r="E45" s="49">
        <f>VLOOKUP($A45,'Data shares'!$C:$FA,128)*100</f>
        <v>86.11</v>
      </c>
      <c r="F45" s="49">
        <f>VLOOKUP($A45,'Data shares'!$C:$FA,129)</f>
        <v>10447150</v>
      </c>
      <c r="G45" s="17"/>
    </row>
    <row r="46" spans="1:7" x14ac:dyDescent="0.25">
      <c r="A46" s="101" t="s">
        <v>275</v>
      </c>
      <c r="B46" s="17">
        <v>591377974</v>
      </c>
      <c r="C46" s="17">
        <v>493488000</v>
      </c>
      <c r="D46" s="17">
        <f t="shared" si="0"/>
        <v>493488000</v>
      </c>
      <c r="E46" s="49">
        <f>VLOOKUP($A46,'Data shares'!$C:$FA,128)*100</f>
        <v>83.6</v>
      </c>
      <c r="F46" s="49">
        <f>VLOOKUP($A46,'Data shares'!$C:$FA,129)</f>
        <v>128192000</v>
      </c>
      <c r="G46" s="17"/>
    </row>
    <row r="47" spans="1:7" x14ac:dyDescent="0.25">
      <c r="A47" s="101" t="s">
        <v>277</v>
      </c>
      <c r="B47" s="17">
        <v>10116165</v>
      </c>
      <c r="C47" s="17">
        <v>7378910</v>
      </c>
      <c r="D47" s="17">
        <f t="shared" si="0"/>
        <v>7378910</v>
      </c>
      <c r="E47" s="49">
        <f>VLOOKUP($A47,'Data shares'!$C:$FA,128)*100</f>
        <v>76.709999999999994</v>
      </c>
      <c r="F47" s="49">
        <f>VLOOKUP($A47,'Data shares'!$C:$FA,129)</f>
        <v>2014650</v>
      </c>
      <c r="G47" s="17"/>
    </row>
    <row r="48" spans="1:7" x14ac:dyDescent="0.25">
      <c r="A48" s="101" t="s">
        <v>196</v>
      </c>
      <c r="B48" s="17">
        <v>134484114</v>
      </c>
      <c r="C48" s="17">
        <v>73278000</v>
      </c>
      <c r="D48" s="17">
        <f t="shared" si="0"/>
        <v>73278000</v>
      </c>
      <c r="E48" s="49">
        <f>VLOOKUP($A48,'Data shares'!$C:$FA,128)*100</f>
        <v>81.73</v>
      </c>
      <c r="F48" s="49">
        <f>VLOOKUP($A48,'Data shares'!$C:$FA,129)</f>
        <v>146407500</v>
      </c>
      <c r="G48" s="17"/>
    </row>
    <row r="49" spans="1:7" x14ac:dyDescent="0.25">
      <c r="A49" s="101" t="s">
        <v>287</v>
      </c>
      <c r="B49" s="17">
        <v>40005132</v>
      </c>
      <c r="C49" s="17">
        <v>6264400</v>
      </c>
      <c r="D49" s="17">
        <f t="shared" si="0"/>
        <v>6264400</v>
      </c>
      <c r="E49" s="49">
        <f>VLOOKUP($A49,'Data shares'!$C:$FA,128)*100</f>
        <v>84.55</v>
      </c>
      <c r="F49" s="49">
        <f>VLOOKUP($A49,'Data shares'!$C:$FA,129)</f>
        <v>1483800</v>
      </c>
      <c r="G49" s="17"/>
    </row>
    <row r="50" spans="1:7" x14ac:dyDescent="0.25">
      <c r="A50" s="101" t="s">
        <v>553</v>
      </c>
      <c r="B50" s="17">
        <v>10595418</v>
      </c>
      <c r="C50" s="17">
        <v>250250</v>
      </c>
      <c r="D50" s="17">
        <f t="shared" si="0"/>
        <v>250250</v>
      </c>
      <c r="E50" s="49">
        <f>VLOOKUP($A50,'Data shares'!$C:$FA,128)*100</f>
        <v>86.76</v>
      </c>
      <c r="F50" s="49">
        <f>VLOOKUP($A50,'Data shares'!$C:$FA,129)</f>
        <v>1782375</v>
      </c>
      <c r="G50" s="17"/>
    </row>
    <row r="51" spans="1:7" x14ac:dyDescent="0.25">
      <c r="A51" s="101" t="s">
        <v>519</v>
      </c>
      <c r="B51" s="17">
        <v>9516271</v>
      </c>
      <c r="C51" s="17">
        <v>1000800</v>
      </c>
      <c r="D51" s="17">
        <f t="shared" si="0"/>
        <v>1000800</v>
      </c>
      <c r="E51" s="49">
        <f>VLOOKUP($A51,'Data shares'!$C:$FA,128)*100</f>
        <v>74.95</v>
      </c>
      <c r="F51" s="49">
        <f>VLOOKUP($A51,'Data shares'!$C:$FA,129)</f>
        <v>1071250</v>
      </c>
      <c r="G51" s="17"/>
    </row>
    <row r="52" spans="1:7" x14ac:dyDescent="0.25">
      <c r="A52" s="101" t="s">
        <v>550</v>
      </c>
      <c r="B52" s="17">
        <v>137684181</v>
      </c>
      <c r="C52" s="17">
        <v>42696000</v>
      </c>
      <c r="D52" s="17">
        <f t="shared" si="0"/>
        <v>42696000</v>
      </c>
      <c r="E52" s="49">
        <f>VLOOKUP($A52,'Data shares'!$C:$FA,128)*100</f>
        <v>68.150000000000006</v>
      </c>
      <c r="F52" s="49">
        <f>VLOOKUP($A52,'Data shares'!$C:$FA,129)</f>
        <v>29789500</v>
      </c>
      <c r="G52" s="17"/>
    </row>
    <row r="53" spans="1:7" x14ac:dyDescent="0.25">
      <c r="A53" s="101" t="s">
        <v>284</v>
      </c>
      <c r="B53" s="17">
        <v>2702190</v>
      </c>
      <c r="C53" s="17">
        <v>250575</v>
      </c>
      <c r="D53" s="17">
        <f t="shared" si="0"/>
        <v>250575</v>
      </c>
      <c r="E53" s="49">
        <f>VLOOKUP($A53,'Data shares'!$C:$FA,128)*100</f>
        <v>85.2</v>
      </c>
      <c r="F53" s="49">
        <f>VLOOKUP($A53,'Data shares'!$C:$FA,129)</f>
        <v>185800</v>
      </c>
      <c r="G53" s="17"/>
    </row>
    <row r="54" spans="1:7" x14ac:dyDescent="0.25">
      <c r="A54" s="101" t="s">
        <v>488</v>
      </c>
      <c r="B54" s="17">
        <v>5499709</v>
      </c>
      <c r="C54" s="17">
        <v>1097600</v>
      </c>
      <c r="D54" s="17">
        <f t="shared" si="0"/>
        <v>1097600</v>
      </c>
      <c r="E54" s="49">
        <f>VLOOKUP($A54,'Data shares'!$C:$FA,128)*100</f>
        <v>76.19</v>
      </c>
      <c r="F54" s="49">
        <f>VLOOKUP($A54,'Data shares'!$C:$FA,129)</f>
        <v>1765050</v>
      </c>
      <c r="G54" s="17"/>
    </row>
    <row r="55" spans="1:7" x14ac:dyDescent="0.25">
      <c r="A55" s="101" t="s">
        <v>523</v>
      </c>
      <c r="B55" s="17">
        <v>118085392</v>
      </c>
      <c r="C55" s="17">
        <v>6549400</v>
      </c>
      <c r="D55" s="17">
        <f t="shared" si="0"/>
        <v>6549400</v>
      </c>
      <c r="E55" s="49">
        <f>VLOOKUP($A55,'Data shares'!$C:$FA,128)*100</f>
        <v>85.54</v>
      </c>
      <c r="F55" s="49">
        <f>VLOOKUP($A55,'Data shares'!$C:$FA,129)</f>
        <v>36073800</v>
      </c>
      <c r="G55" s="17"/>
    </row>
    <row r="56" spans="1:7" x14ac:dyDescent="0.25">
      <c r="A56" s="101" t="s">
        <v>485</v>
      </c>
      <c r="B56" s="17">
        <v>6917069</v>
      </c>
      <c r="C56" s="17">
        <v>762075</v>
      </c>
      <c r="D56" s="17">
        <f t="shared" si="0"/>
        <v>762075</v>
      </c>
      <c r="E56" s="49">
        <f>VLOOKUP($A56,'Data shares'!$C:$FA,128)*100</f>
        <v>86.550000000000011</v>
      </c>
      <c r="F56" s="49">
        <f>VLOOKUP($A56,'Data shares'!$C:$FA,129)</f>
        <v>5923125</v>
      </c>
      <c r="G56" s="17"/>
    </row>
    <row r="57" spans="1:7" x14ac:dyDescent="0.25">
      <c r="A57" s="101" t="s">
        <v>178</v>
      </c>
      <c r="B57" s="17">
        <v>16125398</v>
      </c>
      <c r="C57" s="17">
        <v>1552600</v>
      </c>
      <c r="D57" s="17">
        <f t="shared" si="0"/>
        <v>1552600</v>
      </c>
      <c r="E57" s="49">
        <f>VLOOKUP($A57,'Data shares'!$C:$FA,128)*100</f>
        <v>87.72</v>
      </c>
      <c r="F57" s="49">
        <f>VLOOKUP($A57,'Data shares'!$C:$FA,129)</f>
        <v>59975250</v>
      </c>
      <c r="G57" s="17"/>
    </row>
    <row r="58" spans="1:7" x14ac:dyDescent="0.25">
      <c r="A58" s="101" t="s">
        <v>240</v>
      </c>
      <c r="B58" s="17">
        <v>727896180</v>
      </c>
      <c r="C58" s="17">
        <v>46526100</v>
      </c>
      <c r="D58" s="17">
        <f t="shared" si="0"/>
        <v>46526100</v>
      </c>
      <c r="E58" s="49">
        <f>VLOOKUP($A58,'Data shares'!$C:$FA,128)*100</f>
        <v>82.42</v>
      </c>
      <c r="F58" s="49">
        <f>VLOOKUP($A58,'Data shares'!$C:$FA,129)</f>
        <v>43578400</v>
      </c>
      <c r="G58" s="17"/>
    </row>
    <row r="59" spans="1:7" x14ac:dyDescent="0.25">
      <c r="A59" s="101" t="s">
        <v>202</v>
      </c>
      <c r="B59" s="17">
        <v>55081874</v>
      </c>
      <c r="C59" s="17">
        <v>10856000</v>
      </c>
      <c r="D59" s="17">
        <f t="shared" si="0"/>
        <v>10856000</v>
      </c>
      <c r="E59" s="49">
        <f>VLOOKUP($A59,'Data shares'!$C:$FA,128)*100</f>
        <v>80.83</v>
      </c>
      <c r="F59" s="49">
        <f>VLOOKUP($A59,'Data shares'!$C:$FA,129)</f>
        <v>17380000</v>
      </c>
      <c r="G59" s="17"/>
    </row>
    <row r="60" spans="1:7" x14ac:dyDescent="0.25">
      <c r="A60" s="101" t="s">
        <v>245</v>
      </c>
      <c r="B60" s="17">
        <v>15273675</v>
      </c>
      <c r="C60" s="17">
        <v>5077125</v>
      </c>
      <c r="D60" s="17">
        <f t="shared" si="0"/>
        <v>5077125</v>
      </c>
      <c r="E60" s="49">
        <f>VLOOKUP($A60,'Data shares'!$C:$FA,128)*100</f>
        <v>83.94</v>
      </c>
      <c r="F60" s="49">
        <f>VLOOKUP($A60,'Data shares'!$C:$FA,129)</f>
        <v>13087500</v>
      </c>
      <c r="G60" s="17"/>
    </row>
    <row r="61" spans="1:7" x14ac:dyDescent="0.25">
      <c r="A61" s="101" t="s">
        <v>173</v>
      </c>
      <c r="B61" s="17">
        <v>541823383</v>
      </c>
      <c r="C61" s="17">
        <v>95378400</v>
      </c>
      <c r="D61" s="17">
        <f t="shared" si="0"/>
        <v>95378400</v>
      </c>
      <c r="E61" s="49">
        <f>VLOOKUP($A61,'Data shares'!$C:$FA,128)*100</f>
        <v>82.69</v>
      </c>
      <c r="F61" s="49">
        <f>VLOOKUP($A61,'Data shares'!$C:$FA,129)</f>
        <v>58136250</v>
      </c>
      <c r="G61" s="17"/>
    </row>
    <row r="62" spans="1:7" x14ac:dyDescent="0.25">
      <c r="A62" s="101" t="s">
        <v>234</v>
      </c>
      <c r="B62" s="17">
        <v>1606294231</v>
      </c>
      <c r="C62" s="17">
        <v>1302000000</v>
      </c>
      <c r="D62" s="17">
        <f t="shared" si="0"/>
        <v>1302000000</v>
      </c>
      <c r="E62" s="49">
        <f>VLOOKUP($A62,'Data shares'!$C:$FA,128)*100</f>
        <v>81.14</v>
      </c>
      <c r="F62" s="49">
        <f>VLOOKUP($A62,'Data shares'!$C:$FA,129)</f>
        <v>3548590800</v>
      </c>
      <c r="G62" s="17"/>
    </row>
    <row r="63" spans="1:7" x14ac:dyDescent="0.25">
      <c r="A63" s="101" t="s">
        <v>235</v>
      </c>
      <c r="B63" s="17">
        <v>789260827</v>
      </c>
      <c r="C63" s="17">
        <v>462303900</v>
      </c>
      <c r="D63" s="17">
        <f t="shared" si="0"/>
        <v>462303900</v>
      </c>
      <c r="E63" s="49">
        <f>VLOOKUP($A63,'Data shares'!$C:$FA,128)*100</f>
        <v>85.61</v>
      </c>
      <c r="F63" s="49">
        <f>VLOOKUP($A63,'Data shares'!$C:$FA,129)</f>
        <v>266758275</v>
      </c>
      <c r="G63" s="17"/>
    </row>
    <row r="64" spans="1:7" x14ac:dyDescent="0.25">
      <c r="A64" s="101" t="s">
        <v>482</v>
      </c>
      <c r="B64" s="17">
        <v>44785930</v>
      </c>
      <c r="C64" s="17">
        <v>4025925</v>
      </c>
      <c r="D64" s="17">
        <f t="shared" si="0"/>
        <v>4025925</v>
      </c>
      <c r="E64" s="49">
        <f>VLOOKUP($A64,'Data shares'!$C:$FA,128)*100</f>
        <v>79.820000000000007</v>
      </c>
      <c r="F64" s="49">
        <f>VLOOKUP($A64,'Data shares'!$C:$FA,129)</f>
        <v>4915400</v>
      </c>
      <c r="G64" s="17"/>
    </row>
    <row r="65" spans="1:7" x14ac:dyDescent="0.25">
      <c r="A65" s="101" t="s">
        <v>475</v>
      </c>
      <c r="B65" s="17">
        <v>13287700</v>
      </c>
      <c r="C65" s="17">
        <v>3968400</v>
      </c>
      <c r="D65" s="17">
        <f t="shared" si="0"/>
        <v>3968400</v>
      </c>
      <c r="E65" s="49">
        <f>VLOOKUP($A65,'Data shares'!$C:$FA,128)*100</f>
        <v>83.77</v>
      </c>
      <c r="F65" s="49">
        <f>VLOOKUP($A65,'Data shares'!$C:$FA,129)</f>
        <v>1288050</v>
      </c>
      <c r="G65" s="17"/>
    </row>
    <row r="66" spans="1:7" x14ac:dyDescent="0.25">
      <c r="A66" s="101" t="s">
        <v>306</v>
      </c>
      <c r="B66" s="17">
        <v>292716179</v>
      </c>
      <c r="C66" s="17">
        <v>57797600</v>
      </c>
      <c r="D66" s="17">
        <f t="shared" si="0"/>
        <v>57797600</v>
      </c>
      <c r="E66" s="49">
        <f>VLOOKUP($A66,'Data shares'!$C:$FA,128)*100</f>
        <v>86.42</v>
      </c>
      <c r="F66" s="49">
        <f>VLOOKUP($A66,'Data shares'!$C:$FA,129)</f>
        <v>112578000</v>
      </c>
      <c r="G66" s="17"/>
    </row>
    <row r="67" spans="1:7" x14ac:dyDescent="0.25">
      <c r="A67" s="101" t="s">
        <v>262</v>
      </c>
      <c r="B67" s="17">
        <v>21376133</v>
      </c>
      <c r="C67" s="17">
        <v>5958375</v>
      </c>
      <c r="D67" s="17">
        <f t="shared" si="0"/>
        <v>5958375</v>
      </c>
      <c r="E67" s="49">
        <f>VLOOKUP($A67,'Data shares'!$C:$FA,128)*100</f>
        <v>81.8</v>
      </c>
      <c r="F67" s="49">
        <f>VLOOKUP($A67,'Data shares'!$C:$FA,129)</f>
        <v>2038850</v>
      </c>
      <c r="G67" s="17"/>
    </row>
    <row r="68" spans="1:7" x14ac:dyDescent="0.25">
      <c r="A68" s="101" t="s">
        <v>174</v>
      </c>
      <c r="B68" s="17">
        <v>26775498</v>
      </c>
      <c r="C68" s="17">
        <v>3494750</v>
      </c>
      <c r="D68" s="17">
        <f t="shared" si="0"/>
        <v>3494750</v>
      </c>
      <c r="E68" s="49">
        <f>VLOOKUP($A68,'Data shares'!$C:$FA,128)*100</f>
        <v>88.070000000000007</v>
      </c>
      <c r="F68" s="49">
        <f>VLOOKUP($A68,'Data shares'!$C:$FA,129)</f>
        <v>2299575</v>
      </c>
      <c r="G68" s="17"/>
    </row>
    <row r="69" spans="1:7" x14ac:dyDescent="0.25">
      <c r="A69" s="101" t="s">
        <v>286</v>
      </c>
      <c r="B69" s="17">
        <v>29168705</v>
      </c>
      <c r="C69" s="17">
        <v>6373125</v>
      </c>
      <c r="D69" s="17">
        <f t="shared" si="0"/>
        <v>6373125</v>
      </c>
      <c r="E69" s="49">
        <f>VLOOKUP($A69,'Data shares'!$C:$FA,128)*100</f>
        <v>84.55</v>
      </c>
      <c r="F69" s="49">
        <f>VLOOKUP($A69,'Data shares'!$C:$FA,129)</f>
        <v>1483800</v>
      </c>
      <c r="G69" s="17"/>
    </row>
    <row r="70" spans="1:7" x14ac:dyDescent="0.25">
      <c r="A70" s="101" t="s">
        <v>297</v>
      </c>
      <c r="B70" s="17">
        <v>83636848</v>
      </c>
      <c r="C70" s="17">
        <v>13455750</v>
      </c>
      <c r="D70" s="17">
        <f t="shared" si="0"/>
        <v>13455750</v>
      </c>
      <c r="E70" s="49">
        <f>VLOOKUP($A70,'Data shares'!$C:$FA,128)*100</f>
        <v>79.41</v>
      </c>
      <c r="F70" s="49">
        <f>VLOOKUP($A70,'Data shares'!$C:$FA,129)</f>
        <v>6868925</v>
      </c>
      <c r="G70" s="17"/>
    </row>
    <row r="71" spans="1:7" x14ac:dyDescent="0.25">
      <c r="A71" s="101" t="s">
        <v>302</v>
      </c>
      <c r="B71" s="17">
        <v>23058222</v>
      </c>
      <c r="C71" s="17">
        <v>3980500</v>
      </c>
      <c r="D71" s="17">
        <f t="shared" ref="D71:D134" si="1">C71</f>
        <v>3980500</v>
      </c>
      <c r="E71" s="49">
        <f>VLOOKUP($A71,'Data shares'!$C:$FA,128)*100</f>
        <v>79.459999999999994</v>
      </c>
      <c r="F71" s="49">
        <f>VLOOKUP($A71,'Data shares'!$C:$FA,129)</f>
        <v>1396100</v>
      </c>
      <c r="G71" s="17"/>
    </row>
    <row r="72" spans="1:7" x14ac:dyDescent="0.25">
      <c r="A72" s="101" t="s">
        <v>307</v>
      </c>
      <c r="B72" s="17">
        <v>184439886</v>
      </c>
      <c r="C72" s="17">
        <v>122460000</v>
      </c>
      <c r="D72" s="17">
        <f t="shared" si="1"/>
        <v>122460000</v>
      </c>
      <c r="E72" s="49">
        <f>VLOOKUP($A72,'Data shares'!$C:$FA,128)*100</f>
        <v>76.13</v>
      </c>
      <c r="F72" s="49">
        <f>VLOOKUP($A72,'Data shares'!$C:$FA,129)</f>
        <v>569627600</v>
      </c>
      <c r="G72" s="17"/>
    </row>
    <row r="73" spans="1:7" x14ac:dyDescent="0.25">
      <c r="A73" s="101" t="s">
        <v>177</v>
      </c>
      <c r="B73" s="17">
        <v>52956314</v>
      </c>
      <c r="C73" s="17">
        <v>7784625</v>
      </c>
      <c r="D73" s="17">
        <f t="shared" si="1"/>
        <v>7784625</v>
      </c>
      <c r="E73" s="49">
        <f>VLOOKUP($A73,'Data shares'!$C:$FA,128)*100</f>
        <v>87.72</v>
      </c>
      <c r="F73" s="49">
        <f>VLOOKUP($A73,'Data shares'!$C:$FA,129)</f>
        <v>59975250</v>
      </c>
      <c r="G73" s="17"/>
    </row>
    <row r="74" spans="1:7" x14ac:dyDescent="0.25">
      <c r="A74" s="101" t="s">
        <v>545</v>
      </c>
      <c r="B74" s="17">
        <v>23498849</v>
      </c>
      <c r="C74" s="17">
        <v>15745600</v>
      </c>
      <c r="D74" s="17">
        <f t="shared" si="1"/>
        <v>15745600</v>
      </c>
      <c r="E74" s="49">
        <f>VLOOKUP($A74,'Data shares'!$C:$FA,128)*100</f>
        <v>87.72</v>
      </c>
      <c r="F74" s="49">
        <f>VLOOKUP($A74,'Data shares'!$C:$FA,129)</f>
        <v>59975250</v>
      </c>
      <c r="G74" s="17"/>
    </row>
    <row r="75" spans="1:7" x14ac:dyDescent="0.25">
      <c r="A75" s="101" t="s">
        <v>185</v>
      </c>
      <c r="B75" s="17">
        <v>238123793</v>
      </c>
      <c r="C75" s="17">
        <v>59926000</v>
      </c>
      <c r="D75" s="17">
        <f t="shared" si="1"/>
        <v>59926000</v>
      </c>
      <c r="E75" s="49">
        <f>VLOOKUP($A75,'Data shares'!$C:$FA,128)*100</f>
        <v>83.43</v>
      </c>
      <c r="F75" s="49">
        <f>VLOOKUP($A75,'Data shares'!$C:$FA,129)</f>
        <v>66926550</v>
      </c>
      <c r="G75" s="17"/>
    </row>
    <row r="76" spans="1:7" x14ac:dyDescent="0.25">
      <c r="A76" s="101" t="s">
        <v>219</v>
      </c>
      <c r="B76" s="17">
        <v>75317259</v>
      </c>
      <c r="C76" s="17">
        <v>12188500</v>
      </c>
      <c r="D76" s="17">
        <f t="shared" si="1"/>
        <v>12188500</v>
      </c>
      <c r="E76" s="49">
        <f>VLOOKUP($A76,'Data shares'!$C:$FA,128)*100</f>
        <v>83.2</v>
      </c>
      <c r="F76" s="49">
        <f>VLOOKUP($A76,'Data shares'!$C:$FA,129)</f>
        <v>10190250</v>
      </c>
      <c r="G76" s="17"/>
    </row>
    <row r="77" spans="1:7" x14ac:dyDescent="0.25">
      <c r="A77" s="101" t="s">
        <v>534</v>
      </c>
      <c r="B77" s="17">
        <v>70381221</v>
      </c>
      <c r="C77" s="17">
        <v>3354100</v>
      </c>
      <c r="D77" s="17">
        <f t="shared" si="1"/>
        <v>3354100</v>
      </c>
      <c r="E77" s="49">
        <f>VLOOKUP($A77,'Data shares'!$C:$FA,128)*100</f>
        <v>83.2</v>
      </c>
      <c r="F77" s="49">
        <f>VLOOKUP($A77,'Data shares'!$C:$FA,129)</f>
        <v>10190250</v>
      </c>
      <c r="G77" s="17"/>
    </row>
    <row r="78" spans="1:7" x14ac:dyDescent="0.25">
      <c r="A78" s="101" t="s">
        <v>516</v>
      </c>
      <c r="B78" s="17">
        <v>27254349</v>
      </c>
      <c r="C78" s="17">
        <v>1133550</v>
      </c>
      <c r="D78" s="17">
        <f t="shared" si="1"/>
        <v>1133550</v>
      </c>
      <c r="E78" s="49">
        <f>VLOOKUP($A78,'Data shares'!$C:$FA,128)*100</f>
        <v>65.39</v>
      </c>
      <c r="F78" s="49">
        <f>VLOOKUP($A78,'Data shares'!$C:$FA,129)</f>
        <v>57505500</v>
      </c>
      <c r="G78" s="17"/>
    </row>
    <row r="79" spans="1:7" x14ac:dyDescent="0.25">
      <c r="A79" s="101" t="s">
        <v>271</v>
      </c>
      <c r="B79" s="17">
        <v>26746179</v>
      </c>
      <c r="C79" s="17">
        <v>5445825</v>
      </c>
      <c r="D79" s="17">
        <f t="shared" si="1"/>
        <v>5445825</v>
      </c>
      <c r="E79" s="49">
        <f>VLOOKUP($A79,'Data shares'!$C:$FA,128)*100</f>
        <v>86.99</v>
      </c>
      <c r="F79" s="49">
        <f>VLOOKUP($A79,'Data shares'!$C:$FA,129)</f>
        <v>13940300</v>
      </c>
      <c r="G79" s="17"/>
    </row>
    <row r="80" spans="1:7" x14ac:dyDescent="0.25">
      <c r="A80" s="101" t="s">
        <v>264</v>
      </c>
      <c r="B80" s="17">
        <v>15844192</v>
      </c>
      <c r="C80" s="17">
        <v>2354125</v>
      </c>
      <c r="D80" s="17">
        <f t="shared" si="1"/>
        <v>2354125</v>
      </c>
      <c r="E80" s="49">
        <f>VLOOKUP($A80,'Data shares'!$C:$FA,128)*100</f>
        <v>86.550000000000011</v>
      </c>
      <c r="F80" s="49">
        <f>VLOOKUP($A80,'Data shares'!$C:$FA,129)</f>
        <v>5923125</v>
      </c>
      <c r="G80" s="17"/>
    </row>
    <row r="81" spans="1:7" x14ac:dyDescent="0.25">
      <c r="A81" s="101" t="s">
        <v>208</v>
      </c>
      <c r="B81" s="17">
        <v>24296838</v>
      </c>
      <c r="C81" s="17">
        <v>5125750</v>
      </c>
      <c r="D81" s="17">
        <f t="shared" si="1"/>
        <v>5125750</v>
      </c>
      <c r="E81" s="49">
        <f>VLOOKUP($A81,'Data shares'!$C:$FA,128)*100</f>
        <v>81.679999999999993</v>
      </c>
      <c r="F81" s="49">
        <f>VLOOKUP($A81,'Data shares'!$C:$FA,129)</f>
        <v>7963750</v>
      </c>
      <c r="G81" s="17"/>
    </row>
    <row r="82" spans="1:7" x14ac:dyDescent="0.25">
      <c r="A82" s="101" t="s">
        <v>552</v>
      </c>
      <c r="B82" s="17">
        <v>23447901</v>
      </c>
      <c r="C82" s="17">
        <v>3785600</v>
      </c>
      <c r="D82" s="17">
        <f t="shared" si="1"/>
        <v>3785600</v>
      </c>
      <c r="E82" s="49">
        <f>VLOOKUP($A82,'Data shares'!$C:$FA,128)*100</f>
        <v>91.35</v>
      </c>
      <c r="F82" s="49">
        <f>VLOOKUP($A82,'Data shares'!$C:$FA,129)</f>
        <v>6284000</v>
      </c>
      <c r="G82" s="17"/>
    </row>
    <row r="83" spans="1:7" x14ac:dyDescent="0.25">
      <c r="A83" s="101" t="s">
        <v>204</v>
      </c>
      <c r="B83" s="17">
        <v>115362060</v>
      </c>
      <c r="C83" s="17">
        <v>19043750</v>
      </c>
      <c r="D83" s="17">
        <f t="shared" si="1"/>
        <v>19043750</v>
      </c>
      <c r="E83" s="49">
        <f>VLOOKUP($A83,'Data shares'!$C:$FA,128)*100</f>
        <v>76.010000000000005</v>
      </c>
      <c r="F83" s="49">
        <f>VLOOKUP($A83,'Data shares'!$C:$FA,129)</f>
        <v>12401250</v>
      </c>
      <c r="G83" s="17"/>
    </row>
    <row r="84" spans="1:7" x14ac:dyDescent="0.25">
      <c r="A84" s="101" t="s">
        <v>528</v>
      </c>
      <c r="B84" s="17">
        <v>23485458</v>
      </c>
      <c r="C84" s="17">
        <v>4272800</v>
      </c>
      <c r="D84" s="17">
        <f t="shared" si="1"/>
        <v>4272800</v>
      </c>
      <c r="E84" s="49">
        <f>VLOOKUP($A84,'Data shares'!$C:$FA,128)*100</f>
        <v>81.96</v>
      </c>
      <c r="F84" s="49">
        <f>VLOOKUP($A84,'Data shares'!$C:$FA,129)</f>
        <v>3003700</v>
      </c>
      <c r="G84" s="17"/>
    </row>
    <row r="85" spans="1:7" x14ac:dyDescent="0.25">
      <c r="A85" s="101" t="s">
        <v>551</v>
      </c>
      <c r="B85" s="17">
        <v>39593365</v>
      </c>
      <c r="C85" s="17">
        <v>12215000</v>
      </c>
      <c r="D85" s="17">
        <f t="shared" si="1"/>
        <v>12215000</v>
      </c>
      <c r="E85" s="49">
        <f>VLOOKUP($A85,'Data shares'!$C:$FA,128)*100</f>
        <v>76.709999999999994</v>
      </c>
      <c r="F85" s="49">
        <f>VLOOKUP($A85,'Data shares'!$C:$FA,129)</f>
        <v>2014650</v>
      </c>
      <c r="G85" s="17"/>
    </row>
    <row r="86" spans="1:7" x14ac:dyDescent="0.25">
      <c r="A86" s="101" t="s">
        <v>292</v>
      </c>
      <c r="B86" s="17">
        <v>355933451</v>
      </c>
      <c r="C86" s="17">
        <v>204117000</v>
      </c>
      <c r="D86" s="17">
        <f t="shared" si="1"/>
        <v>204117000</v>
      </c>
      <c r="E86" s="49">
        <f>VLOOKUP($A86,'Data shares'!$C:$FA,128)*100</f>
        <v>84.45</v>
      </c>
      <c r="F86" s="49">
        <f>VLOOKUP($A86,'Data shares'!$C:$FA,129)</f>
        <v>2126300</v>
      </c>
      <c r="G86" s="17"/>
    </row>
    <row r="87" spans="1:7" x14ac:dyDescent="0.25">
      <c r="A87" s="101" t="s">
        <v>239</v>
      </c>
      <c r="B87" s="17">
        <v>117569462</v>
      </c>
      <c r="C87" s="17">
        <v>39785400</v>
      </c>
      <c r="D87" s="17">
        <f t="shared" si="1"/>
        <v>39785400</v>
      </c>
      <c r="E87" s="49">
        <f>VLOOKUP($A87,'Data shares'!$C:$FA,128)*100</f>
        <v>86.339999999999989</v>
      </c>
      <c r="F87" s="49">
        <f>VLOOKUP($A87,'Data shares'!$C:$FA,129)</f>
        <v>35742000</v>
      </c>
      <c r="G87" s="17"/>
    </row>
    <row r="88" spans="1:7" x14ac:dyDescent="0.25">
      <c r="A88" s="101" t="s">
        <v>513</v>
      </c>
      <c r="B88" s="17">
        <v>16619018</v>
      </c>
      <c r="C88" s="17">
        <v>3155425</v>
      </c>
      <c r="D88" s="17">
        <f t="shared" si="1"/>
        <v>3155425</v>
      </c>
      <c r="E88" s="49">
        <f>VLOOKUP($A88,'Data shares'!$C:$FA,128)*100</f>
        <v>78.600000000000009</v>
      </c>
      <c r="F88" s="49">
        <f>VLOOKUP($A88,'Data shares'!$C:$FA,129)</f>
        <v>5377350</v>
      </c>
      <c r="G88" s="17"/>
    </row>
    <row r="89" spans="1:7" x14ac:dyDescent="0.25">
      <c r="A89" s="101" t="s">
        <v>224</v>
      </c>
      <c r="B89" s="17">
        <v>669931623</v>
      </c>
      <c r="C89" s="17">
        <v>82663350</v>
      </c>
      <c r="D89" s="17">
        <f t="shared" si="1"/>
        <v>82663350</v>
      </c>
      <c r="E89" s="49">
        <f>VLOOKUP($A89,'Data shares'!$C:$FA,128)*100</f>
        <v>85.429999999999993</v>
      </c>
      <c r="F89" s="49">
        <f>VLOOKUP($A89,'Data shares'!$C:$FA,129)</f>
        <v>136657400</v>
      </c>
      <c r="G89" s="17"/>
    </row>
    <row r="90" spans="1:7" x14ac:dyDescent="0.25">
      <c r="A90" s="101" t="s">
        <v>232</v>
      </c>
      <c r="B90" s="17">
        <v>1110506052</v>
      </c>
      <c r="C90" s="17">
        <v>174065375</v>
      </c>
      <c r="D90" s="17">
        <f t="shared" si="1"/>
        <v>174065375</v>
      </c>
      <c r="E90" s="49">
        <f>VLOOKUP($A90,'Data shares'!$C:$FA,128)*100</f>
        <v>79.179999999999993</v>
      </c>
      <c r="F90" s="49">
        <f>VLOOKUP($A90,'Data shares'!$C:$FA,129)</f>
        <v>68681200</v>
      </c>
      <c r="G90" s="17"/>
    </row>
    <row r="91" spans="1:7" x14ac:dyDescent="0.25">
      <c r="A91" s="101" t="s">
        <v>223</v>
      </c>
      <c r="B91" s="17">
        <v>362202362</v>
      </c>
      <c r="C91" s="17">
        <v>34249800</v>
      </c>
      <c r="D91" s="17">
        <f t="shared" si="1"/>
        <v>34249800</v>
      </c>
      <c r="E91" s="49">
        <f>VLOOKUP($A91,'Data shares'!$C:$FA,128)*100</f>
        <v>82.35</v>
      </c>
      <c r="F91" s="49">
        <f>VLOOKUP($A91,'Data shares'!$C:$FA,129)</f>
        <v>9973950</v>
      </c>
      <c r="G91" s="17"/>
    </row>
    <row r="92" spans="1:7" x14ac:dyDescent="0.25">
      <c r="A92" s="101" t="s">
        <v>218</v>
      </c>
      <c r="B92" s="17">
        <v>23110810</v>
      </c>
      <c r="C92" s="17">
        <v>6940375</v>
      </c>
      <c r="D92" s="17">
        <f t="shared" si="1"/>
        <v>6940375</v>
      </c>
      <c r="E92" s="49">
        <f>VLOOKUP($A92,'Data shares'!$C:$FA,128)*100</f>
        <v>84.67</v>
      </c>
      <c r="F92" s="49">
        <f>VLOOKUP($A92,'Data shares'!$C:$FA,129)</f>
        <v>5720825</v>
      </c>
      <c r="G92" s="17"/>
    </row>
    <row r="93" spans="1:7" x14ac:dyDescent="0.25">
      <c r="A93" s="101" t="s">
        <v>236</v>
      </c>
      <c r="B93" s="17">
        <v>77000080</v>
      </c>
      <c r="C93" s="17">
        <v>25785375</v>
      </c>
      <c r="D93" s="17">
        <f t="shared" si="1"/>
        <v>25785375</v>
      </c>
      <c r="E93" s="49">
        <f>VLOOKUP($A93,'Data shares'!$C:$FA,128)*100</f>
        <v>62.94</v>
      </c>
      <c r="F93" s="49">
        <f>VLOOKUP($A93,'Data shares'!$C:$FA,129)</f>
        <v>10221750</v>
      </c>
      <c r="G93" s="17"/>
    </row>
    <row r="94" spans="1:7" x14ac:dyDescent="0.25">
      <c r="A94" s="101" t="s">
        <v>246</v>
      </c>
      <c r="B94" s="17">
        <v>293666614</v>
      </c>
      <c r="C94" s="17">
        <v>30730800</v>
      </c>
      <c r="D94" s="17">
        <f t="shared" si="1"/>
        <v>30730800</v>
      </c>
      <c r="E94" s="49">
        <f>VLOOKUP($A94,'Data shares'!$C:$FA,128)*100</f>
        <v>81.47</v>
      </c>
      <c r="F94" s="49">
        <f>VLOOKUP($A94,'Data shares'!$C:$FA,129)</f>
        <v>17356400</v>
      </c>
      <c r="G94" s="17"/>
    </row>
    <row r="95" spans="1:7" x14ac:dyDescent="0.25">
      <c r="A95" s="101" t="s">
        <v>532</v>
      </c>
      <c r="B95" s="17">
        <v>32892110</v>
      </c>
      <c r="C95" s="17">
        <v>6216000</v>
      </c>
      <c r="D95" s="17">
        <f t="shared" si="1"/>
        <v>6216000</v>
      </c>
      <c r="E95" s="49">
        <f>VLOOKUP($A95,'Data shares'!$C:$FA,128)*100</f>
        <v>83.47</v>
      </c>
      <c r="F95" s="49">
        <f>VLOOKUP($A95,'Data shares'!$C:$FA,129)</f>
        <v>9304100</v>
      </c>
      <c r="G95" s="17"/>
    </row>
    <row r="96" spans="1:7" x14ac:dyDescent="0.25">
      <c r="A96" s="101" t="s">
        <v>242</v>
      </c>
      <c r="B96" s="17">
        <v>2461627231</v>
      </c>
      <c r="C96" s="17">
        <v>322832000</v>
      </c>
      <c r="D96" s="17">
        <f t="shared" si="1"/>
        <v>322832000</v>
      </c>
      <c r="E96" s="49">
        <f>VLOOKUP($A96,'Data shares'!$C:$FA,128)*100</f>
        <v>84.26</v>
      </c>
      <c r="F96" s="49">
        <f>VLOOKUP($A96,'Data shares'!$C:$FA,129)</f>
        <v>92755200</v>
      </c>
      <c r="G96" s="17"/>
    </row>
    <row r="97" spans="1:7" x14ac:dyDescent="0.25">
      <c r="A97" s="101" t="s">
        <v>165</v>
      </c>
      <c r="B97" s="17">
        <v>20321931</v>
      </c>
      <c r="C97" s="17">
        <v>3675125</v>
      </c>
      <c r="D97" s="17">
        <f t="shared" si="1"/>
        <v>3675125</v>
      </c>
      <c r="E97" s="49">
        <f>VLOOKUP($A97,'Data shares'!$C:$FA,128)*100</f>
        <v>76.539999999999992</v>
      </c>
      <c r="F97" s="49">
        <f>VLOOKUP($A97,'Data shares'!$C:$FA,129)</f>
        <v>1404625</v>
      </c>
      <c r="G97" s="17"/>
    </row>
    <row r="98" spans="1:7" x14ac:dyDescent="0.25">
      <c r="A98" s="101" t="s">
        <v>503</v>
      </c>
      <c r="B98" s="17">
        <v>17788750</v>
      </c>
      <c r="C98" s="17">
        <v>925925</v>
      </c>
      <c r="D98" s="17">
        <f t="shared" si="1"/>
        <v>925925</v>
      </c>
      <c r="E98" s="49">
        <f>VLOOKUP($A98,'Data shares'!$C:$FA,128)*100</f>
        <v>87.42</v>
      </c>
      <c r="F98" s="49">
        <f>VLOOKUP($A98,'Data shares'!$C:$FA,129)</f>
        <v>6445550</v>
      </c>
      <c r="G98" s="17"/>
    </row>
    <row r="99" spans="1:7" x14ac:dyDescent="0.25">
      <c r="A99" s="101" t="s">
        <v>192</v>
      </c>
      <c r="B99" s="17">
        <v>1737683</v>
      </c>
      <c r="C99" s="17">
        <v>235900</v>
      </c>
      <c r="D99" s="17">
        <f t="shared" si="1"/>
        <v>235900</v>
      </c>
      <c r="E99" s="49">
        <f>VLOOKUP($A99,'Data shares'!$C:$FA,128)*100</f>
        <v>83.23</v>
      </c>
      <c r="F99" s="49">
        <f>VLOOKUP($A99,'Data shares'!$C:$FA,129)</f>
        <v>141700</v>
      </c>
      <c r="G99" s="17"/>
    </row>
    <row r="100" spans="1:7" x14ac:dyDescent="0.25">
      <c r="A100" s="101" t="s">
        <v>531</v>
      </c>
      <c r="B100" s="17">
        <v>33015657</v>
      </c>
      <c r="C100" s="17">
        <v>9033700</v>
      </c>
      <c r="D100" s="17">
        <f t="shared" si="1"/>
        <v>9033700</v>
      </c>
      <c r="E100" s="49">
        <f>VLOOKUP($A100,'Data shares'!$C:$FA,128)*100</f>
        <v>72.17</v>
      </c>
      <c r="F100" s="49">
        <f>VLOOKUP($A100,'Data shares'!$C:$FA,129)</f>
        <v>6195000</v>
      </c>
      <c r="G100" s="17"/>
    </row>
    <row r="101" spans="1:7" x14ac:dyDescent="0.25">
      <c r="A101" s="101" t="s">
        <v>494</v>
      </c>
      <c r="B101" s="17">
        <v>147873568</v>
      </c>
      <c r="C101" s="17">
        <v>20386400</v>
      </c>
      <c r="D101" s="17">
        <f t="shared" si="1"/>
        <v>20386400</v>
      </c>
      <c r="E101" s="49">
        <f>VLOOKUP($A101,'Data shares'!$C:$FA,128)*100</f>
        <v>85.54</v>
      </c>
      <c r="F101" s="49">
        <f>VLOOKUP($A101,'Data shares'!$C:$FA,129)</f>
        <v>36073800</v>
      </c>
      <c r="G101" s="17"/>
    </row>
    <row r="102" spans="1:7" x14ac:dyDescent="0.25">
      <c r="A102" s="101" t="s">
        <v>473</v>
      </c>
      <c r="B102" s="17">
        <v>162372116</v>
      </c>
      <c r="C102" s="17">
        <v>43206800</v>
      </c>
      <c r="D102" s="17">
        <f t="shared" si="1"/>
        <v>43206800</v>
      </c>
      <c r="E102" s="49">
        <f>VLOOKUP($A102,'Data shares'!$C:$FA,128)*100</f>
        <v>85.68</v>
      </c>
      <c r="F102" s="49">
        <f>VLOOKUP($A102,'Data shares'!$C:$FA,129)</f>
        <v>50583500</v>
      </c>
      <c r="G102" s="17"/>
    </row>
    <row r="103" spans="1:7" x14ac:dyDescent="0.25">
      <c r="A103" s="101" t="s">
        <v>225</v>
      </c>
      <c r="B103" s="17">
        <v>187118353</v>
      </c>
      <c r="C103" s="17">
        <v>49800300</v>
      </c>
      <c r="D103" s="17">
        <f t="shared" si="1"/>
        <v>49800300</v>
      </c>
      <c r="E103" s="49">
        <f>VLOOKUP($A103,'Data shares'!$C:$FA,128)*100</f>
        <v>87.160000000000011</v>
      </c>
      <c r="F103" s="49">
        <f>VLOOKUP($A103,'Data shares'!$C:$FA,129)</f>
        <v>19410600</v>
      </c>
      <c r="G103" s="17"/>
    </row>
    <row r="104" spans="1:7" x14ac:dyDescent="0.25">
      <c r="A104" s="101" t="s">
        <v>504</v>
      </c>
      <c r="B104" s="17">
        <v>12641694</v>
      </c>
      <c r="C104" s="17">
        <v>6728400</v>
      </c>
      <c r="D104" s="17">
        <f t="shared" si="1"/>
        <v>6728400</v>
      </c>
      <c r="E104" s="49">
        <f>VLOOKUP($A104,'Data shares'!$C:$FA,128)*100</f>
        <v>84.55</v>
      </c>
      <c r="F104" s="49">
        <f>VLOOKUP($A104,'Data shares'!$C:$FA,129)</f>
        <v>1483800</v>
      </c>
      <c r="G104" s="17"/>
    </row>
    <row r="105" spans="1:7" x14ac:dyDescent="0.25">
      <c r="A105" s="101" t="s">
        <v>537</v>
      </c>
      <c r="B105" s="17">
        <v>6343591</v>
      </c>
      <c r="C105" s="17">
        <v>1262250</v>
      </c>
      <c r="D105" s="17">
        <f t="shared" si="1"/>
        <v>1262250</v>
      </c>
      <c r="E105" s="49">
        <f>VLOOKUP($A105,'Data shares'!$C:$FA,128)*100</f>
        <v>89.84</v>
      </c>
      <c r="F105" s="49">
        <f>VLOOKUP($A105,'Data shares'!$C:$FA,129)</f>
        <v>8938125</v>
      </c>
      <c r="G105" s="17"/>
    </row>
    <row r="106" spans="1:7" x14ac:dyDescent="0.25">
      <c r="A106" s="101" t="s">
        <v>256</v>
      </c>
      <c r="B106" s="17">
        <v>62880735</v>
      </c>
      <c r="C106" s="17">
        <v>20391250</v>
      </c>
      <c r="D106" s="17">
        <f t="shared" si="1"/>
        <v>20391250</v>
      </c>
      <c r="E106" s="49">
        <f>VLOOKUP($A106,'Data shares'!$C:$FA,128)*100</f>
        <v>77.649999999999991</v>
      </c>
      <c r="F106" s="49">
        <f>VLOOKUP($A106,'Data shares'!$C:$FA,129)</f>
        <v>2181550</v>
      </c>
      <c r="G106" s="17"/>
    </row>
    <row r="107" spans="1:7" x14ac:dyDescent="0.25">
      <c r="A107" s="101" t="s">
        <v>514</v>
      </c>
      <c r="B107" s="17">
        <v>179174844</v>
      </c>
      <c r="C107" s="17">
        <v>67477500</v>
      </c>
      <c r="D107" s="17">
        <f t="shared" si="1"/>
        <v>67477500</v>
      </c>
      <c r="E107" s="49">
        <f>VLOOKUP($A107,'Data shares'!$C:$FA,128)*100</f>
        <v>83.36</v>
      </c>
      <c r="F107" s="49">
        <f>VLOOKUP($A107,'Data shares'!$C:$FA,129)</f>
        <v>48048750</v>
      </c>
      <c r="G107" s="17"/>
    </row>
    <row r="108" spans="1:7" x14ac:dyDescent="0.25">
      <c r="A108" s="101" t="s">
        <v>272</v>
      </c>
      <c r="B108" s="17">
        <v>150000017</v>
      </c>
      <c r="C108" s="17">
        <v>35217000</v>
      </c>
      <c r="D108" s="17">
        <f t="shared" si="1"/>
        <v>35217000</v>
      </c>
      <c r="E108" s="49">
        <f>VLOOKUP($A108,'Data shares'!$C:$FA,128)*100</f>
        <v>89.14</v>
      </c>
      <c r="F108" s="49">
        <f>VLOOKUP($A108,'Data shares'!$C:$FA,129)</f>
        <v>28301400</v>
      </c>
      <c r="G108" s="17"/>
    </row>
    <row r="109" spans="1:7" x14ac:dyDescent="0.25">
      <c r="A109" s="101" t="s">
        <v>470</v>
      </c>
      <c r="B109" s="17">
        <v>6091932</v>
      </c>
      <c r="C109" s="17">
        <v>1893300</v>
      </c>
      <c r="D109" s="17">
        <f t="shared" si="1"/>
        <v>1893300</v>
      </c>
      <c r="E109" s="49">
        <f>VLOOKUP($A109,'Data shares'!$C:$FA,128)*100</f>
        <v>91.259999999999991</v>
      </c>
      <c r="F109" s="49">
        <f>VLOOKUP($A109,'Data shares'!$C:$FA,129)</f>
        <v>9699375</v>
      </c>
      <c r="G109" s="17"/>
    </row>
    <row r="110" spans="1:7" x14ac:dyDescent="0.25">
      <c r="A110" s="101" t="s">
        <v>176</v>
      </c>
      <c r="B110" s="17">
        <v>12437219</v>
      </c>
      <c r="C110" s="17">
        <v>1155950</v>
      </c>
      <c r="D110" s="17">
        <f t="shared" si="1"/>
        <v>1155950</v>
      </c>
      <c r="E110" s="49">
        <f>VLOOKUP($A110,'Data shares'!$C:$FA,128)*100</f>
        <v>72.94</v>
      </c>
      <c r="F110" s="49">
        <f>VLOOKUP($A110,'Data shares'!$C:$FA,129)</f>
        <v>10224500</v>
      </c>
      <c r="G110" s="17"/>
    </row>
    <row r="111" spans="1:7" x14ac:dyDescent="0.25">
      <c r="A111" s="101" t="s">
        <v>524</v>
      </c>
      <c r="B111" s="17">
        <v>16479425</v>
      </c>
      <c r="C111" s="17">
        <v>1670750</v>
      </c>
      <c r="D111" s="17">
        <f t="shared" si="1"/>
        <v>1670750</v>
      </c>
      <c r="E111" s="49">
        <f>VLOOKUP($A111,'Data shares'!$C:$FA,128)*100</f>
        <v>87.33</v>
      </c>
      <c r="F111" s="49">
        <f>VLOOKUP($A111,'Data shares'!$C:$FA,129)</f>
        <v>1448525</v>
      </c>
      <c r="G111" s="17"/>
    </row>
    <row r="112" spans="1:7" x14ac:dyDescent="0.25">
      <c r="A112" s="101" t="s">
        <v>487</v>
      </c>
      <c r="B112" s="17">
        <v>16533935</v>
      </c>
      <c r="C112" s="17">
        <v>1807050</v>
      </c>
      <c r="D112" s="17">
        <f t="shared" si="1"/>
        <v>1807050</v>
      </c>
      <c r="E112" s="49">
        <f>VLOOKUP($A112,'Data shares'!$C:$FA,128)*100</f>
        <v>78.69</v>
      </c>
      <c r="F112" s="49">
        <f>VLOOKUP($A112,'Data shares'!$C:$FA,129)</f>
        <v>2326500</v>
      </c>
      <c r="G112" s="17"/>
    </row>
    <row r="113" spans="1:7" x14ac:dyDescent="0.25">
      <c r="A113" s="101" t="s">
        <v>305</v>
      </c>
      <c r="B113" s="17">
        <v>46126252</v>
      </c>
      <c r="C113" s="17">
        <v>7513500</v>
      </c>
      <c r="D113" s="17">
        <f t="shared" si="1"/>
        <v>7513500</v>
      </c>
      <c r="E113" s="49">
        <f>VLOOKUP($A113,'Data shares'!$C:$FA,128)*100</f>
        <v>89.84</v>
      </c>
      <c r="F113" s="49">
        <f>VLOOKUP($A113,'Data shares'!$C:$FA,129)</f>
        <v>8938125</v>
      </c>
      <c r="G113" s="17"/>
    </row>
    <row r="114" spans="1:7" x14ac:dyDescent="0.25">
      <c r="A114" s="101" t="s">
        <v>238</v>
      </c>
      <c r="B114" s="17">
        <v>19428657</v>
      </c>
      <c r="C114" s="17">
        <v>5637750</v>
      </c>
      <c r="D114" s="17">
        <f t="shared" si="1"/>
        <v>5637750</v>
      </c>
      <c r="E114" s="49">
        <f>VLOOKUP($A114,'Data shares'!$C:$FA,128)*100</f>
        <v>84.93</v>
      </c>
      <c r="F114" s="49">
        <f>VLOOKUP($A114,'Data shares'!$C:$FA,129)</f>
        <v>4795500</v>
      </c>
      <c r="G114" s="17"/>
    </row>
    <row r="115" spans="1:7" x14ac:dyDescent="0.25">
      <c r="A115" s="101" t="s">
        <v>527</v>
      </c>
      <c r="B115" s="17">
        <v>7494363</v>
      </c>
      <c r="C115" s="17">
        <v>739375</v>
      </c>
      <c r="D115" s="17">
        <f t="shared" si="1"/>
        <v>739375</v>
      </c>
      <c r="E115" s="49">
        <f>VLOOKUP($A115,'Data shares'!$C:$FA,128)*100</f>
        <v>79.849999999999994</v>
      </c>
      <c r="F115" s="49">
        <f>VLOOKUP($A115,'Data shares'!$C:$FA,129)</f>
        <v>87412950</v>
      </c>
      <c r="G115" s="17"/>
    </row>
    <row r="116" spans="1:7" x14ac:dyDescent="0.25">
      <c r="A116" s="101" t="s">
        <v>489</v>
      </c>
      <c r="B116" s="17">
        <v>9087752</v>
      </c>
      <c r="C116" s="17">
        <v>1575750</v>
      </c>
      <c r="D116" s="17">
        <f t="shared" si="1"/>
        <v>1575750</v>
      </c>
      <c r="E116" s="49">
        <f>VLOOKUP($A116,'Data shares'!$C:$FA,128)*100</f>
        <v>86.92</v>
      </c>
      <c r="F116" s="49">
        <f>VLOOKUP($A116,'Data shares'!$C:$FA,129)</f>
        <v>33567626</v>
      </c>
      <c r="G116" s="17"/>
    </row>
    <row r="117" spans="1:7" x14ac:dyDescent="0.25">
      <c r="A117" s="101" t="s">
        <v>484</v>
      </c>
      <c r="B117" s="17">
        <v>3300938</v>
      </c>
      <c r="C117" s="17">
        <v>190125</v>
      </c>
      <c r="D117" s="17">
        <f t="shared" si="1"/>
        <v>190125</v>
      </c>
      <c r="E117" s="49">
        <f>VLOOKUP($A117,'Data shares'!$C:$FA,128)*100</f>
        <v>70.399999999999991</v>
      </c>
      <c r="F117" s="49">
        <f>VLOOKUP($A117,'Data shares'!$C:$FA,129)</f>
        <v>32713200</v>
      </c>
      <c r="G117" s="17"/>
    </row>
    <row r="118" spans="1:7" x14ac:dyDescent="0.25">
      <c r="A118" s="101" t="s">
        <v>285</v>
      </c>
      <c r="B118" s="17">
        <v>17806068</v>
      </c>
      <c r="C118" s="17">
        <v>1857900</v>
      </c>
      <c r="D118" s="17">
        <f t="shared" si="1"/>
        <v>1857900</v>
      </c>
      <c r="E118" s="49">
        <f>VLOOKUP($A118,'Data shares'!$C:$FA,128)*100</f>
        <v>87.8</v>
      </c>
      <c r="F118" s="49">
        <f>VLOOKUP($A118,'Data shares'!$C:$FA,129)</f>
        <v>1590750</v>
      </c>
      <c r="G118" s="17"/>
    </row>
    <row r="119" spans="1:7" x14ac:dyDescent="0.25">
      <c r="A119" s="101" t="s">
        <v>554</v>
      </c>
      <c r="B119" s="17">
        <v>18562709</v>
      </c>
      <c r="C119" s="17">
        <v>2173500</v>
      </c>
      <c r="D119" s="17">
        <f t="shared" si="1"/>
        <v>2173500</v>
      </c>
      <c r="E119" s="49">
        <f>VLOOKUP($A119,'Data shares'!$C:$FA,128)*100</f>
        <v>80.13</v>
      </c>
      <c r="F119" s="49">
        <f>VLOOKUP($A119,'Data shares'!$C:$FA,129)</f>
        <v>30527760</v>
      </c>
      <c r="G119" s="17"/>
    </row>
    <row r="120" spans="1:7" x14ac:dyDescent="0.25">
      <c r="A120" s="101" t="s">
        <v>293</v>
      </c>
      <c r="B120" s="17">
        <v>339616396</v>
      </c>
      <c r="C120" s="17">
        <v>214528500</v>
      </c>
      <c r="D120" s="17">
        <f t="shared" si="1"/>
        <v>214528500</v>
      </c>
      <c r="E120" s="49">
        <f>VLOOKUP($A120,'Data shares'!$C:$FA,128)*100</f>
        <v>83.08</v>
      </c>
      <c r="F120" s="49">
        <f>VLOOKUP($A120,'Data shares'!$C:$FA,129)</f>
        <v>28781050</v>
      </c>
      <c r="G120" s="17"/>
    </row>
    <row r="121" spans="1:7" x14ac:dyDescent="0.25">
      <c r="A121" s="101" t="s">
        <v>282</v>
      </c>
      <c r="B121" s="17">
        <v>289139949</v>
      </c>
      <c r="C121" s="17">
        <v>230878500</v>
      </c>
      <c r="D121" s="17">
        <f t="shared" si="1"/>
        <v>230878500</v>
      </c>
      <c r="E121" s="49">
        <f>VLOOKUP($A121,'Data shares'!$C:$FA,128)*100</f>
        <v>62.949999999999996</v>
      </c>
      <c r="F121" s="49">
        <f>VLOOKUP($A121,'Data shares'!$C:$FA,129)</f>
        <v>126585100</v>
      </c>
      <c r="G121" s="17"/>
    </row>
    <row r="122" spans="1:7" x14ac:dyDescent="0.25">
      <c r="A122" s="101" t="s">
        <v>248</v>
      </c>
      <c r="B122" s="17">
        <v>60244101</v>
      </c>
      <c r="C122" s="17">
        <v>36578000</v>
      </c>
      <c r="D122" s="17">
        <f t="shared" si="1"/>
        <v>36578000</v>
      </c>
      <c r="E122" s="49">
        <f>VLOOKUP($A122,'Data shares'!$C:$FA,128)*100</f>
        <v>83.59</v>
      </c>
      <c r="F122" s="49">
        <f>VLOOKUP($A122,'Data shares'!$C:$FA,129)</f>
        <v>14783000</v>
      </c>
      <c r="G122" s="17"/>
    </row>
    <row r="123" spans="1:7" x14ac:dyDescent="0.25">
      <c r="A123" s="101" t="s">
        <v>189</v>
      </c>
      <c r="B123" s="17">
        <v>510707358</v>
      </c>
      <c r="C123" s="17">
        <v>94385350</v>
      </c>
      <c r="D123" s="17">
        <f t="shared" si="1"/>
        <v>94385350</v>
      </c>
      <c r="E123" s="49">
        <f>VLOOKUP($A123,'Data shares'!$C:$FA,128)*100</f>
        <v>75.64</v>
      </c>
      <c r="F123" s="49">
        <f>VLOOKUP($A123,'Data shares'!$C:$FA,129)</f>
        <v>28652950</v>
      </c>
      <c r="G123" s="17"/>
    </row>
    <row r="124" spans="1:7" x14ac:dyDescent="0.25">
      <c r="A124" s="101" t="s">
        <v>213</v>
      </c>
      <c r="B124" s="17">
        <v>425164259</v>
      </c>
      <c r="C124" s="17">
        <v>85375600</v>
      </c>
      <c r="D124" s="17">
        <f t="shared" si="1"/>
        <v>85375600</v>
      </c>
      <c r="E124" s="49">
        <f>VLOOKUP($A124,'Data shares'!$C:$FA,128)*100</f>
        <v>80.789999999999992</v>
      </c>
      <c r="F124" s="49">
        <f>VLOOKUP($A124,'Data shares'!$C:$FA,129)</f>
        <v>52586100</v>
      </c>
      <c r="G124" s="17"/>
    </row>
    <row r="125" spans="1:7" x14ac:dyDescent="0.25">
      <c r="A125" s="101" t="s">
        <v>295</v>
      </c>
      <c r="B125" s="17">
        <v>205769415</v>
      </c>
      <c r="C125" s="17">
        <v>21452100</v>
      </c>
      <c r="D125" s="17">
        <f t="shared" si="1"/>
        <v>21452100</v>
      </c>
      <c r="E125" s="49">
        <f>VLOOKUP($A125,'Data shares'!$C:$FA,128)*100</f>
        <v>82.83</v>
      </c>
      <c r="F125" s="49">
        <f>VLOOKUP($A125,'Data shares'!$C:$FA,129)</f>
        <v>17612175</v>
      </c>
      <c r="G125" s="17"/>
    </row>
    <row r="126" spans="1:7" x14ac:dyDescent="0.25">
      <c r="A126" s="101" t="s">
        <v>490</v>
      </c>
      <c r="B126" s="17">
        <v>52165566</v>
      </c>
      <c r="C126" s="17">
        <v>22212750</v>
      </c>
      <c r="D126" s="17">
        <f t="shared" si="1"/>
        <v>22212750</v>
      </c>
      <c r="E126" s="49">
        <f>VLOOKUP($A126,'Data shares'!$C:$FA,128)*100</f>
        <v>79.75</v>
      </c>
      <c r="F126" s="49">
        <f>VLOOKUP($A126,'Data shares'!$C:$FA,129)</f>
        <v>10393250</v>
      </c>
      <c r="G126" s="17"/>
    </row>
    <row r="127" spans="1:7" x14ac:dyDescent="0.25">
      <c r="A127" s="101" t="s">
        <v>260</v>
      </c>
      <c r="B127" s="17">
        <v>241729538</v>
      </c>
      <c r="C127" s="17">
        <v>65383500</v>
      </c>
      <c r="D127" s="17">
        <f t="shared" si="1"/>
        <v>65383500</v>
      </c>
      <c r="E127" s="49">
        <f>VLOOKUP($A127,'Data shares'!$C:$FA,128)*100</f>
        <v>82</v>
      </c>
      <c r="F127" s="49">
        <f>VLOOKUP($A127,'Data shares'!$C:$FA,129)</f>
        <v>97938750</v>
      </c>
      <c r="G127" s="17"/>
    </row>
    <row r="128" spans="1:7" x14ac:dyDescent="0.25">
      <c r="A128" s="101" t="s">
        <v>171</v>
      </c>
      <c r="B128" s="17">
        <v>56444627</v>
      </c>
      <c r="C128" s="17">
        <v>23336250</v>
      </c>
      <c r="D128" s="17">
        <f t="shared" si="1"/>
        <v>23336250</v>
      </c>
      <c r="E128" s="49">
        <f>VLOOKUP($A128,'Data shares'!$C:$FA,128)*100</f>
        <v>87.070000000000007</v>
      </c>
      <c r="F128" s="49">
        <f>VLOOKUP($A128,'Data shares'!$C:$FA,129)</f>
        <v>17127000</v>
      </c>
      <c r="G128" s="17"/>
    </row>
    <row r="129" spans="1:7" x14ac:dyDescent="0.25">
      <c r="A129" s="101" t="s">
        <v>462</v>
      </c>
      <c r="B129" s="17">
        <v>88648462</v>
      </c>
      <c r="C129" s="17">
        <v>11150250</v>
      </c>
      <c r="D129" s="17">
        <f t="shared" si="1"/>
        <v>11150250</v>
      </c>
      <c r="E129" s="49">
        <f>VLOOKUP($A129,'Data shares'!$C:$FA,128)*100</f>
        <v>86.22</v>
      </c>
      <c r="F129" s="49">
        <f>VLOOKUP($A129,'Data shares'!$C:$FA,129)</f>
        <v>4608000</v>
      </c>
      <c r="G129" s="17"/>
    </row>
    <row r="130" spans="1:7" x14ac:dyDescent="0.25">
      <c r="A130" s="101" t="s">
        <v>274</v>
      </c>
      <c r="B130" s="17">
        <v>30511703</v>
      </c>
      <c r="C130" s="17">
        <v>3556000</v>
      </c>
      <c r="D130" s="17">
        <f t="shared" si="1"/>
        <v>3556000</v>
      </c>
      <c r="E130" s="49">
        <f>VLOOKUP($A130,'Data shares'!$C:$FA,128)*100</f>
        <v>82.35</v>
      </c>
      <c r="F130" s="49">
        <f>VLOOKUP($A130,'Data shares'!$C:$FA,129)</f>
        <v>5322000</v>
      </c>
      <c r="G130" s="17"/>
    </row>
    <row r="131" spans="1:7" x14ac:dyDescent="0.25">
      <c r="A131" s="101" t="s">
        <v>279</v>
      </c>
      <c r="B131" s="17">
        <v>119890099</v>
      </c>
      <c r="C131" s="17">
        <v>77232800</v>
      </c>
      <c r="D131" s="17">
        <f t="shared" si="1"/>
        <v>77232800</v>
      </c>
      <c r="E131" s="49">
        <f>VLOOKUP($A131,'Data shares'!$C:$FA,128)*100</f>
        <v>87.839999999999989</v>
      </c>
      <c r="F131" s="49">
        <f>VLOOKUP($A131,'Data shares'!$C:$FA,129)</f>
        <v>49812575</v>
      </c>
      <c r="G131" s="17"/>
    </row>
    <row r="132" spans="1:7" x14ac:dyDescent="0.25">
      <c r="A132" s="101" t="s">
        <v>247</v>
      </c>
      <c r="B132" s="17">
        <v>180580821</v>
      </c>
      <c r="C132" s="17">
        <v>128041552</v>
      </c>
      <c r="D132" s="17">
        <f t="shared" si="1"/>
        <v>128041552</v>
      </c>
      <c r="E132" s="49">
        <f>VLOOKUP($A132,'Data shares'!$C:$FA,128)*100</f>
        <v>86.45</v>
      </c>
      <c r="F132" s="49">
        <f>VLOOKUP($A132,'Data shares'!$C:$FA,129)</f>
        <v>2793600</v>
      </c>
      <c r="G132" s="17"/>
    </row>
    <row r="133" spans="1:7" x14ac:dyDescent="0.25">
      <c r="A133" s="101" t="s">
        <v>291</v>
      </c>
      <c r="B133" s="17">
        <v>120211514</v>
      </c>
      <c r="C133" s="17">
        <v>18359325</v>
      </c>
      <c r="D133" s="17">
        <f t="shared" si="1"/>
        <v>18359325</v>
      </c>
      <c r="E133" s="49">
        <f>VLOOKUP($A133,'Data shares'!$C:$FA,128)*100</f>
        <v>91.51</v>
      </c>
      <c r="F133" s="49">
        <f>VLOOKUP($A133,'Data shares'!$C:$FA,129)</f>
        <v>10868550</v>
      </c>
      <c r="G133" s="17"/>
    </row>
    <row r="134" spans="1:7" x14ac:dyDescent="0.25">
      <c r="A134" s="101" t="s">
        <v>269</v>
      </c>
      <c r="B134" s="17">
        <v>996134149</v>
      </c>
      <c r="C134" s="17">
        <v>204565900</v>
      </c>
      <c r="D134" s="17">
        <f t="shared" si="1"/>
        <v>204565900</v>
      </c>
      <c r="E134" s="49">
        <f>VLOOKUP($A134,'Data shares'!$C:$FA,128)*100</f>
        <v>68.86</v>
      </c>
      <c r="F134" s="49">
        <f>VLOOKUP($A134,'Data shares'!$C:$FA,129)</f>
        <v>50528250</v>
      </c>
      <c r="G134" s="17"/>
    </row>
    <row r="135" spans="1:7" x14ac:dyDescent="0.25">
      <c r="A135" s="101" t="s">
        <v>217</v>
      </c>
      <c r="B135" s="17">
        <v>75218562</v>
      </c>
      <c r="C135" s="17">
        <v>11613000</v>
      </c>
      <c r="D135" s="17">
        <f t="shared" ref="D135:D161" si="2">C135</f>
        <v>11613000</v>
      </c>
      <c r="E135" s="49">
        <f>VLOOKUP($A135,'Data shares'!$C:$FA,128)*100</f>
        <v>83.63000000000001</v>
      </c>
      <c r="F135" s="49">
        <f>VLOOKUP($A135,'Data shares'!$C:$FA,129)</f>
        <v>8681000</v>
      </c>
      <c r="G135" s="17"/>
    </row>
    <row r="136" spans="1:7" x14ac:dyDescent="0.25">
      <c r="A136" s="101" t="s">
        <v>495</v>
      </c>
      <c r="B136" s="17">
        <v>44974045</v>
      </c>
      <c r="C136" s="17">
        <v>4232500</v>
      </c>
      <c r="D136" s="17">
        <f t="shared" si="2"/>
        <v>4232500</v>
      </c>
      <c r="E136" s="49">
        <f>VLOOKUP($A136,'Data shares'!$C:$FA,128)*100</f>
        <v>84.009999999999991</v>
      </c>
      <c r="F136" s="49">
        <f>VLOOKUP($A136,'Data shares'!$C:$FA,129)</f>
        <v>15988000</v>
      </c>
      <c r="G136" s="17"/>
    </row>
    <row r="137" spans="1:7" x14ac:dyDescent="0.25">
      <c r="A137" s="101" t="s">
        <v>250</v>
      </c>
      <c r="B137" s="17">
        <v>48318354</v>
      </c>
      <c r="C137" s="17">
        <v>18007250</v>
      </c>
      <c r="D137" s="17">
        <f t="shared" si="2"/>
        <v>18007250</v>
      </c>
      <c r="E137" s="49">
        <f>VLOOKUP($A137,'Data shares'!$C:$FA,128)*100</f>
        <v>76.28</v>
      </c>
      <c r="F137" s="49">
        <f>VLOOKUP($A137,'Data shares'!$C:$FA,129)</f>
        <v>6865025</v>
      </c>
      <c r="G137" s="17"/>
    </row>
    <row r="138" spans="1:7" x14ac:dyDescent="0.25">
      <c r="A138" s="101" t="s">
        <v>278</v>
      </c>
      <c r="B138" s="17">
        <v>27187764</v>
      </c>
      <c r="C138" s="17">
        <v>3521550</v>
      </c>
      <c r="D138" s="17">
        <f t="shared" si="2"/>
        <v>3521550</v>
      </c>
      <c r="E138" s="49">
        <f>VLOOKUP($A138,'Data shares'!$C:$FA,128)*100</f>
        <v>76.709999999999994</v>
      </c>
      <c r="F138" s="49">
        <f>VLOOKUP($A138,'Data shares'!$C:$FA,129)</f>
        <v>2014650</v>
      </c>
      <c r="G138" s="17"/>
    </row>
    <row r="139" spans="1:7" x14ac:dyDescent="0.25">
      <c r="A139" s="101" t="s">
        <v>163</v>
      </c>
      <c r="B139" s="17">
        <v>24576009</v>
      </c>
      <c r="C139" s="17">
        <v>11979000</v>
      </c>
      <c r="D139" s="17">
        <f t="shared" si="2"/>
        <v>11979000</v>
      </c>
      <c r="E139" s="49">
        <f>VLOOKUP($A139,'Data shares'!$C:$FA,128)*100</f>
        <v>89.12</v>
      </c>
      <c r="F139" s="49">
        <f>VLOOKUP($A139,'Data shares'!$C:$FA,129)</f>
        <v>897625</v>
      </c>
      <c r="G139" s="17"/>
    </row>
    <row r="140" spans="1:7" x14ac:dyDescent="0.25">
      <c r="A140" s="101" t="s">
        <v>289</v>
      </c>
      <c r="B140" s="17">
        <v>19704232</v>
      </c>
      <c r="C140" s="17">
        <v>15520500</v>
      </c>
      <c r="D140" s="17">
        <f t="shared" si="2"/>
        <v>15520500</v>
      </c>
      <c r="E140" s="49">
        <f>VLOOKUP($A140,'Data shares'!$C:$FA,128)*100</f>
        <v>86.11</v>
      </c>
      <c r="F140" s="49">
        <f>VLOOKUP($A140,'Data shares'!$C:$FA,129)</f>
        <v>10447150</v>
      </c>
      <c r="G140" s="17"/>
    </row>
    <row r="141" spans="1:7" x14ac:dyDescent="0.25">
      <c r="A141" s="101" t="s">
        <v>529</v>
      </c>
      <c r="B141" s="17">
        <v>10012679</v>
      </c>
      <c r="C141" s="17">
        <v>530550</v>
      </c>
      <c r="D141" s="17">
        <f t="shared" si="2"/>
        <v>530550</v>
      </c>
      <c r="E141" s="49">
        <f>VLOOKUP($A141,'Data shares'!$C:$FA,128)*100</f>
        <v>77.42</v>
      </c>
      <c r="F141" s="49">
        <f>VLOOKUP($A141,'Data shares'!$C:$FA,129)</f>
        <v>1674100</v>
      </c>
      <c r="G141" s="17"/>
    </row>
    <row r="142" spans="1:7" x14ac:dyDescent="0.25">
      <c r="A142" s="101" t="s">
        <v>265</v>
      </c>
      <c r="B142" s="17">
        <v>7180127</v>
      </c>
      <c r="C142" s="17">
        <v>429550</v>
      </c>
      <c r="D142" s="17">
        <f t="shared" si="2"/>
        <v>429550</v>
      </c>
      <c r="E142" s="49">
        <f>VLOOKUP($A142,'Data shares'!$C:$FA,128)*100</f>
        <v>83.179999999999993</v>
      </c>
      <c r="F142" s="49">
        <f>VLOOKUP($A142,'Data shares'!$C:$FA,129)</f>
        <v>12107000</v>
      </c>
      <c r="G142" s="17"/>
    </row>
    <row r="143" spans="1:7" x14ac:dyDescent="0.25">
      <c r="A143" s="101" t="s">
        <v>486</v>
      </c>
      <c r="B143" s="17">
        <v>32559242</v>
      </c>
      <c r="C143" s="17">
        <v>4156800</v>
      </c>
      <c r="D143" s="17">
        <f t="shared" si="2"/>
        <v>4156800</v>
      </c>
      <c r="E143" s="49">
        <f>VLOOKUP($A143,'Data shares'!$C:$FA,128)*100</f>
        <v>81.8</v>
      </c>
      <c r="F143" s="49">
        <f>VLOOKUP($A143,'Data shares'!$C:$FA,129)</f>
        <v>2038850</v>
      </c>
      <c r="G143" s="17"/>
    </row>
    <row r="144" spans="1:7" x14ac:dyDescent="0.25">
      <c r="A144" s="101" t="s">
        <v>190</v>
      </c>
      <c r="B144" s="17">
        <v>256482590</v>
      </c>
      <c r="C144" s="17">
        <v>208761000</v>
      </c>
      <c r="D144" s="17">
        <f t="shared" si="2"/>
        <v>208761000</v>
      </c>
      <c r="E144" s="49">
        <f>VLOOKUP($A144,'Data shares'!$C:$FA,128)*100</f>
        <v>73.78</v>
      </c>
      <c r="F144" s="49">
        <f>VLOOKUP($A144,'Data shares'!$C:$FA,129)</f>
        <v>31473750</v>
      </c>
      <c r="G144" s="17"/>
    </row>
    <row r="145" spans="1:7" x14ac:dyDescent="0.25">
      <c r="A145" s="101" t="s">
        <v>303</v>
      </c>
      <c r="B145" s="17">
        <v>109653438</v>
      </c>
      <c r="C145" s="17">
        <v>37709100</v>
      </c>
      <c r="D145" s="17">
        <f t="shared" si="2"/>
        <v>37709100</v>
      </c>
      <c r="E145" s="49">
        <f>VLOOKUP($A145,'Data shares'!$C:$FA,128)*100</f>
        <v>79.320000000000007</v>
      </c>
      <c r="F145" s="49">
        <f>VLOOKUP($A145,'Data shares'!$C:$FA,129)</f>
        <v>17425300</v>
      </c>
      <c r="G145" s="17"/>
    </row>
    <row r="146" spans="1:7" x14ac:dyDescent="0.25">
      <c r="A146" s="101" t="s">
        <v>255</v>
      </c>
      <c r="B146" s="17">
        <v>26359259</v>
      </c>
      <c r="C146" s="17">
        <v>6916100</v>
      </c>
      <c r="D146" s="17">
        <f t="shared" si="2"/>
        <v>6916100</v>
      </c>
      <c r="E146" s="49">
        <f>VLOOKUP($A146,'Data shares'!$C:$FA,128)*100</f>
        <v>76.790000000000006</v>
      </c>
      <c r="F146" s="49">
        <f>VLOOKUP($A146,'Data shares'!$C:$FA,129)</f>
        <v>1498150</v>
      </c>
      <c r="G146" s="17"/>
    </row>
    <row r="147" spans="1:7" x14ac:dyDescent="0.25">
      <c r="A147" s="101" t="s">
        <v>180</v>
      </c>
      <c r="B147" s="17">
        <v>372635498</v>
      </c>
      <c r="C147" s="17">
        <v>233426700</v>
      </c>
      <c r="D147" s="17">
        <f t="shared" si="2"/>
        <v>233426700</v>
      </c>
      <c r="E147" s="49">
        <f>VLOOKUP($A147,'Data shares'!$C:$FA,128)*100</f>
        <v>83.49</v>
      </c>
      <c r="F147" s="49">
        <f>VLOOKUP($A147,'Data shares'!$C:$FA,129)</f>
        <v>79094925</v>
      </c>
      <c r="G147" s="17"/>
    </row>
    <row r="148" spans="1:7" x14ac:dyDescent="0.25">
      <c r="A148" s="101" t="s">
        <v>179</v>
      </c>
      <c r="B148" s="17">
        <v>193321473</v>
      </c>
      <c r="C148" s="17">
        <v>47098800</v>
      </c>
      <c r="D148" s="17">
        <f t="shared" si="2"/>
        <v>47098800</v>
      </c>
      <c r="E148" s="49">
        <f>VLOOKUP($A148,'Data shares'!$C:$FA,128)*100</f>
        <v>83.27</v>
      </c>
      <c r="F148" s="49">
        <f>VLOOKUP($A148,'Data shares'!$C:$FA,129)</f>
        <v>66553200</v>
      </c>
    </row>
    <row r="149" spans="1:7" x14ac:dyDescent="0.25">
      <c r="A149" s="101" t="s">
        <v>253</v>
      </c>
      <c r="B149" s="17">
        <v>109926618</v>
      </c>
      <c r="C149" s="17">
        <v>54285000</v>
      </c>
      <c r="D149" s="17">
        <f t="shared" si="2"/>
        <v>54285000</v>
      </c>
      <c r="E149" s="49">
        <f>VLOOKUP($A149,'Data shares'!$C:$FA,128)*100</f>
        <v>81.73</v>
      </c>
      <c r="F149" s="49">
        <f>VLOOKUP($A149,'Data shares'!$C:$FA,129)</f>
        <v>19059000</v>
      </c>
    </row>
    <row r="150" spans="1:7" x14ac:dyDescent="0.25">
      <c r="A150" s="101" t="s">
        <v>261</v>
      </c>
      <c r="B150" s="17">
        <v>611563</v>
      </c>
      <c r="C150" s="17">
        <v>120180</v>
      </c>
      <c r="D150" s="17">
        <f t="shared" si="2"/>
        <v>120180</v>
      </c>
      <c r="E150" s="49">
        <f>VLOOKUP($A150,'Data shares'!$C:$FA,128)*100</f>
        <v>78.69</v>
      </c>
      <c r="F150" s="49">
        <f>VLOOKUP($A150,'Data shares'!$C:$FA,129)</f>
        <v>2326500</v>
      </c>
    </row>
    <row r="151" spans="1:7" x14ac:dyDescent="0.25">
      <c r="A151" s="101" t="s">
        <v>164</v>
      </c>
      <c r="B151" s="17">
        <v>145854205</v>
      </c>
      <c r="C151" s="17">
        <v>46824000</v>
      </c>
      <c r="D151" s="17">
        <f t="shared" si="2"/>
        <v>46824000</v>
      </c>
      <c r="E151" s="49">
        <f>VLOOKUP($A151,'Data shares'!$C:$FA,128)*100</f>
        <v>78.48</v>
      </c>
      <c r="F151" s="49">
        <f>VLOOKUP($A151,'Data shares'!$C:$FA,129)</f>
        <v>27038550</v>
      </c>
    </row>
    <row r="152" spans="1:7" x14ac:dyDescent="0.25">
      <c r="A152" s="101" t="s">
        <v>526</v>
      </c>
      <c r="B152" s="17">
        <v>44365911</v>
      </c>
      <c r="C152" s="17">
        <v>20668300</v>
      </c>
      <c r="D152" s="17">
        <f t="shared" si="2"/>
        <v>20668300</v>
      </c>
      <c r="E152" s="49">
        <f>VLOOKUP($A152,'Data shares'!$C:$FA,128)*100</f>
        <v>83.44</v>
      </c>
      <c r="F152" s="49">
        <f>VLOOKUP($A152,'Data shares'!$C:$FA,129)</f>
        <v>14897000</v>
      </c>
    </row>
    <row r="153" spans="1:7" x14ac:dyDescent="0.25">
      <c r="A153" s="101" t="s">
        <v>515</v>
      </c>
      <c r="B153" s="17">
        <v>3083179</v>
      </c>
      <c r="C153" s="17">
        <v>492075</v>
      </c>
      <c r="D153" s="17">
        <f t="shared" si="2"/>
        <v>492075</v>
      </c>
      <c r="E153" s="49">
        <f>VLOOKUP($A153,'Data shares'!$C:$FA,128)*100</f>
        <v>83.44</v>
      </c>
      <c r="F153" s="49">
        <f>VLOOKUP($A153,'Data shares'!$C:$FA,129)</f>
        <v>14897000</v>
      </c>
    </row>
    <row r="154" spans="1:7" x14ac:dyDescent="0.25">
      <c r="A154" s="101" t="s">
        <v>226</v>
      </c>
      <c r="B154" s="17">
        <v>26072630</v>
      </c>
      <c r="C154" s="17">
        <v>9897900</v>
      </c>
      <c r="D154" s="17">
        <f t="shared" si="2"/>
        <v>9897900</v>
      </c>
      <c r="E154" s="49">
        <f>VLOOKUP($A154,'Data shares'!$C:$FA,128)*100</f>
        <v>84.960000000000008</v>
      </c>
      <c r="F154" s="49">
        <f>VLOOKUP($A154,'Data shares'!$C:$FA,129)</f>
        <v>2897850</v>
      </c>
    </row>
    <row r="155" spans="1:7" x14ac:dyDescent="0.25">
      <c r="A155" s="101" t="s">
        <v>544</v>
      </c>
      <c r="B155" s="17">
        <v>139989683</v>
      </c>
      <c r="C155" s="17">
        <v>28415200</v>
      </c>
      <c r="D155" s="17">
        <f t="shared" si="2"/>
        <v>28415200</v>
      </c>
      <c r="E155" s="49">
        <f>VLOOKUP($A155,'Data shares'!$C:$FA,128)*100</f>
        <v>93.24</v>
      </c>
      <c r="F155" s="49">
        <f>VLOOKUP($A155,'Data shares'!$C:$FA,129)</f>
        <v>50610600</v>
      </c>
    </row>
    <row r="156" spans="1:7" x14ac:dyDescent="0.25">
      <c r="A156" s="101" t="s">
        <v>547</v>
      </c>
      <c r="B156" s="17">
        <v>65482129</v>
      </c>
      <c r="C156" s="17">
        <v>33944200</v>
      </c>
      <c r="D156" s="17">
        <f t="shared" si="2"/>
        <v>33944200</v>
      </c>
      <c r="E156" s="49">
        <f>VLOOKUP($A156,'Data shares'!$C:$FA,128)*100</f>
        <v>83.41</v>
      </c>
      <c r="F156" s="49">
        <f>VLOOKUP($A156,'Data shares'!$C:$FA,129)</f>
        <v>43653400</v>
      </c>
    </row>
    <row r="157" spans="1:7" x14ac:dyDescent="0.25">
      <c r="A157" s="101" t="s">
        <v>499</v>
      </c>
      <c r="B157" s="17">
        <v>66687240</v>
      </c>
      <c r="C157" s="17">
        <v>16125200</v>
      </c>
      <c r="D157" s="17">
        <f t="shared" si="2"/>
        <v>16125200</v>
      </c>
      <c r="E157" s="49">
        <f>VLOOKUP($A157,'Data shares'!$C:$FA,128)*100</f>
        <v>93.24</v>
      </c>
      <c r="F157" s="49">
        <f>VLOOKUP($A157,'Data shares'!$C:$FA,129)</f>
        <v>50610600</v>
      </c>
    </row>
    <row r="158" spans="1:7" x14ac:dyDescent="0.25">
      <c r="A158" s="101" t="s">
        <v>483</v>
      </c>
      <c r="B158" s="17">
        <v>16146181</v>
      </c>
      <c r="C158" s="17">
        <v>1914250</v>
      </c>
      <c r="D158" s="17">
        <f t="shared" si="2"/>
        <v>1914250</v>
      </c>
      <c r="E158" s="49">
        <f>VLOOKUP($A158,'Data shares'!$C:$FA,128)*100</f>
        <v>90.44</v>
      </c>
      <c r="F158" s="49">
        <f>VLOOKUP($A158,'Data shares'!$C:$FA,129)</f>
        <v>1254750</v>
      </c>
    </row>
    <row r="159" spans="1:7" x14ac:dyDescent="0.25">
      <c r="A159" s="101" t="s">
        <v>546</v>
      </c>
      <c r="B159" s="17">
        <v>18282414</v>
      </c>
      <c r="C159" s="17">
        <v>13742300</v>
      </c>
      <c r="D159" s="17">
        <f t="shared" si="2"/>
        <v>13742300</v>
      </c>
      <c r="E159" s="49">
        <f>VLOOKUP($A159,'Data shares'!$C:$FA,128)*100</f>
        <v>76.13</v>
      </c>
      <c r="F159" s="49">
        <f>VLOOKUP($A159,'Data shares'!$C:$FA,129)</f>
        <v>127705275</v>
      </c>
    </row>
    <row r="160" spans="1:7" x14ac:dyDescent="0.25">
      <c r="A160" s="101" t="s">
        <v>220</v>
      </c>
      <c r="B160" s="17">
        <v>50687734</v>
      </c>
      <c r="C160" s="17">
        <v>6783500</v>
      </c>
      <c r="D160" s="17">
        <f t="shared" si="2"/>
        <v>6783500</v>
      </c>
      <c r="E160" s="49">
        <f>VLOOKUP($A160,'Data shares'!$C:$FA,128)*100</f>
        <v>80.16</v>
      </c>
      <c r="F160" s="49">
        <f>VLOOKUP($A160,'Data shares'!$C:$FA,129)</f>
        <v>6267000</v>
      </c>
    </row>
    <row r="161" spans="1:6" x14ac:dyDescent="0.25">
      <c r="A161" s="101" t="s">
        <v>472</v>
      </c>
      <c r="B161" s="17">
        <v>50993734</v>
      </c>
      <c r="C161" s="17">
        <v>3803750</v>
      </c>
      <c r="D161" s="17">
        <f t="shared" si="2"/>
        <v>3803750</v>
      </c>
      <c r="E161" s="49">
        <f>VLOOKUP($A161,'Data shares'!$C:$FA,128)*100</f>
        <v>86.76</v>
      </c>
      <c r="F161" s="49">
        <f>VLOOKUP($A161,'Data shares'!$C:$FA,129)</f>
        <v>3739125</v>
      </c>
    </row>
    <row r="162" spans="1:6" x14ac:dyDescent="0.25">
      <c r="A162" t="s">
        <v>535</v>
      </c>
      <c r="B162">
        <v>78168147</v>
      </c>
      <c r="C162">
        <v>9571500</v>
      </c>
      <c r="D162" s="17">
        <f t="shared" ref="D162:D204" si="3">C162</f>
        <v>9571500</v>
      </c>
      <c r="E162" s="49">
        <f>VLOOKUP($A162,'Data shares'!$C:$FA,128)*100</f>
        <v>73.489999999999995</v>
      </c>
      <c r="F162" s="49">
        <f>VLOOKUP($A162,'Data shares'!$C:$FA,129)</f>
        <v>13324600</v>
      </c>
    </row>
    <row r="163" spans="1:6" x14ac:dyDescent="0.25">
      <c r="A163" t="s">
        <v>492</v>
      </c>
      <c r="B163">
        <v>28779078</v>
      </c>
      <c r="C163">
        <v>14404150</v>
      </c>
      <c r="D163" s="17">
        <f t="shared" si="3"/>
        <v>14404150</v>
      </c>
      <c r="E163" s="49">
        <f>VLOOKUP($A163,'Data shares'!$C:$FA,128)*100</f>
        <v>84.67</v>
      </c>
      <c r="F163" s="49">
        <f>VLOOKUP($A163,'Data shares'!$C:$FA,129)</f>
        <v>5720825</v>
      </c>
    </row>
    <row r="164" spans="1:6" x14ac:dyDescent="0.25">
      <c r="A164" t="s">
        <v>298</v>
      </c>
      <c r="B164">
        <v>9731600</v>
      </c>
      <c r="C164">
        <v>863500</v>
      </c>
      <c r="D164" s="17">
        <f t="shared" si="3"/>
        <v>863500</v>
      </c>
      <c r="E164" s="49">
        <f>VLOOKUP($A164,'Data shares'!$C:$FA,128)*100</f>
        <v>84.78</v>
      </c>
      <c r="F164" s="49">
        <f>VLOOKUP($A164,'Data shares'!$C:$FA,129)</f>
        <v>1483250</v>
      </c>
    </row>
    <row r="165" spans="1:6" x14ac:dyDescent="0.25">
      <c r="A165" t="s">
        <v>548</v>
      </c>
      <c r="B165">
        <v>442076</v>
      </c>
      <c r="C165">
        <v>9615</v>
      </c>
      <c r="D165" s="17">
        <f t="shared" si="3"/>
        <v>9615</v>
      </c>
      <c r="E165" s="49">
        <f>VLOOKUP($A165,'Data shares'!$C:$FA,128)*100</f>
        <v>79.05</v>
      </c>
      <c r="F165" s="49">
        <f>VLOOKUP($A165,'Data shares'!$C:$FA,129)</f>
        <v>24335850</v>
      </c>
    </row>
    <row r="166" spans="1:6" x14ac:dyDescent="0.25">
      <c r="A166" t="s">
        <v>530</v>
      </c>
      <c r="B166">
        <v>3258166</v>
      </c>
      <c r="C166">
        <v>219750</v>
      </c>
      <c r="D166" s="17">
        <f t="shared" si="3"/>
        <v>219750</v>
      </c>
      <c r="E166" s="49">
        <f>VLOOKUP($A166,'Data shares'!$C:$FA,128)*100</f>
        <v>87.42</v>
      </c>
      <c r="F166" s="49">
        <f>VLOOKUP($A166,'Data shares'!$C:$FA,129)</f>
        <v>6445550</v>
      </c>
    </row>
    <row r="167" spans="1:6" x14ac:dyDescent="0.25">
      <c r="A167" t="s">
        <v>249</v>
      </c>
      <c r="B167">
        <v>277168216</v>
      </c>
      <c r="C167">
        <v>21795375</v>
      </c>
      <c r="D167" s="17">
        <f t="shared" si="3"/>
        <v>21795375</v>
      </c>
      <c r="E167" s="49">
        <f>VLOOKUP($A167,'Data shares'!$C:$FA,128)*100</f>
        <v>70.179999999999993</v>
      </c>
      <c r="F167" s="49">
        <f>VLOOKUP($A167,'Data shares'!$C:$FA,129)</f>
        <v>8494850</v>
      </c>
    </row>
    <row r="168" spans="1:6" x14ac:dyDescent="0.25">
      <c r="A168" t="s">
        <v>216</v>
      </c>
      <c r="B168">
        <v>484955219</v>
      </c>
      <c r="C168">
        <v>230400000</v>
      </c>
      <c r="D168" s="17">
        <f t="shared" si="3"/>
        <v>230400000</v>
      </c>
      <c r="E168" s="49">
        <f>VLOOKUP($A168,'Data shares'!$C:$FA,128)*100</f>
        <v>76.13</v>
      </c>
      <c r="F168" s="49">
        <f>VLOOKUP($A168,'Data shares'!$C:$FA,129)</f>
        <v>127705275</v>
      </c>
    </row>
    <row r="169" spans="1:6" x14ac:dyDescent="0.25">
      <c r="A169" t="s">
        <v>252</v>
      </c>
      <c r="B169">
        <v>117640832</v>
      </c>
      <c r="C169">
        <v>52456000</v>
      </c>
      <c r="D169" s="17">
        <f t="shared" si="3"/>
        <v>52456000</v>
      </c>
      <c r="E169" s="49">
        <f>VLOOKUP($A169,'Data shares'!$C:$FA,128)*100</f>
        <v>80.87</v>
      </c>
      <c r="F169" s="49">
        <f>VLOOKUP($A169,'Data shares'!$C:$FA,129)</f>
        <v>11346000</v>
      </c>
    </row>
    <row r="170" spans="1:6" x14ac:dyDescent="0.25">
      <c r="A170" t="s">
        <v>205</v>
      </c>
      <c r="B170">
        <v>25513876</v>
      </c>
      <c r="C170">
        <v>3302300</v>
      </c>
      <c r="D170" s="17">
        <f t="shared" si="3"/>
        <v>3302300</v>
      </c>
      <c r="E170" s="49">
        <f>VLOOKUP($A170,'Data shares'!$C:$FA,128)*100</f>
        <v>80.739999999999995</v>
      </c>
      <c r="F170" s="49">
        <f>VLOOKUP($A170,'Data shares'!$C:$FA,129)</f>
        <v>1456600</v>
      </c>
    </row>
    <row r="171" spans="1:6" x14ac:dyDescent="0.25">
      <c r="A171" t="s">
        <v>194</v>
      </c>
      <c r="B171">
        <v>202646440</v>
      </c>
      <c r="C171">
        <v>52470000</v>
      </c>
      <c r="D171" s="17">
        <f t="shared" si="3"/>
        <v>52470000</v>
      </c>
      <c r="E171" s="49">
        <f>VLOOKUP($A171,'Data shares'!$C:$FA,128)*100</f>
        <v>53.2</v>
      </c>
      <c r="F171" s="49">
        <f>VLOOKUP($A171,'Data shares'!$C:$FA,129)</f>
        <v>20200300</v>
      </c>
    </row>
    <row r="172" spans="1:6" x14ac:dyDescent="0.25">
      <c r="A172" t="s">
        <v>263</v>
      </c>
      <c r="B172">
        <v>178967755</v>
      </c>
      <c r="C172">
        <v>142910500</v>
      </c>
      <c r="D172" s="17">
        <f t="shared" si="3"/>
        <v>142910500</v>
      </c>
      <c r="E172" s="49">
        <f>VLOOKUP($A172,'Data shares'!$C:$FA,128)*100</f>
        <v>72.72999999999999</v>
      </c>
      <c r="F172" s="49">
        <f>VLOOKUP($A172,'Data shares'!$C:$FA,129)</f>
        <v>30648750</v>
      </c>
    </row>
    <row r="173" spans="1:6" x14ac:dyDescent="0.25">
      <c r="A173" t="s">
        <v>476</v>
      </c>
      <c r="B173">
        <v>40446155</v>
      </c>
      <c r="C173">
        <v>4358800</v>
      </c>
      <c r="D173" s="17">
        <f t="shared" si="3"/>
        <v>4358800</v>
      </c>
      <c r="E173" s="49">
        <f>VLOOKUP($A173,'Data shares'!$C:$FA,128)*100</f>
        <v>73.17</v>
      </c>
      <c r="F173" s="49">
        <f>VLOOKUP($A173,'Data shares'!$C:$FA,129)</f>
        <v>1794500</v>
      </c>
    </row>
    <row r="174" spans="1:6" x14ac:dyDescent="0.25">
      <c r="A174" t="s">
        <v>187</v>
      </c>
      <c r="B174">
        <v>51436398</v>
      </c>
      <c r="C174">
        <v>7413750</v>
      </c>
      <c r="D174" s="17">
        <f t="shared" si="3"/>
        <v>7413750</v>
      </c>
      <c r="E174" s="49">
        <f>VLOOKUP($A174,'Data shares'!$C:$FA,128)*100</f>
        <v>89.98</v>
      </c>
      <c r="F174" s="49">
        <f>VLOOKUP($A174,'Data shares'!$C:$FA,129)</f>
        <v>7303500</v>
      </c>
    </row>
    <row r="175" spans="1:6" x14ac:dyDescent="0.25">
      <c r="A175" t="s">
        <v>493</v>
      </c>
      <c r="B175">
        <v>14814614</v>
      </c>
      <c r="C175">
        <v>3344250</v>
      </c>
      <c r="D175" s="17">
        <f t="shared" si="3"/>
        <v>3344250</v>
      </c>
      <c r="E175" s="49">
        <f>VLOOKUP($A175,'Data shares'!$C:$FA,128)*100</f>
        <v>87.33</v>
      </c>
      <c r="F175" s="49">
        <f>VLOOKUP($A175,'Data shares'!$C:$FA,129)</f>
        <v>1448525</v>
      </c>
    </row>
    <row r="176" spans="1:6" x14ac:dyDescent="0.25">
      <c r="A176" t="s">
        <v>525</v>
      </c>
      <c r="B176">
        <v>35635456</v>
      </c>
      <c r="C176">
        <v>28959300</v>
      </c>
      <c r="D176" s="17">
        <f t="shared" si="3"/>
        <v>28959300</v>
      </c>
      <c r="E176" s="49">
        <f>VLOOKUP($A176,'Data shares'!$C:$FA,128)*100</f>
        <v>87.4</v>
      </c>
      <c r="F176" s="49">
        <f>VLOOKUP($A176,'Data shares'!$C:$FA,129)</f>
        <v>11030700</v>
      </c>
    </row>
    <row r="177" spans="1:6" x14ac:dyDescent="0.25">
      <c r="A177" t="s">
        <v>512</v>
      </c>
      <c r="B177">
        <v>7771646</v>
      </c>
      <c r="C177">
        <v>1119375</v>
      </c>
      <c r="D177" s="17">
        <f t="shared" si="3"/>
        <v>1119375</v>
      </c>
      <c r="E177" s="49">
        <f>VLOOKUP($A177,'Data shares'!$C:$FA,128)*100</f>
        <v>77.25</v>
      </c>
      <c r="F177" s="49">
        <f>VLOOKUP($A177,'Data shares'!$C:$FA,129)</f>
        <v>1181200</v>
      </c>
    </row>
    <row r="178" spans="1:6" x14ac:dyDescent="0.25">
      <c r="A178" t="s">
        <v>233</v>
      </c>
      <c r="B178">
        <v>76432837</v>
      </c>
      <c r="C178">
        <v>9804000</v>
      </c>
      <c r="D178" s="17">
        <f t="shared" si="3"/>
        <v>9804000</v>
      </c>
      <c r="E178" s="49">
        <f>VLOOKUP($A178,'Data shares'!$C:$FA,128)*100</f>
        <v>88.160000000000011</v>
      </c>
      <c r="F178" s="49">
        <f>VLOOKUP($A178,'Data shares'!$C:$FA,129)</f>
        <v>7220550</v>
      </c>
    </row>
    <row r="179" spans="1:6" x14ac:dyDescent="0.25">
      <c r="A179" t="s">
        <v>183</v>
      </c>
      <c r="B179">
        <v>12092405</v>
      </c>
      <c r="C179">
        <v>2606450</v>
      </c>
      <c r="D179" s="17">
        <f t="shared" si="3"/>
        <v>2606450</v>
      </c>
      <c r="E179" s="49">
        <f>VLOOKUP($A179,'Data shares'!$C:$FA,128)*100</f>
        <v>61.62</v>
      </c>
      <c r="F179" s="49">
        <f>VLOOKUP($A179,'Data shares'!$C:$FA,129)</f>
        <v>958895</v>
      </c>
    </row>
    <row r="180" spans="1:6" x14ac:dyDescent="0.25">
      <c r="A180" t="s">
        <v>280</v>
      </c>
      <c r="B180">
        <v>187084550</v>
      </c>
      <c r="C180">
        <v>50568000</v>
      </c>
      <c r="D180" s="17">
        <f t="shared" si="3"/>
        <v>50568000</v>
      </c>
      <c r="E180" s="49">
        <f>VLOOKUP($A180,'Data shares'!$C:$FA,128)*100</f>
        <v>81.31</v>
      </c>
      <c r="F180" s="49">
        <f>VLOOKUP($A180,'Data shares'!$C:$FA,129)</f>
        <v>49575825</v>
      </c>
    </row>
    <row r="181" spans="1:6" x14ac:dyDescent="0.25">
      <c r="A181" t="s">
        <v>166</v>
      </c>
      <c r="B181">
        <v>79597108</v>
      </c>
      <c r="C181">
        <v>26630000</v>
      </c>
      <c r="D181" s="17">
        <f t="shared" si="3"/>
        <v>26630000</v>
      </c>
      <c r="E181" s="49">
        <f>VLOOKUP($A181,'Data shares'!$C:$FA,128)*100</f>
        <v>76.539999999999992</v>
      </c>
      <c r="F181" s="49">
        <f>VLOOKUP($A181,'Data shares'!$C:$FA,129)</f>
        <v>1404625</v>
      </c>
    </row>
    <row r="182" spans="1:6" x14ac:dyDescent="0.25">
      <c r="A182" t="s">
        <v>241</v>
      </c>
      <c r="B182">
        <v>913205148</v>
      </c>
      <c r="C182">
        <v>118527500</v>
      </c>
      <c r="D182" s="17">
        <f t="shared" si="3"/>
        <v>118527500</v>
      </c>
      <c r="E182" s="49">
        <f>VLOOKUP($A182,'Data shares'!$C:$FA,128)*100</f>
        <v>65.39</v>
      </c>
      <c r="F182" s="49">
        <f>VLOOKUP($A182,'Data shares'!$C:$FA,129)</f>
        <v>57505500</v>
      </c>
    </row>
    <row r="183" spans="1:6" x14ac:dyDescent="0.25">
      <c r="A183" t="s">
        <v>517</v>
      </c>
      <c r="B183">
        <v>10180563</v>
      </c>
      <c r="C183">
        <v>3926650</v>
      </c>
      <c r="D183" s="17">
        <f t="shared" si="3"/>
        <v>3926650</v>
      </c>
      <c r="E183" s="49">
        <f>VLOOKUP($A183,'Data shares'!$C:$FA,128)*100</f>
        <v>79.25</v>
      </c>
      <c r="F183" s="49">
        <f>VLOOKUP($A183,'Data shares'!$C:$FA,129)</f>
        <v>1692875</v>
      </c>
    </row>
    <row r="184" spans="1:6" x14ac:dyDescent="0.25">
      <c r="A184" t="s">
        <v>211</v>
      </c>
      <c r="B184">
        <v>91809066</v>
      </c>
      <c r="C184">
        <v>33516000</v>
      </c>
      <c r="D184" s="17">
        <f t="shared" si="3"/>
        <v>33516000</v>
      </c>
      <c r="E184" s="49">
        <f>VLOOKUP($A184,'Data shares'!$C:$FA,128)*100</f>
        <v>79.540000000000006</v>
      </c>
      <c r="F184" s="49">
        <f>VLOOKUP($A184,'Data shares'!$C:$FA,129)</f>
        <v>18750600</v>
      </c>
    </row>
    <row r="185" spans="1:6" x14ac:dyDescent="0.25">
      <c r="A185" t="s">
        <v>518</v>
      </c>
      <c r="B185">
        <v>4636018</v>
      </c>
      <c r="C185">
        <v>608375</v>
      </c>
      <c r="D185" s="17">
        <f t="shared" si="3"/>
        <v>608375</v>
      </c>
      <c r="E185" s="49">
        <f>VLOOKUP($A185,'Data shares'!$C:$FA,128)*100</f>
        <v>73.5</v>
      </c>
      <c r="F185" s="49">
        <f>VLOOKUP($A185,'Data shares'!$C:$FA,129)</f>
        <v>783000</v>
      </c>
    </row>
    <row r="186" spans="1:6" x14ac:dyDescent="0.25">
      <c r="A186" t="s">
        <v>511</v>
      </c>
      <c r="B186">
        <v>18644752</v>
      </c>
      <c r="C186">
        <v>4227600</v>
      </c>
      <c r="D186" s="17">
        <f t="shared" si="3"/>
        <v>4227600</v>
      </c>
      <c r="E186" s="49">
        <f>VLOOKUP($A186,'Data shares'!$C:$FA,128)*100</f>
        <v>81.73</v>
      </c>
      <c r="F186" s="49">
        <f>VLOOKUP($A186,'Data shares'!$C:$FA,129)</f>
        <v>146407500</v>
      </c>
    </row>
    <row r="187" spans="1:6" x14ac:dyDescent="0.25">
      <c r="A187" t="s">
        <v>186</v>
      </c>
      <c r="B187">
        <v>48589957</v>
      </c>
      <c r="C187">
        <v>5942200</v>
      </c>
      <c r="D187" s="17">
        <f t="shared" si="3"/>
        <v>5942200</v>
      </c>
      <c r="E187" s="49">
        <f>VLOOKUP($A187,'Data shares'!$C:$FA,128)*100</f>
        <v>83.43</v>
      </c>
      <c r="F187" s="49">
        <f>VLOOKUP($A187,'Data shares'!$C:$FA,129)</f>
        <v>66926550</v>
      </c>
    </row>
    <row r="188" spans="1:6" x14ac:dyDescent="0.25">
      <c r="A188" t="s">
        <v>522</v>
      </c>
      <c r="B188">
        <v>1063050</v>
      </c>
      <c r="C188">
        <v>54050</v>
      </c>
      <c r="D188" s="17">
        <f t="shared" si="3"/>
        <v>54050</v>
      </c>
      <c r="E188" s="49">
        <f>VLOOKUP($A188,'Data shares'!$C:$FA,128)*100</f>
        <v>86.76</v>
      </c>
      <c r="F188" s="49">
        <f>VLOOKUP($A188,'Data shares'!$C:$FA,129)</f>
        <v>1782375</v>
      </c>
    </row>
    <row r="189" spans="1:6" x14ac:dyDescent="0.25">
      <c r="A189" t="s">
        <v>300</v>
      </c>
      <c r="B189">
        <v>45360865</v>
      </c>
      <c r="C189">
        <v>14277200</v>
      </c>
      <c r="D189" s="17">
        <f t="shared" si="3"/>
        <v>14277200</v>
      </c>
      <c r="E189" s="49">
        <f>VLOOKUP($A189,'Data shares'!$C:$FA,128)*100</f>
        <v>83.07</v>
      </c>
      <c r="F189" s="49">
        <f>VLOOKUP($A189,'Data shares'!$C:$FA,129)</f>
        <v>5591950</v>
      </c>
    </row>
    <row r="190" spans="1:6" x14ac:dyDescent="0.25">
      <c r="A190" t="s">
        <v>520</v>
      </c>
      <c r="B190">
        <v>23139622</v>
      </c>
      <c r="C190">
        <v>1555500</v>
      </c>
      <c r="D190" s="17">
        <f t="shared" si="3"/>
        <v>1555500</v>
      </c>
      <c r="E190" s="49">
        <f>VLOOKUP($A190,'Data shares'!$C:$FA,128)*100</f>
        <v>91.35</v>
      </c>
      <c r="F190" s="49">
        <f>VLOOKUP($A190,'Data shares'!$C:$FA,129)</f>
        <v>6284000</v>
      </c>
    </row>
    <row r="191" spans="1:6" x14ac:dyDescent="0.25">
      <c r="A191" t="s">
        <v>294</v>
      </c>
      <c r="B191">
        <v>161436977</v>
      </c>
      <c r="C191">
        <v>59382700</v>
      </c>
      <c r="D191" s="17">
        <f t="shared" si="3"/>
        <v>59382700</v>
      </c>
      <c r="E191" s="49">
        <f>VLOOKUP($A191,'Data shares'!$C:$FA,128)*100</f>
        <v>82.84</v>
      </c>
      <c r="F191" s="49">
        <f>VLOOKUP($A191,'Data shares'!$C:$FA,129)</f>
        <v>115329500</v>
      </c>
    </row>
    <row r="192" spans="1:6" x14ac:dyDescent="0.25">
      <c r="A192" t="s">
        <v>244</v>
      </c>
      <c r="B192">
        <v>265685393</v>
      </c>
      <c r="C192">
        <v>44023500</v>
      </c>
      <c r="D192" s="17">
        <f t="shared" si="3"/>
        <v>44023500</v>
      </c>
      <c r="E192" s="49">
        <f>VLOOKUP($A192,'Data shares'!$C:$FA,128)*100</f>
        <v>86.539999999999992</v>
      </c>
      <c r="F192" s="49">
        <f>VLOOKUP($A192,'Data shares'!$C:$FA,129)</f>
        <v>32053725</v>
      </c>
    </row>
    <row r="193" spans="1:6" x14ac:dyDescent="0.25">
      <c r="A193" t="s">
        <v>160</v>
      </c>
      <c r="B193">
        <v>145684825</v>
      </c>
      <c r="C193">
        <v>110820000</v>
      </c>
      <c r="D193" s="17">
        <f t="shared" si="3"/>
        <v>110820000</v>
      </c>
      <c r="E193" s="49">
        <f>VLOOKUP($A193,'Data shares'!$C:$FA,128)*100</f>
        <v>78.03</v>
      </c>
      <c r="F193" s="49">
        <f>VLOOKUP($A193,'Data shares'!$C:$FA,129)</f>
        <v>12830700</v>
      </c>
    </row>
    <row r="194" spans="1:6" x14ac:dyDescent="0.25">
      <c r="A194" t="s">
        <v>496</v>
      </c>
      <c r="B194">
        <v>11999202</v>
      </c>
      <c r="C194">
        <v>2345700</v>
      </c>
      <c r="D194" s="17">
        <f t="shared" si="3"/>
        <v>2345700</v>
      </c>
      <c r="E194" s="49">
        <f>VLOOKUP($A194,'Data shares'!$C:$FA,128)*100</f>
        <v>89.12</v>
      </c>
      <c r="F194" s="49">
        <f>VLOOKUP($A194,'Data shares'!$C:$FA,129)</f>
        <v>6078100</v>
      </c>
    </row>
    <row r="195" spans="1:6" x14ac:dyDescent="0.25">
      <c r="A195" t="s">
        <v>230</v>
      </c>
      <c r="B195">
        <v>179034270</v>
      </c>
      <c r="C195">
        <v>24257400</v>
      </c>
      <c r="D195" s="17">
        <f t="shared" si="3"/>
        <v>24257400</v>
      </c>
      <c r="E195" s="49">
        <f>VLOOKUP($A195,'Data shares'!$C:$FA,128)*100</f>
        <v>88.96</v>
      </c>
      <c r="F195" s="49">
        <f>VLOOKUP($A195,'Data shares'!$C:$FA,129)</f>
        <v>12140400</v>
      </c>
    </row>
    <row r="196" spans="1:6" x14ac:dyDescent="0.25">
      <c r="A196" t="s">
        <v>203</v>
      </c>
      <c r="B196">
        <v>27165463</v>
      </c>
      <c r="C196">
        <v>3318000</v>
      </c>
      <c r="D196" s="17">
        <f t="shared" si="3"/>
        <v>3318000</v>
      </c>
      <c r="E196" s="49">
        <f>VLOOKUP($A196,'Data shares'!$C:$FA,128)*100</f>
        <v>87.75</v>
      </c>
      <c r="F196" s="49">
        <f>VLOOKUP($A196,'Data shares'!$C:$FA,129)</f>
        <v>1902000</v>
      </c>
    </row>
    <row r="197" spans="1:6" x14ac:dyDescent="0.25">
      <c r="A197" t="s">
        <v>251</v>
      </c>
      <c r="B197">
        <v>184464522</v>
      </c>
      <c r="C197">
        <v>32566800</v>
      </c>
      <c r="D197" s="17">
        <f t="shared" si="3"/>
        <v>32566800</v>
      </c>
      <c r="E197" s="49">
        <f>VLOOKUP($A197,'Data shares'!$C:$FA,128)*100</f>
        <v>80.87</v>
      </c>
      <c r="F197" s="49">
        <f>VLOOKUP($A197,'Data shares'!$C:$FA,129)</f>
        <v>11346000</v>
      </c>
    </row>
    <row r="198" spans="1:6" x14ac:dyDescent="0.25">
      <c r="A198" t="s">
        <v>254</v>
      </c>
      <c r="B198">
        <v>104419539</v>
      </c>
      <c r="C198">
        <v>12741000</v>
      </c>
      <c r="D198" s="17">
        <f t="shared" si="3"/>
        <v>12741000</v>
      </c>
      <c r="E198" s="49">
        <f>VLOOKUP($A198,'Data shares'!$C:$FA,128)*100</f>
        <v>87.460000000000008</v>
      </c>
      <c r="F198" s="49">
        <f>VLOOKUP($A198,'Data shares'!$C:$FA,129)</f>
        <v>19030800</v>
      </c>
    </row>
    <row r="199" spans="1:6" x14ac:dyDescent="0.25">
      <c r="A199" t="s">
        <v>159</v>
      </c>
      <c r="B199">
        <v>55169320</v>
      </c>
      <c r="C199">
        <v>29565500</v>
      </c>
      <c r="D199" s="17">
        <f t="shared" si="3"/>
        <v>29565500</v>
      </c>
      <c r="E199" s="49">
        <f>VLOOKUP($A199,'Data shares'!$C:$FA,128)*100</f>
        <v>80.17</v>
      </c>
      <c r="F199" s="49">
        <f>VLOOKUP($A199,'Data shares'!$C:$FA,129)</f>
        <v>8763000</v>
      </c>
    </row>
    <row r="200" spans="1:6" x14ac:dyDescent="0.25">
      <c r="A200" t="s">
        <v>201</v>
      </c>
      <c r="B200">
        <v>26654592</v>
      </c>
      <c r="C200">
        <v>3469200</v>
      </c>
      <c r="D200" s="17">
        <f t="shared" si="3"/>
        <v>3469200</v>
      </c>
      <c r="E200" s="49">
        <f>VLOOKUP($A200,'Data shares'!$C:$FA,128)*100</f>
        <v>90.91</v>
      </c>
      <c r="F200" s="49">
        <f>VLOOKUP($A200,'Data shares'!$C:$FA,129)</f>
        <v>4233825</v>
      </c>
    </row>
    <row r="201" spans="1:6" x14ac:dyDescent="0.25">
      <c r="A201" t="s">
        <v>199</v>
      </c>
      <c r="B201">
        <v>102562642</v>
      </c>
      <c r="C201">
        <v>20641400</v>
      </c>
      <c r="D201" s="17">
        <f t="shared" si="3"/>
        <v>20641400</v>
      </c>
      <c r="E201" s="49">
        <f>VLOOKUP($A201,'Data shares'!$C:$FA,128)*100</f>
        <v>86.77</v>
      </c>
      <c r="F201" s="49">
        <f>VLOOKUP($A201,'Data shares'!$C:$FA,129)</f>
        <v>10540875</v>
      </c>
    </row>
    <row r="202" spans="1:6" x14ac:dyDescent="0.25">
      <c r="A202" t="s">
        <v>296</v>
      </c>
      <c r="B202">
        <v>124861039</v>
      </c>
      <c r="C202">
        <v>20543400</v>
      </c>
      <c r="D202" s="17">
        <f t="shared" si="3"/>
        <v>20543400</v>
      </c>
      <c r="E202" s="49">
        <f>VLOOKUP($A202,'Data shares'!$C:$FA,128)*100</f>
        <v>83.08</v>
      </c>
      <c r="F202" s="49">
        <f>VLOOKUP($A202,'Data shares'!$C:$FA,129)</f>
        <v>9984000</v>
      </c>
    </row>
    <row r="203" spans="1:6" x14ac:dyDescent="0.25">
      <c r="A203" t="s">
        <v>229</v>
      </c>
      <c r="B203">
        <v>127940594</v>
      </c>
      <c r="C203">
        <v>33552900</v>
      </c>
      <c r="D203" s="17">
        <f t="shared" si="3"/>
        <v>33552900</v>
      </c>
      <c r="E203" s="49">
        <f>VLOOKUP($A203,'Data shares'!$C:$FA,128)*100</f>
        <v>66.569999999999993</v>
      </c>
      <c r="F203" s="49">
        <f>VLOOKUP($A203,'Data shares'!$C:$FA,129)</f>
        <v>26825175</v>
      </c>
    </row>
    <row r="204" spans="1:6" x14ac:dyDescent="0.25">
      <c r="A204" t="s">
        <v>497</v>
      </c>
      <c r="B204">
        <v>10251929</v>
      </c>
      <c r="C204">
        <v>266200</v>
      </c>
      <c r="D204" s="17">
        <f t="shared" si="3"/>
        <v>266200</v>
      </c>
      <c r="E204" s="49">
        <f>VLOOKUP($A204,'Data shares'!$C:$FA,128)*100</f>
        <v>89.12</v>
      </c>
      <c r="F204" s="49">
        <f>VLOOKUP($A204,'Data shares'!$C:$FA,129)</f>
        <v>897625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07" zoomScale="86" zoomScaleNormal="86" workbookViewId="0">
      <selection activeCell="K110" sqref="K110"/>
    </sheetView>
  </sheetViews>
  <sheetFormatPr defaultRowHeight="15" x14ac:dyDescent="0.25"/>
  <cols>
    <col min="1" max="1" width="12.1406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8.28515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6.2851562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45957</v>
      </c>
      <c r="B2" s="227" t="s">
        <v>175</v>
      </c>
      <c r="C2" s="227" t="s">
        <v>683</v>
      </c>
      <c r="D2" s="228">
        <v>500</v>
      </c>
      <c r="E2" s="228">
        <v>1</v>
      </c>
      <c r="F2" s="231">
        <v>1174.0999999999999</v>
      </c>
      <c r="G2" s="231">
        <v>1180.5999999999999</v>
      </c>
      <c r="H2" s="228">
        <v>-6.5</v>
      </c>
      <c r="I2" s="229">
        <v>-5.4999999999999997E-3</v>
      </c>
      <c r="J2" s="231">
        <v>1173</v>
      </c>
      <c r="K2" s="231">
        <v>1185.7</v>
      </c>
      <c r="L2" s="228">
        <v>-12.7</v>
      </c>
      <c r="M2" s="229">
        <v>-1.0699999999999999E-2</v>
      </c>
      <c r="N2" s="231">
        <v>1174.0999999999999</v>
      </c>
      <c r="O2" s="231">
        <v>1180.5999999999999</v>
      </c>
      <c r="P2" s="228">
        <v>-6.5</v>
      </c>
      <c r="Q2" s="229">
        <v>-5.4999999999999997E-3</v>
      </c>
      <c r="R2" s="231">
        <v>1180.4000000000001</v>
      </c>
      <c r="S2" s="231">
        <v>1187.5</v>
      </c>
      <c r="T2" s="228">
        <v>-7.1</v>
      </c>
      <c r="U2" s="229">
        <v>-6.0000000000000001E-3</v>
      </c>
      <c r="V2" s="231">
        <v>1184.5</v>
      </c>
      <c r="W2" s="231">
        <v>1193.2</v>
      </c>
      <c r="X2" s="228">
        <v>-8.6999999999999993</v>
      </c>
      <c r="Y2" s="229">
        <v>-7.3000000000000001E-3</v>
      </c>
      <c r="Z2" s="228">
        <v>1.1000000000000001</v>
      </c>
      <c r="AA2" s="228">
        <v>-5.0999999999999996</v>
      </c>
      <c r="AB2" s="228">
        <v>6.2</v>
      </c>
      <c r="AC2" s="229">
        <v>8.9999999999999998E-4</v>
      </c>
      <c r="AD2" s="228">
        <v>1.1000000000000001</v>
      </c>
      <c r="AE2" s="228">
        <v>-5.0999999999999996</v>
      </c>
      <c r="AF2" s="228">
        <v>6.2</v>
      </c>
      <c r="AG2" s="229">
        <v>8.9999999999999998E-4</v>
      </c>
      <c r="AH2" s="228">
        <v>7.4</v>
      </c>
      <c r="AI2" s="228">
        <v>1.8</v>
      </c>
      <c r="AJ2" s="228">
        <v>5.6</v>
      </c>
      <c r="AK2" s="229">
        <v>6.3E-3</v>
      </c>
      <c r="AL2" s="228">
        <v>11.5</v>
      </c>
      <c r="AM2" s="228">
        <v>7.5</v>
      </c>
      <c r="AN2" s="228">
        <v>4</v>
      </c>
      <c r="AO2" s="229">
        <v>9.7999999999999997E-3</v>
      </c>
      <c r="AP2" s="231">
        <v>1179.58</v>
      </c>
      <c r="AQ2" s="231">
        <v>1185.26</v>
      </c>
      <c r="AR2" s="228">
        <v>0</v>
      </c>
      <c r="AS2" s="228">
        <v>317</v>
      </c>
      <c r="AT2" s="228">
        <v>327</v>
      </c>
      <c r="AU2" s="228">
        <v>-9</v>
      </c>
      <c r="AV2" s="229">
        <v>-2.7900000000000001E-2</v>
      </c>
      <c r="AW2" s="228">
        <v>145</v>
      </c>
      <c r="AX2" s="228">
        <v>173</v>
      </c>
      <c r="AY2" s="228">
        <v>-28</v>
      </c>
      <c r="AZ2" s="229">
        <v>-0.1643</v>
      </c>
      <c r="BA2" s="228">
        <v>172</v>
      </c>
      <c r="BB2" s="228">
        <v>153</v>
      </c>
      <c r="BC2" s="228">
        <v>19</v>
      </c>
      <c r="BD2" s="229">
        <v>0.12529999999999999</v>
      </c>
      <c r="BE2" s="228">
        <v>0</v>
      </c>
      <c r="BF2" s="228">
        <v>0</v>
      </c>
      <c r="BG2" s="228">
        <v>0</v>
      </c>
      <c r="BH2" s="229">
        <v>1.5</v>
      </c>
      <c r="BI2" s="228">
        <v>186</v>
      </c>
      <c r="BJ2" s="228">
        <v>380</v>
      </c>
      <c r="BK2" s="228">
        <v>-194</v>
      </c>
      <c r="BL2" s="229">
        <v>-0.51060000000000005</v>
      </c>
      <c r="BM2" s="228">
        <v>162</v>
      </c>
      <c r="BN2" s="228">
        <v>166</v>
      </c>
      <c r="BO2" s="228">
        <v>-4</v>
      </c>
      <c r="BP2" s="229">
        <v>-2.6100000000000002E-2</v>
      </c>
      <c r="BQ2" s="228">
        <v>665</v>
      </c>
      <c r="BR2" s="228">
        <v>873</v>
      </c>
      <c r="BS2" s="228">
        <v>-207</v>
      </c>
      <c r="BT2" s="229">
        <v>-0.23760000000000001</v>
      </c>
      <c r="BU2" s="230">
        <v>614376</v>
      </c>
      <c r="BV2" s="230">
        <v>508201</v>
      </c>
      <c r="BW2" s="230">
        <v>106175</v>
      </c>
      <c r="BX2" s="229">
        <v>0.2089</v>
      </c>
      <c r="BY2" s="228">
        <v>319</v>
      </c>
      <c r="BZ2" s="228">
        <v>392</v>
      </c>
      <c r="CA2" s="228">
        <v>-73</v>
      </c>
      <c r="CB2" s="229">
        <v>-0.1862</v>
      </c>
      <c r="CC2" s="228">
        <v>86</v>
      </c>
      <c r="CD2" s="228">
        <v>181</v>
      </c>
      <c r="CE2" s="228">
        <v>-96</v>
      </c>
      <c r="CF2" s="229">
        <v>-0.52780000000000005</v>
      </c>
      <c r="CG2" s="228">
        <v>232</v>
      </c>
      <c r="CH2" s="228">
        <v>210</v>
      </c>
      <c r="CI2" s="228">
        <v>22</v>
      </c>
      <c r="CJ2" s="229">
        <v>0.10680000000000001</v>
      </c>
      <c r="CK2" s="228">
        <v>1</v>
      </c>
      <c r="CL2" s="228">
        <v>1</v>
      </c>
      <c r="CM2" s="228">
        <v>0</v>
      </c>
      <c r="CN2" s="229">
        <v>0.45450000000000002</v>
      </c>
      <c r="CO2" s="228">
        <v>225</v>
      </c>
      <c r="CP2" s="228">
        <v>252</v>
      </c>
      <c r="CQ2" s="228">
        <v>-26</v>
      </c>
      <c r="CR2" s="229">
        <v>-0.104</v>
      </c>
      <c r="CS2" s="228">
        <v>154</v>
      </c>
      <c r="CT2" s="228">
        <v>163</v>
      </c>
      <c r="CU2" s="228">
        <v>-9</v>
      </c>
      <c r="CV2" s="229">
        <v>-5.2299999999999999E-2</v>
      </c>
      <c r="CW2" s="228">
        <v>699</v>
      </c>
      <c r="CX2" s="228">
        <v>806</v>
      </c>
      <c r="CY2" s="228">
        <v>-108</v>
      </c>
      <c r="CZ2" s="229">
        <v>-0.13350000000000001</v>
      </c>
      <c r="DA2" s="228">
        <v>29.31</v>
      </c>
      <c r="DB2" s="228">
        <v>29.31</v>
      </c>
      <c r="DC2" s="228">
        <v>0</v>
      </c>
      <c r="DD2" s="228">
        <v>0</v>
      </c>
      <c r="DE2" s="228">
        <v>45.39</v>
      </c>
      <c r="DF2" s="228">
        <v>45.5</v>
      </c>
      <c r="DG2" s="228">
        <v>-16.079999999999998</v>
      </c>
      <c r="DH2" s="228">
        <v>-0.11</v>
      </c>
      <c r="DI2" s="228">
        <v>29.37</v>
      </c>
      <c r="DJ2" s="228">
        <v>28.93</v>
      </c>
      <c r="DK2" s="228">
        <v>0.44</v>
      </c>
      <c r="DL2" s="228">
        <v>0.44</v>
      </c>
      <c r="DM2" s="228">
        <v>29.21</v>
      </c>
      <c r="DN2" s="228">
        <v>29.87</v>
      </c>
      <c r="DO2" s="228">
        <v>-0.66</v>
      </c>
      <c r="DP2" s="228">
        <v>-0.66</v>
      </c>
      <c r="DQ2" s="228">
        <v>0.68</v>
      </c>
      <c r="DR2" s="228">
        <v>0.65</v>
      </c>
      <c r="DS2" s="228">
        <v>0.03</v>
      </c>
      <c r="DT2" s="229">
        <v>4.6199999999999998E-2</v>
      </c>
      <c r="DU2" s="231">
        <v>1200</v>
      </c>
      <c r="DV2" s="231">
        <v>1140</v>
      </c>
      <c r="DW2" s="228">
        <v>0.87</v>
      </c>
      <c r="DX2" s="228">
        <v>0.44</v>
      </c>
      <c r="DY2" s="228">
        <v>0.43</v>
      </c>
      <c r="DZ2" s="229">
        <v>0.97729999999999995</v>
      </c>
      <c r="EA2" s="229">
        <v>0.73170000000000002</v>
      </c>
      <c r="EB2" s="230">
        <v>1794500</v>
      </c>
      <c r="EC2" s="229">
        <v>5.4000000000000003E-3</v>
      </c>
      <c r="ED2" s="229">
        <v>0.73170000000000002</v>
      </c>
      <c r="EE2" s="228">
        <v>5.68</v>
      </c>
      <c r="EF2" s="229">
        <v>4.7999999999999996E-3</v>
      </c>
      <c r="EG2" s="230">
        <v>384238</v>
      </c>
      <c r="EH2" s="230">
        <v>250853</v>
      </c>
      <c r="EI2" s="229">
        <v>0.53169999999999995</v>
      </c>
      <c r="EJ2" s="229">
        <v>0.62539999999999996</v>
      </c>
      <c r="EK2" s="228">
        <v>192.29</v>
      </c>
      <c r="EL2" s="228">
        <v>151.43</v>
      </c>
      <c r="EM2" s="228">
        <v>319.79000000000002</v>
      </c>
      <c r="EN2" s="228">
        <v>45.2</v>
      </c>
      <c r="EO2" s="228">
        <v>663.51</v>
      </c>
      <c r="EP2" s="228">
        <v>886.55</v>
      </c>
      <c r="EQ2" s="228">
        <v>-223.04</v>
      </c>
      <c r="ER2" s="229">
        <v>-0.25159999999999999</v>
      </c>
      <c r="ES2" s="228">
        <v>228.54</v>
      </c>
      <c r="ET2" s="228">
        <v>144.85</v>
      </c>
      <c r="EU2" s="228">
        <v>320.26</v>
      </c>
      <c r="EV2" s="231">
        <v>44660948</v>
      </c>
      <c r="EW2" s="228">
        <v>693.65</v>
      </c>
      <c r="EX2" s="228">
        <v>803.76</v>
      </c>
      <c r="EY2" s="228">
        <v>-110.11</v>
      </c>
      <c r="EZ2" s="229">
        <v>-0.13700000000000001</v>
      </c>
      <c r="FA2" s="229">
        <v>0.13320000000000001</v>
      </c>
      <c r="FB2" s="227" t="s">
        <v>568</v>
      </c>
      <c r="FC2">
        <f>BY2-CC2</f>
        <v>233</v>
      </c>
    </row>
    <row r="3" spans="1:159" ht="17.25" thickBot="1" x14ac:dyDescent="0.3">
      <c r="A3" s="226">
        <v>45957</v>
      </c>
      <c r="B3" s="227" t="s">
        <v>184</v>
      </c>
      <c r="C3" s="227" t="s">
        <v>553</v>
      </c>
      <c r="D3" s="228">
        <v>125</v>
      </c>
      <c r="E3" s="228">
        <v>1</v>
      </c>
      <c r="F3" s="231">
        <v>5240</v>
      </c>
      <c r="G3" s="231">
        <v>5173.5</v>
      </c>
      <c r="H3" s="228">
        <v>66.5</v>
      </c>
      <c r="I3" s="229">
        <v>1.29E-2</v>
      </c>
      <c r="J3" s="231">
        <v>5238</v>
      </c>
      <c r="K3" s="231">
        <v>5181</v>
      </c>
      <c r="L3" s="228">
        <v>57</v>
      </c>
      <c r="M3" s="229">
        <v>1.0999999999999999E-2</v>
      </c>
      <c r="N3" s="231">
        <v>5240</v>
      </c>
      <c r="O3" s="231">
        <v>5173.5</v>
      </c>
      <c r="P3" s="228">
        <v>66.5</v>
      </c>
      <c r="Q3" s="229">
        <v>1.29E-2</v>
      </c>
      <c r="R3" s="231">
        <v>5238.5</v>
      </c>
      <c r="S3" s="231">
        <v>5172</v>
      </c>
      <c r="T3" s="228">
        <v>66.5</v>
      </c>
      <c r="U3" s="229">
        <v>1.29E-2</v>
      </c>
      <c r="V3" s="231">
        <v>5263</v>
      </c>
      <c r="W3" s="231">
        <v>5193.5</v>
      </c>
      <c r="X3" s="228">
        <v>69.5</v>
      </c>
      <c r="Y3" s="229">
        <v>1.34E-2</v>
      </c>
      <c r="Z3" s="228">
        <v>2</v>
      </c>
      <c r="AA3" s="228">
        <v>-7.5</v>
      </c>
      <c r="AB3" s="228">
        <v>9.5</v>
      </c>
      <c r="AC3" s="229">
        <v>4.0000000000000002E-4</v>
      </c>
      <c r="AD3" s="228">
        <v>2</v>
      </c>
      <c r="AE3" s="228">
        <v>-7.5</v>
      </c>
      <c r="AF3" s="228">
        <v>9.5</v>
      </c>
      <c r="AG3" s="229">
        <v>4.0000000000000002E-4</v>
      </c>
      <c r="AH3" s="228">
        <v>0.5</v>
      </c>
      <c r="AI3" s="228">
        <v>-9</v>
      </c>
      <c r="AJ3" s="228">
        <v>9.5</v>
      </c>
      <c r="AK3" s="229">
        <v>1E-4</v>
      </c>
      <c r="AL3" s="228">
        <v>25</v>
      </c>
      <c r="AM3" s="228">
        <v>12.5</v>
      </c>
      <c r="AN3" s="228">
        <v>12.5</v>
      </c>
      <c r="AO3" s="229">
        <v>4.7999999999999996E-3</v>
      </c>
      <c r="AP3" s="231">
        <v>5210.05</v>
      </c>
      <c r="AQ3" s="231">
        <v>5214.1499999999996</v>
      </c>
      <c r="AR3" s="228">
        <v>0</v>
      </c>
      <c r="AS3" s="228">
        <v>976</v>
      </c>
      <c r="AT3" s="230">
        <v>1208</v>
      </c>
      <c r="AU3" s="228">
        <v>-231</v>
      </c>
      <c r="AV3" s="229">
        <v>-0.19159999999999999</v>
      </c>
      <c r="AW3" s="228">
        <v>469</v>
      </c>
      <c r="AX3" s="228">
        <v>582</v>
      </c>
      <c r="AY3" s="228">
        <v>-113</v>
      </c>
      <c r="AZ3" s="229">
        <v>-0.19420000000000001</v>
      </c>
      <c r="BA3" s="228">
        <v>498</v>
      </c>
      <c r="BB3" s="228">
        <v>612</v>
      </c>
      <c r="BC3" s="228">
        <v>-114</v>
      </c>
      <c r="BD3" s="229">
        <v>-0.187</v>
      </c>
      <c r="BE3" s="228">
        <v>10</v>
      </c>
      <c r="BF3" s="228">
        <v>13</v>
      </c>
      <c r="BG3" s="228">
        <v>-4</v>
      </c>
      <c r="BH3" s="229">
        <v>-0.2913</v>
      </c>
      <c r="BI3" s="228">
        <v>719</v>
      </c>
      <c r="BJ3" s="228">
        <v>707</v>
      </c>
      <c r="BK3" s="228">
        <v>11</v>
      </c>
      <c r="BL3" s="229">
        <v>1.6E-2</v>
      </c>
      <c r="BM3" s="228">
        <v>359</v>
      </c>
      <c r="BN3" s="228">
        <v>512</v>
      </c>
      <c r="BO3" s="228">
        <v>-153</v>
      </c>
      <c r="BP3" s="229">
        <v>-0.29849999999999999</v>
      </c>
      <c r="BQ3" s="230">
        <v>2054</v>
      </c>
      <c r="BR3" s="230">
        <v>2427</v>
      </c>
      <c r="BS3" s="228">
        <v>-373</v>
      </c>
      <c r="BT3" s="229">
        <v>-0.1537</v>
      </c>
      <c r="BU3" s="230">
        <v>77451</v>
      </c>
      <c r="BV3" s="230">
        <v>251323</v>
      </c>
      <c r="BW3" s="230">
        <v>-173872</v>
      </c>
      <c r="BX3" s="229">
        <v>-0.69179999999999997</v>
      </c>
      <c r="BY3" s="230">
        <v>1370</v>
      </c>
      <c r="BZ3" s="230">
        <v>1372</v>
      </c>
      <c r="CA3" s="228">
        <v>-2</v>
      </c>
      <c r="CB3" s="229">
        <v>-1.5E-3</v>
      </c>
      <c r="CC3" s="228">
        <v>181</v>
      </c>
      <c r="CD3" s="228">
        <v>438</v>
      </c>
      <c r="CE3" s="228">
        <v>-256</v>
      </c>
      <c r="CF3" s="229">
        <v>-0.58579999999999999</v>
      </c>
      <c r="CG3" s="230">
        <v>1167</v>
      </c>
      <c r="CH3" s="228">
        <v>916</v>
      </c>
      <c r="CI3" s="228">
        <v>251</v>
      </c>
      <c r="CJ3" s="229">
        <v>0.27389999999999998</v>
      </c>
      <c r="CK3" s="228">
        <v>21</v>
      </c>
      <c r="CL3" s="228">
        <v>18</v>
      </c>
      <c r="CM3" s="228">
        <v>3</v>
      </c>
      <c r="CN3" s="229">
        <v>0.19189999999999999</v>
      </c>
      <c r="CO3" s="228">
        <v>586</v>
      </c>
      <c r="CP3" s="228">
        <v>629</v>
      </c>
      <c r="CQ3" s="228">
        <v>-43</v>
      </c>
      <c r="CR3" s="229">
        <v>-6.83E-2</v>
      </c>
      <c r="CS3" s="228">
        <v>436</v>
      </c>
      <c r="CT3" s="228">
        <v>434</v>
      </c>
      <c r="CU3" s="228">
        <v>2</v>
      </c>
      <c r="CV3" s="229">
        <v>5.1000000000000004E-3</v>
      </c>
      <c r="CW3" s="230">
        <v>2391</v>
      </c>
      <c r="CX3" s="230">
        <v>2434</v>
      </c>
      <c r="CY3" s="228">
        <v>-43</v>
      </c>
      <c r="CZ3" s="229">
        <v>-1.7600000000000001E-2</v>
      </c>
      <c r="DA3" s="228">
        <v>27.57</v>
      </c>
      <c r="DB3" s="228">
        <v>28.25</v>
      </c>
      <c r="DC3" s="228">
        <v>-0.68</v>
      </c>
      <c r="DD3" s="228">
        <v>-0.68</v>
      </c>
      <c r="DE3" s="228">
        <v>36.090000000000003</v>
      </c>
      <c r="DF3" s="228">
        <v>36.15</v>
      </c>
      <c r="DG3" s="228">
        <v>-8.52</v>
      </c>
      <c r="DH3" s="228">
        <v>-0.06</v>
      </c>
      <c r="DI3" s="228">
        <v>27.44</v>
      </c>
      <c r="DJ3" s="228">
        <v>27.34</v>
      </c>
      <c r="DK3" s="228">
        <v>0.1</v>
      </c>
      <c r="DL3" s="228">
        <v>0.1</v>
      </c>
      <c r="DM3" s="228">
        <v>27.77</v>
      </c>
      <c r="DN3" s="228">
        <v>29.28</v>
      </c>
      <c r="DO3" s="228">
        <v>-1.51</v>
      </c>
      <c r="DP3" s="228">
        <v>-1.51</v>
      </c>
      <c r="DQ3" s="228">
        <v>0.74</v>
      </c>
      <c r="DR3" s="228">
        <v>0.69</v>
      </c>
      <c r="DS3" s="228">
        <v>0.05</v>
      </c>
      <c r="DT3" s="229">
        <v>7.2499999999999995E-2</v>
      </c>
      <c r="DU3" s="231">
        <v>5300</v>
      </c>
      <c r="DV3" s="231">
        <v>5200</v>
      </c>
      <c r="DW3" s="228">
        <v>0.5</v>
      </c>
      <c r="DX3" s="228">
        <v>0.72</v>
      </c>
      <c r="DY3" s="228">
        <v>-0.22</v>
      </c>
      <c r="DZ3" s="229">
        <v>-0.30559999999999998</v>
      </c>
      <c r="EA3" s="229">
        <v>0.86760000000000004</v>
      </c>
      <c r="EB3" s="230">
        <v>1782375</v>
      </c>
      <c r="EC3" s="229">
        <v>-2.9999999999999997E-4</v>
      </c>
      <c r="ED3" s="229">
        <v>0.86760000000000004</v>
      </c>
      <c r="EE3" s="228">
        <v>4.0999999999999996</v>
      </c>
      <c r="EF3" s="229">
        <v>8.0000000000000004E-4</v>
      </c>
      <c r="EG3" s="230">
        <v>38384</v>
      </c>
      <c r="EH3" s="230">
        <v>172651</v>
      </c>
      <c r="EI3" s="229">
        <v>-0.77769999999999995</v>
      </c>
      <c r="EJ3" s="229">
        <v>0.49559999999999998</v>
      </c>
      <c r="EK3" s="228">
        <v>741.43</v>
      </c>
      <c r="EL3" s="228">
        <v>361.62</v>
      </c>
      <c r="EM3" s="228">
        <v>971.26</v>
      </c>
      <c r="EN3" s="228">
        <v>98.85</v>
      </c>
      <c r="EO3" s="231">
        <v>2074.31</v>
      </c>
      <c r="EP3" s="231">
        <v>2447.94</v>
      </c>
      <c r="EQ3" s="228">
        <v>-373.63</v>
      </c>
      <c r="ER3" s="229">
        <v>-0.15260000000000001</v>
      </c>
      <c r="ES3" s="228">
        <v>605.91</v>
      </c>
      <c r="ET3" s="228">
        <v>432.9</v>
      </c>
      <c r="EU3" s="231">
        <v>1369.36</v>
      </c>
      <c r="EV3" s="231">
        <v>7946564</v>
      </c>
      <c r="EW3" s="231">
        <v>2408.17</v>
      </c>
      <c r="EX3" s="231">
        <v>2434.17</v>
      </c>
      <c r="EY3" s="228">
        <v>-26</v>
      </c>
      <c r="EZ3" s="229">
        <v>-1.0699999999999999E-2</v>
      </c>
      <c r="FA3" s="229">
        <v>0.57430000000000003</v>
      </c>
      <c r="FB3" s="227" t="s">
        <v>556</v>
      </c>
      <c r="FC3">
        <f t="shared" ref="FC3:FC66" si="0">BY3-CC3</f>
        <v>1189</v>
      </c>
    </row>
    <row r="4" spans="1:159" ht="17.25" thickBot="1" x14ac:dyDescent="0.3">
      <c r="A4" s="226">
        <v>45957</v>
      </c>
      <c r="B4" s="227" t="s">
        <v>175</v>
      </c>
      <c r="C4" s="227" t="s">
        <v>544</v>
      </c>
      <c r="D4" s="228">
        <v>3100</v>
      </c>
      <c r="E4" s="228">
        <v>1</v>
      </c>
      <c r="F4" s="228">
        <v>310.8</v>
      </c>
      <c r="G4" s="228">
        <v>305.7</v>
      </c>
      <c r="H4" s="228">
        <v>5.0999999999999996</v>
      </c>
      <c r="I4" s="229">
        <v>1.67E-2</v>
      </c>
      <c r="J4" s="228">
        <v>310.75</v>
      </c>
      <c r="K4" s="228">
        <v>306.14999999999998</v>
      </c>
      <c r="L4" s="228">
        <v>4.5999999999999996</v>
      </c>
      <c r="M4" s="229">
        <v>1.4999999999999999E-2</v>
      </c>
      <c r="N4" s="228">
        <v>310.8</v>
      </c>
      <c r="O4" s="228">
        <v>305.7</v>
      </c>
      <c r="P4" s="228">
        <v>5.0999999999999996</v>
      </c>
      <c r="Q4" s="229">
        <v>1.67E-2</v>
      </c>
      <c r="R4" s="228">
        <v>312.8</v>
      </c>
      <c r="S4" s="228">
        <v>307.60000000000002</v>
      </c>
      <c r="T4" s="228">
        <v>5.2</v>
      </c>
      <c r="U4" s="229">
        <v>1.6899999999999998E-2</v>
      </c>
      <c r="V4" s="228">
        <v>314.64999999999998</v>
      </c>
      <c r="W4" s="228">
        <v>309.45</v>
      </c>
      <c r="X4" s="228">
        <v>5.2</v>
      </c>
      <c r="Y4" s="229">
        <v>1.6799999999999999E-2</v>
      </c>
      <c r="Z4" s="228">
        <v>0.05</v>
      </c>
      <c r="AA4" s="228">
        <v>-0.45</v>
      </c>
      <c r="AB4" s="228">
        <v>0.5</v>
      </c>
      <c r="AC4" s="229">
        <v>2.0000000000000001E-4</v>
      </c>
      <c r="AD4" s="228">
        <v>0.05</v>
      </c>
      <c r="AE4" s="228">
        <v>-0.45</v>
      </c>
      <c r="AF4" s="228">
        <v>0.5</v>
      </c>
      <c r="AG4" s="229">
        <v>2.0000000000000001E-4</v>
      </c>
      <c r="AH4" s="228">
        <v>2.0499999999999998</v>
      </c>
      <c r="AI4" s="228">
        <v>1.45</v>
      </c>
      <c r="AJ4" s="228">
        <v>0.6</v>
      </c>
      <c r="AK4" s="229">
        <v>6.6E-3</v>
      </c>
      <c r="AL4" s="228">
        <v>3.9</v>
      </c>
      <c r="AM4" s="228">
        <v>3.3</v>
      </c>
      <c r="AN4" s="228">
        <v>0.6</v>
      </c>
      <c r="AO4" s="229">
        <v>1.26E-2</v>
      </c>
      <c r="AP4" s="228">
        <v>310.10000000000002</v>
      </c>
      <c r="AQ4" s="228">
        <v>311.95999999999998</v>
      </c>
      <c r="AR4" s="228">
        <v>0</v>
      </c>
      <c r="AS4" s="230">
        <v>1628</v>
      </c>
      <c r="AT4" s="230">
        <v>2211</v>
      </c>
      <c r="AU4" s="228">
        <v>-583</v>
      </c>
      <c r="AV4" s="229">
        <v>-0.26369999999999999</v>
      </c>
      <c r="AW4" s="228">
        <v>782</v>
      </c>
      <c r="AX4" s="230">
        <v>1097</v>
      </c>
      <c r="AY4" s="228">
        <v>-314</v>
      </c>
      <c r="AZ4" s="229">
        <v>-0.28670000000000001</v>
      </c>
      <c r="BA4" s="228">
        <v>839</v>
      </c>
      <c r="BB4" s="230">
        <v>1107</v>
      </c>
      <c r="BC4" s="228">
        <v>-268</v>
      </c>
      <c r="BD4" s="229">
        <v>-0.24229999999999999</v>
      </c>
      <c r="BE4" s="228">
        <v>7</v>
      </c>
      <c r="BF4" s="228">
        <v>7</v>
      </c>
      <c r="BG4" s="228">
        <v>0</v>
      </c>
      <c r="BH4" s="229">
        <v>-4.1099999999999998E-2</v>
      </c>
      <c r="BI4" s="228">
        <v>646</v>
      </c>
      <c r="BJ4" s="228">
        <v>740</v>
      </c>
      <c r="BK4" s="228">
        <v>-94</v>
      </c>
      <c r="BL4" s="229">
        <v>-0.1273</v>
      </c>
      <c r="BM4" s="228">
        <v>419</v>
      </c>
      <c r="BN4" s="228">
        <v>385</v>
      </c>
      <c r="BO4" s="228">
        <v>33</v>
      </c>
      <c r="BP4" s="229">
        <v>8.6800000000000002E-2</v>
      </c>
      <c r="BQ4" s="230">
        <v>2693</v>
      </c>
      <c r="BR4" s="230">
        <v>3337</v>
      </c>
      <c r="BS4" s="228">
        <v>-644</v>
      </c>
      <c r="BT4" s="229">
        <v>-0.193</v>
      </c>
      <c r="BU4" s="230">
        <v>2320944</v>
      </c>
      <c r="BV4" s="230">
        <v>2825488</v>
      </c>
      <c r="BW4" s="230">
        <v>-504544</v>
      </c>
      <c r="BX4" s="229">
        <v>-0.17860000000000001</v>
      </c>
      <c r="BY4" s="230">
        <v>2377</v>
      </c>
      <c r="BZ4" s="230">
        <v>2361</v>
      </c>
      <c r="CA4" s="228">
        <v>16</v>
      </c>
      <c r="CB4" s="229">
        <v>7.0000000000000001E-3</v>
      </c>
      <c r="CC4" s="228">
        <v>161</v>
      </c>
      <c r="CD4" s="228">
        <v>788</v>
      </c>
      <c r="CE4" s="228">
        <v>-627</v>
      </c>
      <c r="CF4" s="229">
        <v>-0.79610000000000003</v>
      </c>
      <c r="CG4" s="230">
        <v>2197</v>
      </c>
      <c r="CH4" s="230">
        <v>1558</v>
      </c>
      <c r="CI4" s="228">
        <v>639</v>
      </c>
      <c r="CJ4" s="229">
        <v>0.41039999999999999</v>
      </c>
      <c r="CK4" s="228">
        <v>19</v>
      </c>
      <c r="CL4" s="228">
        <v>15</v>
      </c>
      <c r="CM4" s="228">
        <v>4</v>
      </c>
      <c r="CN4" s="229">
        <v>0.27389999999999998</v>
      </c>
      <c r="CO4" s="228">
        <v>538</v>
      </c>
      <c r="CP4" s="228">
        <v>570</v>
      </c>
      <c r="CQ4" s="228">
        <v>-31</v>
      </c>
      <c r="CR4" s="229">
        <v>-5.5100000000000003E-2</v>
      </c>
      <c r="CS4" s="228">
        <v>448</v>
      </c>
      <c r="CT4" s="228">
        <v>429</v>
      </c>
      <c r="CU4" s="228">
        <v>19</v>
      </c>
      <c r="CV4" s="229">
        <v>4.4699999999999997E-2</v>
      </c>
      <c r="CW4" s="230">
        <v>3364</v>
      </c>
      <c r="CX4" s="230">
        <v>3359</v>
      </c>
      <c r="CY4" s="228">
        <v>4</v>
      </c>
      <c r="CZ4" s="229">
        <v>1.2999999999999999E-3</v>
      </c>
      <c r="DA4" s="228">
        <v>32.22</v>
      </c>
      <c r="DB4" s="228">
        <v>32.4</v>
      </c>
      <c r="DC4" s="228">
        <v>-0.18</v>
      </c>
      <c r="DD4" s="228">
        <v>-0.18</v>
      </c>
      <c r="DE4" s="228">
        <v>39.880000000000003</v>
      </c>
      <c r="DF4" s="228">
        <v>39.92</v>
      </c>
      <c r="DG4" s="228">
        <v>-7.66</v>
      </c>
      <c r="DH4" s="228">
        <v>-0.04</v>
      </c>
      <c r="DI4" s="228">
        <v>32.15</v>
      </c>
      <c r="DJ4" s="228">
        <v>32.29</v>
      </c>
      <c r="DK4" s="228">
        <v>-0.14000000000000001</v>
      </c>
      <c r="DL4" s="228">
        <v>-0.14000000000000001</v>
      </c>
      <c r="DM4" s="228">
        <v>32.340000000000003</v>
      </c>
      <c r="DN4" s="228">
        <v>32.57</v>
      </c>
      <c r="DO4" s="228">
        <v>-0.23</v>
      </c>
      <c r="DP4" s="228">
        <v>-0.23</v>
      </c>
      <c r="DQ4" s="228">
        <v>0.83</v>
      </c>
      <c r="DR4" s="228">
        <v>0.75</v>
      </c>
      <c r="DS4" s="228">
        <v>0.08</v>
      </c>
      <c r="DT4" s="229">
        <v>0.1067</v>
      </c>
      <c r="DU4" s="228">
        <v>320</v>
      </c>
      <c r="DV4" s="228">
        <v>300</v>
      </c>
      <c r="DW4" s="228">
        <v>0.65</v>
      </c>
      <c r="DX4" s="228">
        <v>0.52</v>
      </c>
      <c r="DY4" s="228">
        <v>0.13</v>
      </c>
      <c r="DZ4" s="229">
        <v>0.25</v>
      </c>
      <c r="EA4" s="229">
        <v>0.93240000000000001</v>
      </c>
      <c r="EB4" s="230">
        <v>50610600</v>
      </c>
      <c r="EC4" s="229">
        <v>6.4000000000000003E-3</v>
      </c>
      <c r="ED4" s="229">
        <v>0.93240000000000001</v>
      </c>
      <c r="EE4" s="228">
        <v>1.86</v>
      </c>
      <c r="EF4" s="229">
        <v>6.0000000000000001E-3</v>
      </c>
      <c r="EG4" s="230">
        <v>948287</v>
      </c>
      <c r="EH4" s="230">
        <v>1265587</v>
      </c>
      <c r="EI4" s="229">
        <v>-0.25069999999999998</v>
      </c>
      <c r="EJ4" s="229">
        <v>0.40860000000000002</v>
      </c>
      <c r="EK4" s="228">
        <v>664.75</v>
      </c>
      <c r="EL4" s="228">
        <v>408.97</v>
      </c>
      <c r="EM4" s="231">
        <v>1629.71</v>
      </c>
      <c r="EN4" s="228">
        <v>104</v>
      </c>
      <c r="EO4" s="231">
        <v>2703.44</v>
      </c>
      <c r="EP4" s="231">
        <v>3317.42</v>
      </c>
      <c r="EQ4" s="228">
        <v>-613.99</v>
      </c>
      <c r="ER4" s="229">
        <v>-0.18509999999999999</v>
      </c>
      <c r="ES4" s="228">
        <v>546.47</v>
      </c>
      <c r="ET4" s="228">
        <v>417.21</v>
      </c>
      <c r="EU4" s="231">
        <v>2391.48</v>
      </c>
      <c r="EV4" s="231">
        <v>122316423</v>
      </c>
      <c r="EW4" s="231">
        <v>3355.16</v>
      </c>
      <c r="EX4" s="231">
        <v>3304.87</v>
      </c>
      <c r="EY4" s="228">
        <v>50.29</v>
      </c>
      <c r="EZ4" s="229">
        <v>1.52E-2</v>
      </c>
      <c r="FA4" s="229">
        <v>0.88480000000000003</v>
      </c>
      <c r="FB4" s="227" t="s">
        <v>555</v>
      </c>
      <c r="FC4">
        <f t="shared" si="0"/>
        <v>2216</v>
      </c>
    </row>
    <row r="5" spans="1:159" ht="17.25" thickBot="1" x14ac:dyDescent="0.3">
      <c r="A5" s="226">
        <v>45957</v>
      </c>
      <c r="B5" s="227" t="s">
        <v>161</v>
      </c>
      <c r="C5" s="227" t="s">
        <v>579</v>
      </c>
      <c r="D5" s="228">
        <v>675</v>
      </c>
      <c r="E5" s="228">
        <v>1</v>
      </c>
      <c r="F5" s="228">
        <v>945.55</v>
      </c>
      <c r="G5" s="228">
        <v>942.9</v>
      </c>
      <c r="H5" s="228">
        <v>2.65</v>
      </c>
      <c r="I5" s="229">
        <v>2.8E-3</v>
      </c>
      <c r="J5" s="228">
        <v>946.35</v>
      </c>
      <c r="K5" s="228">
        <v>944.25</v>
      </c>
      <c r="L5" s="228">
        <v>2.1</v>
      </c>
      <c r="M5" s="229">
        <v>2.2000000000000001E-3</v>
      </c>
      <c r="N5" s="228">
        <v>945.55</v>
      </c>
      <c r="O5" s="228">
        <v>942.9</v>
      </c>
      <c r="P5" s="228">
        <v>2.65</v>
      </c>
      <c r="Q5" s="229">
        <v>2.8E-3</v>
      </c>
      <c r="R5" s="228">
        <v>951.05</v>
      </c>
      <c r="S5" s="228">
        <v>948.3</v>
      </c>
      <c r="T5" s="228">
        <v>2.75</v>
      </c>
      <c r="U5" s="229">
        <v>2.8999999999999998E-3</v>
      </c>
      <c r="V5" s="228">
        <v>957.25</v>
      </c>
      <c r="W5" s="228">
        <v>950</v>
      </c>
      <c r="X5" s="228">
        <v>7.25</v>
      </c>
      <c r="Y5" s="229">
        <v>7.6E-3</v>
      </c>
      <c r="Z5" s="228">
        <v>-0.8</v>
      </c>
      <c r="AA5" s="228">
        <v>-1.35</v>
      </c>
      <c r="AB5" s="228">
        <v>0.55000000000000004</v>
      </c>
      <c r="AC5" s="229">
        <v>-8.0000000000000004E-4</v>
      </c>
      <c r="AD5" s="228">
        <v>-0.8</v>
      </c>
      <c r="AE5" s="228">
        <v>-1.35</v>
      </c>
      <c r="AF5" s="228">
        <v>0.55000000000000004</v>
      </c>
      <c r="AG5" s="229">
        <v>-8.0000000000000004E-4</v>
      </c>
      <c r="AH5" s="228">
        <v>4.7</v>
      </c>
      <c r="AI5" s="228">
        <v>4.05</v>
      </c>
      <c r="AJ5" s="228">
        <v>0.65</v>
      </c>
      <c r="AK5" s="229">
        <v>5.0000000000000001E-3</v>
      </c>
      <c r="AL5" s="228">
        <v>10.9</v>
      </c>
      <c r="AM5" s="228">
        <v>5.75</v>
      </c>
      <c r="AN5" s="228">
        <v>5.15</v>
      </c>
      <c r="AO5" s="229">
        <v>1.15E-2</v>
      </c>
      <c r="AP5" s="228">
        <v>944.38</v>
      </c>
      <c r="AQ5" s="228">
        <v>949.8</v>
      </c>
      <c r="AR5" s="228">
        <v>0</v>
      </c>
      <c r="AS5" s="228">
        <v>820</v>
      </c>
      <c r="AT5" s="230">
        <v>1142</v>
      </c>
      <c r="AU5" s="228">
        <v>-322</v>
      </c>
      <c r="AV5" s="229">
        <v>-0.28179999999999999</v>
      </c>
      <c r="AW5" s="228">
        <v>396</v>
      </c>
      <c r="AX5" s="228">
        <v>590</v>
      </c>
      <c r="AY5" s="228">
        <v>-194</v>
      </c>
      <c r="AZ5" s="229">
        <v>-0.32850000000000001</v>
      </c>
      <c r="BA5" s="228">
        <v>423</v>
      </c>
      <c r="BB5" s="228">
        <v>550</v>
      </c>
      <c r="BC5" s="228">
        <v>-128</v>
      </c>
      <c r="BD5" s="229">
        <v>-0.2321</v>
      </c>
      <c r="BE5" s="228">
        <v>2</v>
      </c>
      <c r="BF5" s="228">
        <v>2</v>
      </c>
      <c r="BG5" s="228">
        <v>-1</v>
      </c>
      <c r="BH5" s="229">
        <v>-0.2051</v>
      </c>
      <c r="BI5" s="228">
        <v>891</v>
      </c>
      <c r="BJ5" s="228">
        <v>390</v>
      </c>
      <c r="BK5" s="228">
        <v>501</v>
      </c>
      <c r="BL5" s="229">
        <v>1.2834000000000001</v>
      </c>
      <c r="BM5" s="228">
        <v>344</v>
      </c>
      <c r="BN5" s="228">
        <v>164</v>
      </c>
      <c r="BO5" s="228">
        <v>180</v>
      </c>
      <c r="BP5" s="229">
        <v>1.1033999999999999</v>
      </c>
      <c r="BQ5" s="230">
        <v>2055</v>
      </c>
      <c r="BR5" s="230">
        <v>1696</v>
      </c>
      <c r="BS5" s="228">
        <v>359</v>
      </c>
      <c r="BT5" s="229">
        <v>0.21179999999999999</v>
      </c>
      <c r="BU5" s="230">
        <v>621387</v>
      </c>
      <c r="BV5" s="230">
        <v>1193382</v>
      </c>
      <c r="BW5" s="230">
        <v>-571995</v>
      </c>
      <c r="BX5" s="229">
        <v>-0.4793</v>
      </c>
      <c r="BY5" s="230">
        <v>1750</v>
      </c>
      <c r="BZ5" s="230">
        <v>1739</v>
      </c>
      <c r="CA5" s="228">
        <v>12</v>
      </c>
      <c r="CB5" s="229">
        <v>6.7000000000000002E-3</v>
      </c>
      <c r="CC5" s="228">
        <v>177</v>
      </c>
      <c r="CD5" s="228">
        <v>509</v>
      </c>
      <c r="CE5" s="228">
        <v>-332</v>
      </c>
      <c r="CF5" s="229">
        <v>-0.65229999999999999</v>
      </c>
      <c r="CG5" s="230">
        <v>1566</v>
      </c>
      <c r="CH5" s="230">
        <v>1223</v>
      </c>
      <c r="CI5" s="228">
        <v>343</v>
      </c>
      <c r="CJ5" s="229">
        <v>0.28039999999999998</v>
      </c>
      <c r="CK5" s="228">
        <v>7</v>
      </c>
      <c r="CL5" s="228">
        <v>6</v>
      </c>
      <c r="CM5" s="228">
        <v>1</v>
      </c>
      <c r="CN5" s="229">
        <v>0.1789</v>
      </c>
      <c r="CO5" s="228">
        <v>416</v>
      </c>
      <c r="CP5" s="228">
        <v>341</v>
      </c>
      <c r="CQ5" s="228">
        <v>75</v>
      </c>
      <c r="CR5" s="229">
        <v>0.2185</v>
      </c>
      <c r="CS5" s="228">
        <v>244</v>
      </c>
      <c r="CT5" s="228">
        <v>200</v>
      </c>
      <c r="CU5" s="228">
        <v>43</v>
      </c>
      <c r="CV5" s="229">
        <v>0.21629999999999999</v>
      </c>
      <c r="CW5" s="230">
        <v>2410</v>
      </c>
      <c r="CX5" s="230">
        <v>2280</v>
      </c>
      <c r="CY5" s="228">
        <v>130</v>
      </c>
      <c r="CZ5" s="229">
        <v>5.6800000000000003E-2</v>
      </c>
      <c r="DA5" s="228">
        <v>38.19</v>
      </c>
      <c r="DB5" s="228">
        <v>37.97</v>
      </c>
      <c r="DC5" s="228">
        <v>0.22</v>
      </c>
      <c r="DD5" s="228">
        <v>0.22</v>
      </c>
      <c r="DE5" s="228">
        <v>55.08</v>
      </c>
      <c r="DF5" s="228">
        <v>55.22</v>
      </c>
      <c r="DG5" s="228">
        <v>-16.89</v>
      </c>
      <c r="DH5" s="228">
        <v>-0.14000000000000001</v>
      </c>
      <c r="DI5" s="228">
        <v>38.1</v>
      </c>
      <c r="DJ5" s="228">
        <v>37.69</v>
      </c>
      <c r="DK5" s="228">
        <v>0.41</v>
      </c>
      <c r="DL5" s="228">
        <v>0.41</v>
      </c>
      <c r="DM5" s="228">
        <v>38.4</v>
      </c>
      <c r="DN5" s="228">
        <v>39.07</v>
      </c>
      <c r="DO5" s="228">
        <v>-0.67</v>
      </c>
      <c r="DP5" s="228">
        <v>-0.67</v>
      </c>
      <c r="DQ5" s="228">
        <v>0.59</v>
      </c>
      <c r="DR5" s="228">
        <v>0.59</v>
      </c>
      <c r="DS5" s="228">
        <v>0</v>
      </c>
      <c r="DT5" s="229">
        <v>0</v>
      </c>
      <c r="DU5" s="231">
        <v>1000</v>
      </c>
      <c r="DV5" s="228">
        <v>930</v>
      </c>
      <c r="DW5" s="228">
        <v>0.39</v>
      </c>
      <c r="DX5" s="228">
        <v>0.42</v>
      </c>
      <c r="DY5" s="228">
        <v>-0.03</v>
      </c>
      <c r="DZ5" s="229">
        <v>-7.1400000000000005E-2</v>
      </c>
      <c r="EA5" s="229">
        <v>0.89880000000000004</v>
      </c>
      <c r="EB5" s="230">
        <v>12999825</v>
      </c>
      <c r="EC5" s="229">
        <v>5.7999999999999996E-3</v>
      </c>
      <c r="ED5" s="229">
        <v>0.89880000000000004</v>
      </c>
      <c r="EE5" s="228">
        <v>5.42</v>
      </c>
      <c r="EF5" s="229">
        <v>5.7000000000000002E-3</v>
      </c>
      <c r="EG5" s="230">
        <v>313554</v>
      </c>
      <c r="EH5" s="230">
        <v>706814</v>
      </c>
      <c r="EI5" s="229">
        <v>-0.55640000000000001</v>
      </c>
      <c r="EJ5" s="229">
        <v>0.50460000000000005</v>
      </c>
      <c r="EK5" s="228">
        <v>929.63</v>
      </c>
      <c r="EL5" s="228">
        <v>336.28</v>
      </c>
      <c r="EM5" s="228">
        <v>821.9</v>
      </c>
      <c r="EN5" s="228">
        <v>111.02</v>
      </c>
      <c r="EO5" s="231">
        <v>2087.8200000000002</v>
      </c>
      <c r="EP5" s="231">
        <v>1710.86</v>
      </c>
      <c r="EQ5" s="228">
        <v>376.96</v>
      </c>
      <c r="ER5" s="229">
        <v>0.2203</v>
      </c>
      <c r="ES5" s="228">
        <v>428.76</v>
      </c>
      <c r="ET5" s="228">
        <v>230.11</v>
      </c>
      <c r="EU5" s="231">
        <v>1759.52</v>
      </c>
      <c r="EV5" s="231">
        <v>51907388</v>
      </c>
      <c r="EW5" s="231">
        <v>2418.4</v>
      </c>
      <c r="EX5" s="231">
        <v>2279.58</v>
      </c>
      <c r="EY5" s="228">
        <v>138.82</v>
      </c>
      <c r="EZ5" s="229">
        <v>6.0900000000000003E-2</v>
      </c>
      <c r="FA5" s="229">
        <v>0.49099999999999999</v>
      </c>
      <c r="FB5" s="227" t="s">
        <v>555</v>
      </c>
      <c r="FC5">
        <f t="shared" si="0"/>
        <v>1573</v>
      </c>
    </row>
    <row r="6" spans="1:159" ht="17.25" thickBot="1" x14ac:dyDescent="0.3">
      <c r="A6" s="226">
        <v>45957</v>
      </c>
      <c r="B6" s="227" t="s">
        <v>215</v>
      </c>
      <c r="C6" s="227" t="s">
        <v>159</v>
      </c>
      <c r="D6" s="228">
        <v>300</v>
      </c>
      <c r="E6" s="228">
        <v>1</v>
      </c>
      <c r="F6" s="231">
        <v>2492.8000000000002</v>
      </c>
      <c r="G6" s="231">
        <v>2501.8000000000002</v>
      </c>
      <c r="H6" s="228">
        <v>-9</v>
      </c>
      <c r="I6" s="229">
        <v>-3.5999999999999999E-3</v>
      </c>
      <c r="J6" s="231">
        <v>2492.8000000000002</v>
      </c>
      <c r="K6" s="231">
        <v>2504.1999999999998</v>
      </c>
      <c r="L6" s="228">
        <v>-11.4</v>
      </c>
      <c r="M6" s="229">
        <v>-4.5999999999999999E-3</v>
      </c>
      <c r="N6" s="231">
        <v>2492.8000000000002</v>
      </c>
      <c r="O6" s="231">
        <v>2501.8000000000002</v>
      </c>
      <c r="P6" s="228">
        <v>-9</v>
      </c>
      <c r="Q6" s="229">
        <v>-3.5999999999999999E-3</v>
      </c>
      <c r="R6" s="231">
        <v>2506.1</v>
      </c>
      <c r="S6" s="231">
        <v>2515.4</v>
      </c>
      <c r="T6" s="228">
        <v>-9.3000000000000007</v>
      </c>
      <c r="U6" s="229">
        <v>-3.7000000000000002E-3</v>
      </c>
      <c r="V6" s="231">
        <v>2525</v>
      </c>
      <c r="W6" s="231">
        <v>2532.5</v>
      </c>
      <c r="X6" s="228">
        <v>-7.5</v>
      </c>
      <c r="Y6" s="229">
        <v>-3.0000000000000001E-3</v>
      </c>
      <c r="Z6" s="228">
        <v>0</v>
      </c>
      <c r="AA6" s="228">
        <v>-2.4</v>
      </c>
      <c r="AB6" s="228">
        <v>2.4</v>
      </c>
      <c r="AC6" s="229">
        <v>0</v>
      </c>
      <c r="AD6" s="228">
        <v>0</v>
      </c>
      <c r="AE6" s="228">
        <v>-2.4</v>
      </c>
      <c r="AF6" s="228">
        <v>2.4</v>
      </c>
      <c r="AG6" s="229">
        <v>0</v>
      </c>
      <c r="AH6" s="228">
        <v>13.3</v>
      </c>
      <c r="AI6" s="228">
        <v>11.2</v>
      </c>
      <c r="AJ6" s="228">
        <v>2.1</v>
      </c>
      <c r="AK6" s="229">
        <v>5.3E-3</v>
      </c>
      <c r="AL6" s="228">
        <v>32.200000000000003</v>
      </c>
      <c r="AM6" s="228">
        <v>28.3</v>
      </c>
      <c r="AN6" s="228">
        <v>3.9</v>
      </c>
      <c r="AO6" s="229">
        <v>1.29E-2</v>
      </c>
      <c r="AP6" s="231">
        <v>2496.09</v>
      </c>
      <c r="AQ6" s="231">
        <v>2509.5300000000002</v>
      </c>
      <c r="AR6" s="228">
        <v>0</v>
      </c>
      <c r="AS6" s="230">
        <v>1956</v>
      </c>
      <c r="AT6" s="230">
        <v>2032</v>
      </c>
      <c r="AU6" s="228">
        <v>-76</v>
      </c>
      <c r="AV6" s="229">
        <v>-3.7600000000000001E-2</v>
      </c>
      <c r="AW6" s="228">
        <v>963</v>
      </c>
      <c r="AX6" s="230">
        <v>1062</v>
      </c>
      <c r="AY6" s="228">
        <v>-99</v>
      </c>
      <c r="AZ6" s="229">
        <v>-9.35E-2</v>
      </c>
      <c r="BA6" s="228">
        <v>984</v>
      </c>
      <c r="BB6" s="228">
        <v>959</v>
      </c>
      <c r="BC6" s="228">
        <v>25</v>
      </c>
      <c r="BD6" s="229">
        <v>2.64E-2</v>
      </c>
      <c r="BE6" s="228">
        <v>9</v>
      </c>
      <c r="BF6" s="228">
        <v>11</v>
      </c>
      <c r="BG6" s="228">
        <v>-2</v>
      </c>
      <c r="BH6" s="229">
        <v>-0.2092</v>
      </c>
      <c r="BI6" s="230">
        <v>2816</v>
      </c>
      <c r="BJ6" s="230">
        <v>2679</v>
      </c>
      <c r="BK6" s="228">
        <v>137</v>
      </c>
      <c r="BL6" s="229">
        <v>5.11E-2</v>
      </c>
      <c r="BM6" s="230">
        <v>1634</v>
      </c>
      <c r="BN6" s="230">
        <v>1112</v>
      </c>
      <c r="BO6" s="228">
        <v>521</v>
      </c>
      <c r="BP6" s="229">
        <v>0.46870000000000001</v>
      </c>
      <c r="BQ6" s="230">
        <v>6406</v>
      </c>
      <c r="BR6" s="230">
        <v>5824</v>
      </c>
      <c r="BS6" s="228">
        <v>582</v>
      </c>
      <c r="BT6" s="229">
        <v>9.9900000000000003E-2</v>
      </c>
      <c r="BU6" s="230">
        <v>502949</v>
      </c>
      <c r="BV6" s="230">
        <v>516485</v>
      </c>
      <c r="BW6" s="230">
        <v>-13536</v>
      </c>
      <c r="BX6" s="229">
        <v>-2.6200000000000001E-2</v>
      </c>
      <c r="BY6" s="230">
        <v>3705</v>
      </c>
      <c r="BZ6" s="230">
        <v>3658</v>
      </c>
      <c r="CA6" s="228">
        <v>46</v>
      </c>
      <c r="CB6" s="229">
        <v>1.2699999999999999E-2</v>
      </c>
      <c r="CC6" s="228">
        <v>735</v>
      </c>
      <c r="CD6" s="230">
        <v>1474</v>
      </c>
      <c r="CE6" s="228">
        <v>-739</v>
      </c>
      <c r="CF6" s="229">
        <v>-0.50160000000000005</v>
      </c>
      <c r="CG6" s="230">
        <v>2945</v>
      </c>
      <c r="CH6" s="230">
        <v>2163</v>
      </c>
      <c r="CI6" s="228">
        <v>782</v>
      </c>
      <c r="CJ6" s="229">
        <v>0.3614</v>
      </c>
      <c r="CK6" s="228">
        <v>25</v>
      </c>
      <c r="CL6" s="228">
        <v>21</v>
      </c>
      <c r="CM6" s="228">
        <v>4</v>
      </c>
      <c r="CN6" s="229">
        <v>0.1888</v>
      </c>
      <c r="CO6" s="230">
        <v>1739</v>
      </c>
      <c r="CP6" s="230">
        <v>1893</v>
      </c>
      <c r="CQ6" s="228">
        <v>-154</v>
      </c>
      <c r="CR6" s="229">
        <v>-8.1299999999999997E-2</v>
      </c>
      <c r="CS6" s="230">
        <v>1079</v>
      </c>
      <c r="CT6" s="230">
        <v>1080</v>
      </c>
      <c r="CU6" s="228">
        <v>-1</v>
      </c>
      <c r="CV6" s="229">
        <v>-5.9999999999999995E-4</v>
      </c>
      <c r="CW6" s="230">
        <v>6523</v>
      </c>
      <c r="CX6" s="230">
        <v>6631</v>
      </c>
      <c r="CY6" s="228">
        <v>-108</v>
      </c>
      <c r="CZ6" s="229">
        <v>-1.6299999999999999E-2</v>
      </c>
      <c r="DA6" s="228">
        <v>30.75</v>
      </c>
      <c r="DB6" s="228">
        <v>29.88</v>
      </c>
      <c r="DC6" s="228">
        <v>0.87</v>
      </c>
      <c r="DD6" s="228">
        <v>0.87</v>
      </c>
      <c r="DE6" s="228">
        <v>48.65</v>
      </c>
      <c r="DF6" s="228">
        <v>48.77</v>
      </c>
      <c r="DG6" s="228">
        <v>-17.899999999999999</v>
      </c>
      <c r="DH6" s="228">
        <v>-0.12</v>
      </c>
      <c r="DI6" s="228">
        <v>31.13</v>
      </c>
      <c r="DJ6" s="228">
        <v>29.73</v>
      </c>
      <c r="DK6" s="228">
        <v>1.4</v>
      </c>
      <c r="DL6" s="228">
        <v>1.4</v>
      </c>
      <c r="DM6" s="228">
        <v>30.2</v>
      </c>
      <c r="DN6" s="228">
        <v>30.28</v>
      </c>
      <c r="DO6" s="228">
        <v>-0.08</v>
      </c>
      <c r="DP6" s="228">
        <v>-0.08</v>
      </c>
      <c r="DQ6" s="228">
        <v>0.62</v>
      </c>
      <c r="DR6" s="228">
        <v>0.56999999999999995</v>
      </c>
      <c r="DS6" s="228">
        <v>0.05</v>
      </c>
      <c r="DT6" s="229">
        <v>8.77E-2</v>
      </c>
      <c r="DU6" s="231">
        <v>2600</v>
      </c>
      <c r="DV6" s="231">
        <v>2500</v>
      </c>
      <c r="DW6" s="228">
        <v>0.57999999999999996</v>
      </c>
      <c r="DX6" s="228">
        <v>0.42</v>
      </c>
      <c r="DY6" s="228">
        <v>0.16</v>
      </c>
      <c r="DZ6" s="229">
        <v>0.38100000000000001</v>
      </c>
      <c r="EA6" s="229">
        <v>0.80169999999999997</v>
      </c>
      <c r="EB6" s="230">
        <v>8763000</v>
      </c>
      <c r="EC6" s="229">
        <v>5.3E-3</v>
      </c>
      <c r="ED6" s="229">
        <v>0.80169999999999997</v>
      </c>
      <c r="EE6" s="228">
        <v>13.44</v>
      </c>
      <c r="EF6" s="229">
        <v>5.4000000000000003E-3</v>
      </c>
      <c r="EG6" s="230">
        <v>174858</v>
      </c>
      <c r="EH6" s="230">
        <v>221251</v>
      </c>
      <c r="EI6" s="229">
        <v>-0.2097</v>
      </c>
      <c r="EJ6" s="229">
        <v>0.34770000000000001</v>
      </c>
      <c r="EK6" s="231">
        <v>2938.22</v>
      </c>
      <c r="EL6" s="231">
        <v>1628.29</v>
      </c>
      <c r="EM6" s="231">
        <v>1964.06</v>
      </c>
      <c r="EN6" s="228">
        <v>177.54</v>
      </c>
      <c r="EO6" s="231">
        <v>6530.57</v>
      </c>
      <c r="EP6" s="231">
        <v>6008.74</v>
      </c>
      <c r="EQ6" s="228">
        <v>521.83000000000004</v>
      </c>
      <c r="ER6" s="229">
        <v>8.6800000000000002E-2</v>
      </c>
      <c r="ES6" s="231">
        <v>1848.64</v>
      </c>
      <c r="ET6" s="231">
        <v>1090.8800000000001</v>
      </c>
      <c r="EU6" s="231">
        <v>3720.84</v>
      </c>
      <c r="EV6" s="231">
        <v>30040977</v>
      </c>
      <c r="EW6" s="231">
        <v>6660.36</v>
      </c>
      <c r="EX6" s="231">
        <v>6793.23</v>
      </c>
      <c r="EY6" s="228">
        <v>-132.87</v>
      </c>
      <c r="EZ6" s="229">
        <v>-1.9599999999999999E-2</v>
      </c>
      <c r="FA6" s="229">
        <v>0.87109999999999999</v>
      </c>
      <c r="FB6" s="227" t="s">
        <v>567</v>
      </c>
      <c r="FC6">
        <f t="shared" si="0"/>
        <v>2970</v>
      </c>
    </row>
    <row r="7" spans="1:159" ht="17.25" thickBot="1" x14ac:dyDescent="0.3">
      <c r="A7" s="226">
        <v>45957</v>
      </c>
      <c r="B7" s="227" t="s">
        <v>161</v>
      </c>
      <c r="C7" s="227" t="s">
        <v>606</v>
      </c>
      <c r="D7" s="228">
        <v>600</v>
      </c>
      <c r="E7" s="228">
        <v>1</v>
      </c>
      <c r="F7" s="231">
        <v>1016.5</v>
      </c>
      <c r="G7" s="231">
        <v>1029.8</v>
      </c>
      <c r="H7" s="228">
        <v>-13.3</v>
      </c>
      <c r="I7" s="229">
        <v>-1.29E-2</v>
      </c>
      <c r="J7" s="231">
        <v>1017.1</v>
      </c>
      <c r="K7" s="231">
        <v>1031.0999999999999</v>
      </c>
      <c r="L7" s="228">
        <v>-14</v>
      </c>
      <c r="M7" s="229">
        <v>-1.3599999999999999E-2</v>
      </c>
      <c r="N7" s="231">
        <v>1016.5</v>
      </c>
      <c r="O7" s="231">
        <v>1029.8</v>
      </c>
      <c r="P7" s="228">
        <v>-13.3</v>
      </c>
      <c r="Q7" s="229">
        <v>-1.29E-2</v>
      </c>
      <c r="R7" s="231">
        <v>1022.6</v>
      </c>
      <c r="S7" s="231">
        <v>1035.5999999999999</v>
      </c>
      <c r="T7" s="228">
        <v>-13</v>
      </c>
      <c r="U7" s="229">
        <v>-1.26E-2</v>
      </c>
      <c r="V7" s="231">
        <v>1029.5999999999999</v>
      </c>
      <c r="W7" s="231">
        <v>1043.4000000000001</v>
      </c>
      <c r="X7" s="228">
        <v>-13.8</v>
      </c>
      <c r="Y7" s="229">
        <v>-1.32E-2</v>
      </c>
      <c r="Z7" s="228">
        <v>-0.6</v>
      </c>
      <c r="AA7" s="228">
        <v>-1.3</v>
      </c>
      <c r="AB7" s="228">
        <v>0.7</v>
      </c>
      <c r="AC7" s="229">
        <v>-5.9999999999999995E-4</v>
      </c>
      <c r="AD7" s="228">
        <v>-0.6</v>
      </c>
      <c r="AE7" s="228">
        <v>-1.3</v>
      </c>
      <c r="AF7" s="228">
        <v>0.7</v>
      </c>
      <c r="AG7" s="229">
        <v>-5.9999999999999995E-4</v>
      </c>
      <c r="AH7" s="228">
        <v>5.5</v>
      </c>
      <c r="AI7" s="228">
        <v>4.5</v>
      </c>
      <c r="AJ7" s="228">
        <v>1</v>
      </c>
      <c r="AK7" s="229">
        <v>5.4000000000000003E-3</v>
      </c>
      <c r="AL7" s="228">
        <v>12.5</v>
      </c>
      <c r="AM7" s="228">
        <v>12.3</v>
      </c>
      <c r="AN7" s="228">
        <v>0.2</v>
      </c>
      <c r="AO7" s="229">
        <v>1.23E-2</v>
      </c>
      <c r="AP7" s="231">
        <v>1020.34</v>
      </c>
      <c r="AQ7" s="231">
        <v>1026.49</v>
      </c>
      <c r="AR7" s="228">
        <v>0</v>
      </c>
      <c r="AS7" s="230">
        <v>1235</v>
      </c>
      <c r="AT7" s="230">
        <v>1192</v>
      </c>
      <c r="AU7" s="228">
        <v>43</v>
      </c>
      <c r="AV7" s="229">
        <v>3.5900000000000001E-2</v>
      </c>
      <c r="AW7" s="228">
        <v>577</v>
      </c>
      <c r="AX7" s="228">
        <v>608</v>
      </c>
      <c r="AY7" s="228">
        <v>-31</v>
      </c>
      <c r="AZ7" s="229">
        <v>-5.04E-2</v>
      </c>
      <c r="BA7" s="228">
        <v>643</v>
      </c>
      <c r="BB7" s="228">
        <v>578</v>
      </c>
      <c r="BC7" s="228">
        <v>65</v>
      </c>
      <c r="BD7" s="229">
        <v>0.113</v>
      </c>
      <c r="BE7" s="228">
        <v>15</v>
      </c>
      <c r="BF7" s="228">
        <v>7</v>
      </c>
      <c r="BG7" s="228">
        <v>8</v>
      </c>
      <c r="BH7" s="229">
        <v>1.1875</v>
      </c>
      <c r="BI7" s="230">
        <v>2179</v>
      </c>
      <c r="BJ7" s="230">
        <v>1469</v>
      </c>
      <c r="BK7" s="228">
        <v>710</v>
      </c>
      <c r="BL7" s="229">
        <v>0.48320000000000002</v>
      </c>
      <c r="BM7" s="228">
        <v>905</v>
      </c>
      <c r="BN7" s="228">
        <v>486</v>
      </c>
      <c r="BO7" s="228">
        <v>419</v>
      </c>
      <c r="BP7" s="229">
        <v>0.86319999999999997</v>
      </c>
      <c r="BQ7" s="230">
        <v>4319</v>
      </c>
      <c r="BR7" s="230">
        <v>3147</v>
      </c>
      <c r="BS7" s="230">
        <v>1172</v>
      </c>
      <c r="BT7" s="229">
        <v>0.37240000000000001</v>
      </c>
      <c r="BU7" s="230">
        <v>1875835</v>
      </c>
      <c r="BV7" s="230">
        <v>1394186</v>
      </c>
      <c r="BW7" s="230">
        <v>481649</v>
      </c>
      <c r="BX7" s="229">
        <v>0.34549999999999997</v>
      </c>
      <c r="BY7" s="230">
        <v>2184</v>
      </c>
      <c r="BZ7" s="230">
        <v>2122</v>
      </c>
      <c r="CA7" s="228">
        <v>63</v>
      </c>
      <c r="CB7" s="229">
        <v>2.9600000000000001E-2</v>
      </c>
      <c r="CC7" s="228">
        <v>379</v>
      </c>
      <c r="CD7" s="228">
        <v>776</v>
      </c>
      <c r="CE7" s="228">
        <v>-397</v>
      </c>
      <c r="CF7" s="229">
        <v>-0.51170000000000004</v>
      </c>
      <c r="CG7" s="230">
        <v>1773</v>
      </c>
      <c r="CH7" s="230">
        <v>1321</v>
      </c>
      <c r="CI7" s="228">
        <v>452</v>
      </c>
      <c r="CJ7" s="229">
        <v>0.34210000000000002</v>
      </c>
      <c r="CK7" s="228">
        <v>33</v>
      </c>
      <c r="CL7" s="228">
        <v>24</v>
      </c>
      <c r="CM7" s="228">
        <v>8</v>
      </c>
      <c r="CN7" s="229">
        <v>0.33829999999999999</v>
      </c>
      <c r="CO7" s="230">
        <v>1110</v>
      </c>
      <c r="CP7" s="230">
        <v>1145</v>
      </c>
      <c r="CQ7" s="228">
        <v>-34</v>
      </c>
      <c r="CR7" s="229">
        <v>-0.03</v>
      </c>
      <c r="CS7" s="228">
        <v>518</v>
      </c>
      <c r="CT7" s="228">
        <v>561</v>
      </c>
      <c r="CU7" s="228">
        <v>-43</v>
      </c>
      <c r="CV7" s="229">
        <v>-7.6399999999999996E-2</v>
      </c>
      <c r="CW7" s="230">
        <v>3813</v>
      </c>
      <c r="CX7" s="230">
        <v>3827</v>
      </c>
      <c r="CY7" s="228">
        <v>-14</v>
      </c>
      <c r="CZ7" s="229">
        <v>-3.7000000000000002E-3</v>
      </c>
      <c r="DA7" s="228">
        <v>40.659999999999997</v>
      </c>
      <c r="DB7" s="228">
        <v>40.9</v>
      </c>
      <c r="DC7" s="228">
        <v>-0.24</v>
      </c>
      <c r="DD7" s="228">
        <v>-0.24</v>
      </c>
      <c r="DE7" s="228">
        <v>57.72</v>
      </c>
      <c r="DF7" s="228">
        <v>57.83</v>
      </c>
      <c r="DG7" s="228">
        <v>-17.059999999999999</v>
      </c>
      <c r="DH7" s="228">
        <v>-0.11</v>
      </c>
      <c r="DI7" s="228">
        <v>41.27</v>
      </c>
      <c r="DJ7" s="228">
        <v>41.26</v>
      </c>
      <c r="DK7" s="228">
        <v>0.01</v>
      </c>
      <c r="DL7" s="228">
        <v>0.01</v>
      </c>
      <c r="DM7" s="228">
        <v>39.32</v>
      </c>
      <c r="DN7" s="228">
        <v>40.11</v>
      </c>
      <c r="DO7" s="228">
        <v>-0.79</v>
      </c>
      <c r="DP7" s="228">
        <v>-0.79</v>
      </c>
      <c r="DQ7" s="228">
        <v>0.47</v>
      </c>
      <c r="DR7" s="228">
        <v>0.49</v>
      </c>
      <c r="DS7" s="228">
        <v>-0.02</v>
      </c>
      <c r="DT7" s="229">
        <v>-4.0800000000000003E-2</v>
      </c>
      <c r="DU7" s="231">
        <v>1100</v>
      </c>
      <c r="DV7" s="231">
        <v>1020</v>
      </c>
      <c r="DW7" s="228">
        <v>0.42</v>
      </c>
      <c r="DX7" s="228">
        <v>0.33</v>
      </c>
      <c r="DY7" s="228">
        <v>0.09</v>
      </c>
      <c r="DZ7" s="229">
        <v>0.2727</v>
      </c>
      <c r="EA7" s="229">
        <v>0.82650000000000001</v>
      </c>
      <c r="EB7" s="230">
        <v>13234200</v>
      </c>
      <c r="EC7" s="229">
        <v>6.0000000000000001E-3</v>
      </c>
      <c r="ED7" s="229">
        <v>0.82650000000000001</v>
      </c>
      <c r="EE7" s="228">
        <v>6.15</v>
      </c>
      <c r="EF7" s="229">
        <v>6.0000000000000001E-3</v>
      </c>
      <c r="EG7" s="230">
        <v>679236</v>
      </c>
      <c r="EH7" s="230">
        <v>583696</v>
      </c>
      <c r="EI7" s="229">
        <v>0.16370000000000001</v>
      </c>
      <c r="EJ7" s="229">
        <v>0.36209999999999998</v>
      </c>
      <c r="EK7" s="231">
        <v>2325.17</v>
      </c>
      <c r="EL7" s="228">
        <v>909.44</v>
      </c>
      <c r="EM7" s="231">
        <v>1243.8</v>
      </c>
      <c r="EN7" s="228">
        <v>133.11000000000001</v>
      </c>
      <c r="EO7" s="231">
        <v>4478.41</v>
      </c>
      <c r="EP7" s="231">
        <v>3304.4</v>
      </c>
      <c r="EQ7" s="231">
        <v>1174.01</v>
      </c>
      <c r="ER7" s="229">
        <v>0.3553</v>
      </c>
      <c r="ES7" s="231">
        <v>1220.58</v>
      </c>
      <c r="ET7" s="228">
        <v>523.02</v>
      </c>
      <c r="EU7" s="231">
        <v>2195.48</v>
      </c>
      <c r="EV7" s="231">
        <v>61877951</v>
      </c>
      <c r="EW7" s="231">
        <v>3939.08</v>
      </c>
      <c r="EX7" s="231">
        <v>3992.86</v>
      </c>
      <c r="EY7" s="228">
        <v>-53.78</v>
      </c>
      <c r="EZ7" s="229">
        <v>-1.35E-2</v>
      </c>
      <c r="FA7" s="229">
        <v>0.60619999999999996</v>
      </c>
      <c r="FB7" s="227" t="s">
        <v>567</v>
      </c>
      <c r="FC7">
        <f t="shared" si="0"/>
        <v>1805</v>
      </c>
    </row>
    <row r="8" spans="1:159" ht="17.25" thickBot="1" x14ac:dyDescent="0.3">
      <c r="A8" s="226">
        <v>45957</v>
      </c>
      <c r="B8" s="227" t="s">
        <v>215</v>
      </c>
      <c r="C8" s="227" t="s">
        <v>160</v>
      </c>
      <c r="D8" s="228">
        <v>475</v>
      </c>
      <c r="E8" s="228">
        <v>1</v>
      </c>
      <c r="F8" s="231">
        <v>1421.6</v>
      </c>
      <c r="G8" s="231">
        <v>1427.7</v>
      </c>
      <c r="H8" s="228">
        <v>-6.1</v>
      </c>
      <c r="I8" s="229">
        <v>-4.3E-3</v>
      </c>
      <c r="J8" s="231">
        <v>1420.6</v>
      </c>
      <c r="K8" s="231">
        <v>1429</v>
      </c>
      <c r="L8" s="228">
        <v>-8.4</v>
      </c>
      <c r="M8" s="229">
        <v>-5.8999999999999999E-3</v>
      </c>
      <c r="N8" s="231">
        <v>1421.6</v>
      </c>
      <c r="O8" s="231">
        <v>1427.7</v>
      </c>
      <c r="P8" s="228">
        <v>-6.1</v>
      </c>
      <c r="Q8" s="229">
        <v>-4.3E-3</v>
      </c>
      <c r="R8" s="231">
        <v>1429.7</v>
      </c>
      <c r="S8" s="231">
        <v>1435.6</v>
      </c>
      <c r="T8" s="228">
        <v>-5.9</v>
      </c>
      <c r="U8" s="229">
        <v>-4.1000000000000003E-3</v>
      </c>
      <c r="V8" s="231">
        <v>1439.8</v>
      </c>
      <c r="W8" s="231">
        <v>1445.9</v>
      </c>
      <c r="X8" s="228">
        <v>-6.1</v>
      </c>
      <c r="Y8" s="229">
        <v>-4.1999999999999997E-3</v>
      </c>
      <c r="Z8" s="228">
        <v>1</v>
      </c>
      <c r="AA8" s="228">
        <v>-1.3</v>
      </c>
      <c r="AB8" s="228">
        <v>2.2999999999999998</v>
      </c>
      <c r="AC8" s="229">
        <v>6.9999999999999999E-4</v>
      </c>
      <c r="AD8" s="228">
        <v>1</v>
      </c>
      <c r="AE8" s="228">
        <v>-1.3</v>
      </c>
      <c r="AF8" s="228">
        <v>2.2999999999999998</v>
      </c>
      <c r="AG8" s="229">
        <v>6.9999999999999999E-4</v>
      </c>
      <c r="AH8" s="228">
        <v>9.1</v>
      </c>
      <c r="AI8" s="228">
        <v>6.6</v>
      </c>
      <c r="AJ8" s="228">
        <v>2.5</v>
      </c>
      <c r="AK8" s="229">
        <v>6.4000000000000003E-3</v>
      </c>
      <c r="AL8" s="228">
        <v>19.2</v>
      </c>
      <c r="AM8" s="228">
        <v>16.899999999999999</v>
      </c>
      <c r="AN8" s="228">
        <v>2.2999999999999998</v>
      </c>
      <c r="AO8" s="229">
        <v>1.35E-2</v>
      </c>
      <c r="AP8" s="231">
        <v>1419.45</v>
      </c>
      <c r="AQ8" s="231">
        <v>1427.67</v>
      </c>
      <c r="AR8" s="228">
        <v>0</v>
      </c>
      <c r="AS8" s="230">
        <v>2400</v>
      </c>
      <c r="AT8" s="230">
        <v>2359</v>
      </c>
      <c r="AU8" s="228">
        <v>41</v>
      </c>
      <c r="AV8" s="229">
        <v>1.72E-2</v>
      </c>
      <c r="AW8" s="230">
        <v>1158</v>
      </c>
      <c r="AX8" s="230">
        <v>1183</v>
      </c>
      <c r="AY8" s="228">
        <v>-24</v>
      </c>
      <c r="AZ8" s="229">
        <v>-2.06E-2</v>
      </c>
      <c r="BA8" s="230">
        <v>1198</v>
      </c>
      <c r="BB8" s="230">
        <v>1160</v>
      </c>
      <c r="BC8" s="228">
        <v>38</v>
      </c>
      <c r="BD8" s="229">
        <v>3.2500000000000001E-2</v>
      </c>
      <c r="BE8" s="228">
        <v>43</v>
      </c>
      <c r="BF8" s="228">
        <v>16</v>
      </c>
      <c r="BG8" s="228">
        <v>27</v>
      </c>
      <c r="BH8" s="229">
        <v>1.7264999999999999</v>
      </c>
      <c r="BI8" s="230">
        <v>2166</v>
      </c>
      <c r="BJ8" s="230">
        <v>2142</v>
      </c>
      <c r="BK8" s="228">
        <v>25</v>
      </c>
      <c r="BL8" s="229">
        <v>1.15E-2</v>
      </c>
      <c r="BM8" s="230">
        <v>1378</v>
      </c>
      <c r="BN8" s="230">
        <v>1268</v>
      </c>
      <c r="BO8" s="228">
        <v>110</v>
      </c>
      <c r="BP8" s="229">
        <v>8.7099999999999997E-2</v>
      </c>
      <c r="BQ8" s="230">
        <v>5944</v>
      </c>
      <c r="BR8" s="230">
        <v>5768</v>
      </c>
      <c r="BS8" s="228">
        <v>176</v>
      </c>
      <c r="BT8" s="229">
        <v>3.04E-2</v>
      </c>
      <c r="BU8" s="230">
        <v>2345924</v>
      </c>
      <c r="BV8" s="230">
        <v>1976160</v>
      </c>
      <c r="BW8" s="230">
        <v>369764</v>
      </c>
      <c r="BX8" s="229">
        <v>0.18709999999999999</v>
      </c>
      <c r="BY8" s="230">
        <v>3559</v>
      </c>
      <c r="BZ8" s="230">
        <v>3515</v>
      </c>
      <c r="CA8" s="228">
        <v>44</v>
      </c>
      <c r="CB8" s="229">
        <v>1.24E-2</v>
      </c>
      <c r="CC8" s="228">
        <v>782</v>
      </c>
      <c r="CD8" s="230">
        <v>1691</v>
      </c>
      <c r="CE8" s="228">
        <v>-909</v>
      </c>
      <c r="CF8" s="229">
        <v>-0.53769999999999996</v>
      </c>
      <c r="CG8" s="230">
        <v>2720</v>
      </c>
      <c r="CH8" s="230">
        <v>1793</v>
      </c>
      <c r="CI8" s="228">
        <v>928</v>
      </c>
      <c r="CJ8" s="229">
        <v>0.51749999999999996</v>
      </c>
      <c r="CK8" s="228">
        <v>57</v>
      </c>
      <c r="CL8" s="228">
        <v>31</v>
      </c>
      <c r="CM8" s="228">
        <v>25</v>
      </c>
      <c r="CN8" s="229">
        <v>0.80469999999999997</v>
      </c>
      <c r="CO8" s="230">
        <v>1098</v>
      </c>
      <c r="CP8" s="230">
        <v>1208</v>
      </c>
      <c r="CQ8" s="228">
        <v>-110</v>
      </c>
      <c r="CR8" s="229">
        <v>-9.0899999999999995E-2</v>
      </c>
      <c r="CS8" s="228">
        <v>774</v>
      </c>
      <c r="CT8" s="228">
        <v>770</v>
      </c>
      <c r="CU8" s="228">
        <v>4</v>
      </c>
      <c r="CV8" s="229">
        <v>5.3E-3</v>
      </c>
      <c r="CW8" s="230">
        <v>5431</v>
      </c>
      <c r="CX8" s="230">
        <v>5493</v>
      </c>
      <c r="CY8" s="228">
        <v>-62</v>
      </c>
      <c r="CZ8" s="229">
        <v>-1.1299999999999999E-2</v>
      </c>
      <c r="DA8" s="228">
        <v>26.12</v>
      </c>
      <c r="DB8" s="228">
        <v>26.57</v>
      </c>
      <c r="DC8" s="228">
        <v>-0.45</v>
      </c>
      <c r="DD8" s="228">
        <v>-0.45</v>
      </c>
      <c r="DE8" s="228">
        <v>38.619999999999997</v>
      </c>
      <c r="DF8" s="228">
        <v>38.71</v>
      </c>
      <c r="DG8" s="228">
        <v>-12.5</v>
      </c>
      <c r="DH8" s="228">
        <v>-0.09</v>
      </c>
      <c r="DI8" s="228">
        <v>26.6</v>
      </c>
      <c r="DJ8" s="228">
        <v>26.94</v>
      </c>
      <c r="DK8" s="228">
        <v>-0.34</v>
      </c>
      <c r="DL8" s="228">
        <v>-0.34</v>
      </c>
      <c r="DM8" s="228">
        <v>25.42</v>
      </c>
      <c r="DN8" s="228">
        <v>26.02</v>
      </c>
      <c r="DO8" s="228">
        <v>-0.6</v>
      </c>
      <c r="DP8" s="228">
        <v>-0.6</v>
      </c>
      <c r="DQ8" s="228">
        <v>0.71</v>
      </c>
      <c r="DR8" s="228">
        <v>0.64</v>
      </c>
      <c r="DS8" s="228">
        <v>7.0000000000000007E-2</v>
      </c>
      <c r="DT8" s="229">
        <v>0.1094</v>
      </c>
      <c r="DU8" s="231">
        <v>1500</v>
      </c>
      <c r="DV8" s="231">
        <v>1400</v>
      </c>
      <c r="DW8" s="228">
        <v>0.64</v>
      </c>
      <c r="DX8" s="228">
        <v>0.59</v>
      </c>
      <c r="DY8" s="228">
        <v>0.05</v>
      </c>
      <c r="DZ8" s="229">
        <v>8.4699999999999998E-2</v>
      </c>
      <c r="EA8" s="229">
        <v>0.78029999999999999</v>
      </c>
      <c r="EB8" s="230">
        <v>12830700</v>
      </c>
      <c r="EC8" s="229">
        <v>5.7000000000000002E-3</v>
      </c>
      <c r="ED8" s="229">
        <v>0.78029999999999999</v>
      </c>
      <c r="EE8" s="228">
        <v>8.2200000000000006</v>
      </c>
      <c r="EF8" s="229">
        <v>5.7999999999999996E-3</v>
      </c>
      <c r="EG8" s="230">
        <v>1330765</v>
      </c>
      <c r="EH8" s="230">
        <v>1037257</v>
      </c>
      <c r="EI8" s="229">
        <v>0.28299999999999997</v>
      </c>
      <c r="EJ8" s="229">
        <v>0.56730000000000003</v>
      </c>
      <c r="EK8" s="231">
        <v>2237.7800000000002</v>
      </c>
      <c r="EL8" s="231">
        <v>1374.82</v>
      </c>
      <c r="EM8" s="231">
        <v>2403.44</v>
      </c>
      <c r="EN8" s="228">
        <v>167.48</v>
      </c>
      <c r="EO8" s="231">
        <v>6016.04</v>
      </c>
      <c r="EP8" s="231">
        <v>5908.98</v>
      </c>
      <c r="EQ8" s="228">
        <v>107.06</v>
      </c>
      <c r="ER8" s="229">
        <v>1.8100000000000002E-2</v>
      </c>
      <c r="ES8" s="231">
        <v>1149.03</v>
      </c>
      <c r="ET8" s="228">
        <v>763.92</v>
      </c>
      <c r="EU8" s="231">
        <v>3574.91</v>
      </c>
      <c r="EV8" s="231">
        <v>73799006</v>
      </c>
      <c r="EW8" s="231">
        <v>5487.86</v>
      </c>
      <c r="EX8" s="231">
        <v>5566.01</v>
      </c>
      <c r="EY8" s="228">
        <v>-78.150000000000006</v>
      </c>
      <c r="EZ8" s="229">
        <v>-1.4E-2</v>
      </c>
      <c r="FA8" s="229">
        <v>0.51770000000000005</v>
      </c>
      <c r="FB8" s="227" t="s">
        <v>567</v>
      </c>
      <c r="FC8">
        <f t="shared" si="0"/>
        <v>2777</v>
      </c>
    </row>
    <row r="9" spans="1:159" ht="17.25" thickBot="1" x14ac:dyDescent="0.3">
      <c r="A9" s="226">
        <v>45957</v>
      </c>
      <c r="B9" s="227" t="s">
        <v>170</v>
      </c>
      <c r="C9" s="227" t="s">
        <v>497</v>
      </c>
      <c r="D9" s="228">
        <v>125</v>
      </c>
      <c r="E9" s="228">
        <v>1</v>
      </c>
      <c r="F9" s="231">
        <v>5469.5</v>
      </c>
      <c r="G9" s="231">
        <v>5537.5</v>
      </c>
      <c r="H9" s="228">
        <v>-68</v>
      </c>
      <c r="I9" s="229">
        <v>-1.23E-2</v>
      </c>
      <c r="J9" s="231">
        <v>5475.5</v>
      </c>
      <c r="K9" s="231">
        <v>5545</v>
      </c>
      <c r="L9" s="228">
        <v>-69.5</v>
      </c>
      <c r="M9" s="229">
        <v>-1.2500000000000001E-2</v>
      </c>
      <c r="N9" s="231">
        <v>5469.5</v>
      </c>
      <c r="O9" s="231">
        <v>5537.5</v>
      </c>
      <c r="P9" s="228">
        <v>-68</v>
      </c>
      <c r="Q9" s="229">
        <v>-1.23E-2</v>
      </c>
      <c r="R9" s="231">
        <v>5499.5</v>
      </c>
      <c r="S9" s="231">
        <v>5567.5</v>
      </c>
      <c r="T9" s="228">
        <v>-68</v>
      </c>
      <c r="U9" s="229">
        <v>-1.2200000000000001E-2</v>
      </c>
      <c r="V9" s="231">
        <v>5525</v>
      </c>
      <c r="W9" s="231">
        <v>5601.5</v>
      </c>
      <c r="X9" s="228">
        <v>-76.5</v>
      </c>
      <c r="Y9" s="229">
        <v>-1.37E-2</v>
      </c>
      <c r="Z9" s="228">
        <v>-6</v>
      </c>
      <c r="AA9" s="228">
        <v>-7.5</v>
      </c>
      <c r="AB9" s="228">
        <v>1.5</v>
      </c>
      <c r="AC9" s="229">
        <v>-1.1000000000000001E-3</v>
      </c>
      <c r="AD9" s="228">
        <v>-6</v>
      </c>
      <c r="AE9" s="228">
        <v>-7.5</v>
      </c>
      <c r="AF9" s="228">
        <v>1.5</v>
      </c>
      <c r="AG9" s="229">
        <v>-1.1000000000000001E-3</v>
      </c>
      <c r="AH9" s="228">
        <v>24</v>
      </c>
      <c r="AI9" s="228">
        <v>22.5</v>
      </c>
      <c r="AJ9" s="228">
        <v>1.5</v>
      </c>
      <c r="AK9" s="229">
        <v>4.4000000000000003E-3</v>
      </c>
      <c r="AL9" s="228">
        <v>49.5</v>
      </c>
      <c r="AM9" s="228">
        <v>56.5</v>
      </c>
      <c r="AN9" s="228">
        <v>-7</v>
      </c>
      <c r="AO9" s="229">
        <v>8.9999999999999993E-3</v>
      </c>
      <c r="AP9" s="231">
        <v>5512.64</v>
      </c>
      <c r="AQ9" s="231">
        <v>5541.69</v>
      </c>
      <c r="AR9" s="228">
        <v>0</v>
      </c>
      <c r="AS9" s="228">
        <v>693</v>
      </c>
      <c r="AT9" s="228">
        <v>823</v>
      </c>
      <c r="AU9" s="228">
        <v>-130</v>
      </c>
      <c r="AV9" s="229">
        <v>-0.15840000000000001</v>
      </c>
      <c r="AW9" s="228">
        <v>338</v>
      </c>
      <c r="AX9" s="228">
        <v>436</v>
      </c>
      <c r="AY9" s="228">
        <v>-99</v>
      </c>
      <c r="AZ9" s="229">
        <v>-0.22589999999999999</v>
      </c>
      <c r="BA9" s="228">
        <v>354</v>
      </c>
      <c r="BB9" s="228">
        <v>387</v>
      </c>
      <c r="BC9" s="228">
        <v>-32</v>
      </c>
      <c r="BD9" s="229">
        <v>-8.3400000000000002E-2</v>
      </c>
      <c r="BE9" s="228">
        <v>0</v>
      </c>
      <c r="BF9" s="228">
        <v>0</v>
      </c>
      <c r="BG9" s="228">
        <v>0</v>
      </c>
      <c r="BH9" s="229">
        <v>6</v>
      </c>
      <c r="BI9" s="228">
        <v>134</v>
      </c>
      <c r="BJ9" s="228">
        <v>206</v>
      </c>
      <c r="BK9" s="228">
        <v>-72</v>
      </c>
      <c r="BL9" s="229">
        <v>-0.34889999999999999</v>
      </c>
      <c r="BM9" s="228">
        <v>272</v>
      </c>
      <c r="BN9" s="228">
        <v>171</v>
      </c>
      <c r="BO9" s="228">
        <v>101</v>
      </c>
      <c r="BP9" s="229">
        <v>0.59370000000000001</v>
      </c>
      <c r="BQ9" s="230">
        <v>1099</v>
      </c>
      <c r="BR9" s="230">
        <v>1200</v>
      </c>
      <c r="BS9" s="228">
        <v>-101</v>
      </c>
      <c r="BT9" s="229">
        <v>-8.4199999999999997E-2</v>
      </c>
      <c r="BU9" s="230">
        <v>73628</v>
      </c>
      <c r="BV9" s="230">
        <v>118061</v>
      </c>
      <c r="BW9" s="230">
        <v>-44433</v>
      </c>
      <c r="BX9" s="229">
        <v>-0.37640000000000001</v>
      </c>
      <c r="BY9" s="228">
        <v>860</v>
      </c>
      <c r="BZ9" s="228">
        <v>873</v>
      </c>
      <c r="CA9" s="228">
        <v>-12</v>
      </c>
      <c r="CB9" s="229">
        <v>-1.38E-2</v>
      </c>
      <c r="CC9" s="228">
        <v>94</v>
      </c>
      <c r="CD9" s="228">
        <v>382</v>
      </c>
      <c r="CE9" s="228">
        <v>-288</v>
      </c>
      <c r="CF9" s="229">
        <v>-0.75470000000000004</v>
      </c>
      <c r="CG9" s="228">
        <v>766</v>
      </c>
      <c r="CH9" s="228">
        <v>490</v>
      </c>
      <c r="CI9" s="228">
        <v>276</v>
      </c>
      <c r="CJ9" s="229">
        <v>0.5625</v>
      </c>
      <c r="CK9" s="228">
        <v>1</v>
      </c>
      <c r="CL9" s="228">
        <v>1</v>
      </c>
      <c r="CM9" s="228">
        <v>0</v>
      </c>
      <c r="CN9" s="229">
        <v>0.2</v>
      </c>
      <c r="CO9" s="228">
        <v>127</v>
      </c>
      <c r="CP9" s="228">
        <v>126</v>
      </c>
      <c r="CQ9" s="228">
        <v>1</v>
      </c>
      <c r="CR9" s="229">
        <v>4.8999999999999998E-3</v>
      </c>
      <c r="CS9" s="228">
        <v>101</v>
      </c>
      <c r="CT9" s="228">
        <v>117</v>
      </c>
      <c r="CU9" s="228">
        <v>-17</v>
      </c>
      <c r="CV9" s="229">
        <v>-0.1414</v>
      </c>
      <c r="CW9" s="230">
        <v>1088</v>
      </c>
      <c r="CX9" s="230">
        <v>1116</v>
      </c>
      <c r="CY9" s="228">
        <v>-28</v>
      </c>
      <c r="CZ9" s="229">
        <v>-2.5100000000000001E-2</v>
      </c>
      <c r="DA9" s="228">
        <v>25.19</v>
      </c>
      <c r="DB9" s="228">
        <v>27.15</v>
      </c>
      <c r="DC9" s="228">
        <v>-1.96</v>
      </c>
      <c r="DD9" s="228">
        <v>-1.96</v>
      </c>
      <c r="DE9" s="228">
        <v>27.52</v>
      </c>
      <c r="DF9" s="228">
        <v>27.54</v>
      </c>
      <c r="DG9" s="228">
        <v>-2.33</v>
      </c>
      <c r="DH9" s="228">
        <v>-0.02</v>
      </c>
      <c r="DI9" s="228">
        <v>24.87</v>
      </c>
      <c r="DJ9" s="228">
        <v>25.13</v>
      </c>
      <c r="DK9" s="228">
        <v>-0.26</v>
      </c>
      <c r="DL9" s="228">
        <v>-0.26</v>
      </c>
      <c r="DM9" s="228">
        <v>25.77</v>
      </c>
      <c r="DN9" s="228">
        <v>28.57</v>
      </c>
      <c r="DO9" s="228">
        <v>-2.8</v>
      </c>
      <c r="DP9" s="228">
        <v>-2.8</v>
      </c>
      <c r="DQ9" s="228">
        <v>0.79</v>
      </c>
      <c r="DR9" s="228">
        <v>0.93</v>
      </c>
      <c r="DS9" s="228">
        <v>-0.14000000000000001</v>
      </c>
      <c r="DT9" s="229">
        <v>-0.15049999999999999</v>
      </c>
      <c r="DU9" s="231">
        <v>5600</v>
      </c>
      <c r="DV9" s="231">
        <v>5400</v>
      </c>
      <c r="DW9" s="228">
        <v>2.0299999999999998</v>
      </c>
      <c r="DX9" s="228">
        <v>0.83</v>
      </c>
      <c r="DY9" s="228">
        <v>1.2</v>
      </c>
      <c r="DZ9" s="229">
        <v>1.4458</v>
      </c>
      <c r="EA9" s="229">
        <v>0.89119999999999999</v>
      </c>
      <c r="EB9" s="230">
        <v>897625</v>
      </c>
      <c r="EC9" s="229">
        <v>5.4999999999999997E-3</v>
      </c>
      <c r="ED9" s="229">
        <v>0.89119999999999999</v>
      </c>
      <c r="EE9" s="228">
        <v>29.05</v>
      </c>
      <c r="EF9" s="229">
        <v>5.3E-3</v>
      </c>
      <c r="EG9" s="230">
        <v>47230</v>
      </c>
      <c r="EH9" s="230">
        <v>82925</v>
      </c>
      <c r="EI9" s="229">
        <v>-0.4304</v>
      </c>
      <c r="EJ9" s="229">
        <v>0.64149999999999996</v>
      </c>
      <c r="EK9" s="228">
        <v>139.11000000000001</v>
      </c>
      <c r="EL9" s="228">
        <v>265.81</v>
      </c>
      <c r="EM9" s="228">
        <v>700.2</v>
      </c>
      <c r="EN9" s="228">
        <v>46.66</v>
      </c>
      <c r="EO9" s="231">
        <v>1105.1199999999999</v>
      </c>
      <c r="EP9" s="231">
        <v>1212.29</v>
      </c>
      <c r="EQ9" s="228">
        <v>-107.17</v>
      </c>
      <c r="ER9" s="229">
        <v>-8.8400000000000006E-2</v>
      </c>
      <c r="ES9" s="228">
        <v>133.43</v>
      </c>
      <c r="ET9" s="228">
        <v>97.99</v>
      </c>
      <c r="EU9" s="228">
        <v>864.7</v>
      </c>
      <c r="EV9" s="231">
        <v>6130387</v>
      </c>
      <c r="EW9" s="231">
        <v>1096.1199999999999</v>
      </c>
      <c r="EX9" s="231">
        <v>1133.4000000000001</v>
      </c>
      <c r="EY9" s="228">
        <v>-37.28</v>
      </c>
      <c r="EZ9" s="229">
        <v>-3.2899999999999999E-2</v>
      </c>
      <c r="FA9" s="229">
        <v>0.32450000000000001</v>
      </c>
      <c r="FB9" s="227" t="s">
        <v>568</v>
      </c>
      <c r="FC9">
        <f t="shared" si="0"/>
        <v>766</v>
      </c>
    </row>
    <row r="10" spans="1:159" ht="17.25" thickBot="1" x14ac:dyDescent="0.3">
      <c r="A10" s="226">
        <v>45957</v>
      </c>
      <c r="B10" s="227" t="s">
        <v>184</v>
      </c>
      <c r="C10" s="227" t="s">
        <v>682</v>
      </c>
      <c r="D10" s="228">
        <v>100</v>
      </c>
      <c r="E10" s="228">
        <v>1</v>
      </c>
      <c r="F10" s="231">
        <v>8466</v>
      </c>
      <c r="G10" s="231">
        <v>8318</v>
      </c>
      <c r="H10" s="228">
        <v>148</v>
      </c>
      <c r="I10" s="229">
        <v>1.78E-2</v>
      </c>
      <c r="J10" s="231">
        <v>8476</v>
      </c>
      <c r="K10" s="231">
        <v>8321.5</v>
      </c>
      <c r="L10" s="228">
        <v>154.5</v>
      </c>
      <c r="M10" s="229">
        <v>1.8599999999999998E-2</v>
      </c>
      <c r="N10" s="231">
        <v>8466</v>
      </c>
      <c r="O10" s="231">
        <v>8318</v>
      </c>
      <c r="P10" s="228">
        <v>148</v>
      </c>
      <c r="Q10" s="229">
        <v>1.78E-2</v>
      </c>
      <c r="R10" s="231">
        <v>8258.5</v>
      </c>
      <c r="S10" s="231">
        <v>8020</v>
      </c>
      <c r="T10" s="228">
        <v>238.5</v>
      </c>
      <c r="U10" s="229">
        <v>2.9700000000000001E-2</v>
      </c>
      <c r="V10" s="231">
        <v>8088.5</v>
      </c>
      <c r="W10" s="231">
        <v>7817</v>
      </c>
      <c r="X10" s="228">
        <v>271.5</v>
      </c>
      <c r="Y10" s="229">
        <v>3.4700000000000002E-2</v>
      </c>
      <c r="Z10" s="228">
        <v>-10</v>
      </c>
      <c r="AA10" s="228">
        <v>-3.5</v>
      </c>
      <c r="AB10" s="228">
        <v>-6.5</v>
      </c>
      <c r="AC10" s="229">
        <v>-1.1999999999999999E-3</v>
      </c>
      <c r="AD10" s="228">
        <v>-10</v>
      </c>
      <c r="AE10" s="228">
        <v>-3.5</v>
      </c>
      <c r="AF10" s="228">
        <v>-6.5</v>
      </c>
      <c r="AG10" s="229">
        <v>-1.1999999999999999E-3</v>
      </c>
      <c r="AH10" s="228">
        <v>-217.5</v>
      </c>
      <c r="AI10" s="228">
        <v>-301.5</v>
      </c>
      <c r="AJ10" s="228">
        <v>84</v>
      </c>
      <c r="AK10" s="229">
        <v>-2.5700000000000001E-2</v>
      </c>
      <c r="AL10" s="228">
        <v>-387.5</v>
      </c>
      <c r="AM10" s="228">
        <v>-504.5</v>
      </c>
      <c r="AN10" s="228">
        <v>117</v>
      </c>
      <c r="AO10" s="229">
        <v>-4.5699999999999998E-2</v>
      </c>
      <c r="AP10" s="231">
        <v>8437.1200000000008</v>
      </c>
      <c r="AQ10" s="231">
        <v>8218.0499999999993</v>
      </c>
      <c r="AR10" s="228">
        <v>0</v>
      </c>
      <c r="AS10" s="228">
        <v>830</v>
      </c>
      <c r="AT10" s="228">
        <v>774</v>
      </c>
      <c r="AU10" s="228">
        <v>56</v>
      </c>
      <c r="AV10" s="229">
        <v>7.2800000000000004E-2</v>
      </c>
      <c r="AW10" s="228">
        <v>375</v>
      </c>
      <c r="AX10" s="228">
        <v>386</v>
      </c>
      <c r="AY10" s="228">
        <v>-11</v>
      </c>
      <c r="AZ10" s="229">
        <v>-2.8899999999999999E-2</v>
      </c>
      <c r="BA10" s="228">
        <v>444</v>
      </c>
      <c r="BB10" s="228">
        <v>381</v>
      </c>
      <c r="BC10" s="228">
        <v>63</v>
      </c>
      <c r="BD10" s="229">
        <v>0.1651</v>
      </c>
      <c r="BE10" s="228">
        <v>11</v>
      </c>
      <c r="BF10" s="228">
        <v>6</v>
      </c>
      <c r="BG10" s="228">
        <v>5</v>
      </c>
      <c r="BH10" s="229">
        <v>0.71050000000000002</v>
      </c>
      <c r="BI10" s="230">
        <v>1458</v>
      </c>
      <c r="BJ10" s="230">
        <v>1448</v>
      </c>
      <c r="BK10" s="228">
        <v>11</v>
      </c>
      <c r="BL10" s="229">
        <v>7.3000000000000001E-3</v>
      </c>
      <c r="BM10" s="228">
        <v>686</v>
      </c>
      <c r="BN10" s="228">
        <v>717</v>
      </c>
      <c r="BO10" s="228">
        <v>-31</v>
      </c>
      <c r="BP10" s="229">
        <v>-4.2900000000000001E-2</v>
      </c>
      <c r="BQ10" s="230">
        <v>2974</v>
      </c>
      <c r="BR10" s="230">
        <v>2938</v>
      </c>
      <c r="BS10" s="228">
        <v>36</v>
      </c>
      <c r="BT10" s="229">
        <v>1.23E-2</v>
      </c>
      <c r="BU10" s="230">
        <v>342053</v>
      </c>
      <c r="BV10" s="230">
        <v>314853</v>
      </c>
      <c r="BW10" s="230">
        <v>27200</v>
      </c>
      <c r="BX10" s="229">
        <v>8.6400000000000005E-2</v>
      </c>
      <c r="BY10" s="228">
        <v>660</v>
      </c>
      <c r="BZ10" s="228">
        <v>746</v>
      </c>
      <c r="CA10" s="228">
        <v>-86</v>
      </c>
      <c r="CB10" s="229">
        <v>-0.11550000000000001</v>
      </c>
      <c r="CC10" s="228">
        <v>130</v>
      </c>
      <c r="CD10" s="228">
        <v>298</v>
      </c>
      <c r="CE10" s="228">
        <v>-168</v>
      </c>
      <c r="CF10" s="229">
        <v>-0.56240000000000001</v>
      </c>
      <c r="CG10" s="228">
        <v>515</v>
      </c>
      <c r="CH10" s="228">
        <v>431</v>
      </c>
      <c r="CI10" s="228">
        <v>84</v>
      </c>
      <c r="CJ10" s="229">
        <v>0.1948</v>
      </c>
      <c r="CK10" s="228">
        <v>15</v>
      </c>
      <c r="CL10" s="228">
        <v>17</v>
      </c>
      <c r="CM10" s="228">
        <v>-3</v>
      </c>
      <c r="CN10" s="229">
        <v>-0.14560000000000001</v>
      </c>
      <c r="CO10" s="228">
        <v>399</v>
      </c>
      <c r="CP10" s="228">
        <v>481</v>
      </c>
      <c r="CQ10" s="228">
        <v>-82</v>
      </c>
      <c r="CR10" s="229">
        <v>-0.17050000000000001</v>
      </c>
      <c r="CS10" s="228">
        <v>283</v>
      </c>
      <c r="CT10" s="228">
        <v>253</v>
      </c>
      <c r="CU10" s="228">
        <v>30</v>
      </c>
      <c r="CV10" s="229">
        <v>0.1206</v>
      </c>
      <c r="CW10" s="230">
        <v>1342</v>
      </c>
      <c r="CX10" s="230">
        <v>1479</v>
      </c>
      <c r="CY10" s="228">
        <v>-138</v>
      </c>
      <c r="CZ10" s="229">
        <v>-9.3100000000000002E-2</v>
      </c>
      <c r="DA10" s="228">
        <v>35.18</v>
      </c>
      <c r="DB10" s="228">
        <v>35.58</v>
      </c>
      <c r="DC10" s="228">
        <v>-0.4</v>
      </c>
      <c r="DD10" s="228">
        <v>-0.4</v>
      </c>
      <c r="DE10" s="228">
        <v>53.97</v>
      </c>
      <c r="DF10" s="228">
        <v>54.06</v>
      </c>
      <c r="DG10" s="228">
        <v>-18.79</v>
      </c>
      <c r="DH10" s="228">
        <v>-0.09</v>
      </c>
      <c r="DI10" s="228">
        <v>35.200000000000003</v>
      </c>
      <c r="DJ10" s="228">
        <v>35.799999999999997</v>
      </c>
      <c r="DK10" s="228">
        <v>-0.6</v>
      </c>
      <c r="DL10" s="228">
        <v>-0.6</v>
      </c>
      <c r="DM10" s="228">
        <v>35.119999999999997</v>
      </c>
      <c r="DN10" s="228">
        <v>35.11</v>
      </c>
      <c r="DO10" s="228">
        <v>0.01</v>
      </c>
      <c r="DP10" s="228">
        <v>0.01</v>
      </c>
      <c r="DQ10" s="228">
        <v>0.71</v>
      </c>
      <c r="DR10" s="228">
        <v>0.53</v>
      </c>
      <c r="DS10" s="228">
        <v>0.18</v>
      </c>
      <c r="DT10" s="229">
        <v>0.33960000000000001</v>
      </c>
      <c r="DU10" s="231">
        <v>9000</v>
      </c>
      <c r="DV10" s="231">
        <v>8400</v>
      </c>
      <c r="DW10" s="228">
        <v>0.47</v>
      </c>
      <c r="DX10" s="228">
        <v>0.5</v>
      </c>
      <c r="DY10" s="228">
        <v>-0.03</v>
      </c>
      <c r="DZ10" s="229">
        <v>-0.06</v>
      </c>
      <c r="EA10" s="229">
        <v>0.8024</v>
      </c>
      <c r="EB10" s="230">
        <v>529400</v>
      </c>
      <c r="EC10" s="229">
        <v>-2.4500000000000001E-2</v>
      </c>
      <c r="ED10" s="229">
        <v>0.8024</v>
      </c>
      <c r="EE10" s="228">
        <v>-219.07</v>
      </c>
      <c r="EF10" s="229">
        <v>-2.5999999999999999E-2</v>
      </c>
      <c r="EG10" s="230">
        <v>111224</v>
      </c>
      <c r="EH10" s="230">
        <v>113912</v>
      </c>
      <c r="EI10" s="229">
        <v>-2.3599999999999999E-2</v>
      </c>
      <c r="EJ10" s="229">
        <v>0.32519999999999999</v>
      </c>
      <c r="EK10" s="231">
        <v>1494.1</v>
      </c>
      <c r="EL10" s="228">
        <v>666.61</v>
      </c>
      <c r="EM10" s="228">
        <v>815.05</v>
      </c>
      <c r="EN10" s="228">
        <v>50.4</v>
      </c>
      <c r="EO10" s="231">
        <v>2975.77</v>
      </c>
      <c r="EP10" s="231">
        <v>2925.41</v>
      </c>
      <c r="EQ10" s="228">
        <v>50.35</v>
      </c>
      <c r="ER10" s="229">
        <v>1.72E-2</v>
      </c>
      <c r="ES10" s="228">
        <v>405.66</v>
      </c>
      <c r="ET10" s="228">
        <v>267.97000000000003</v>
      </c>
      <c r="EU10" s="228">
        <v>646.65</v>
      </c>
      <c r="EV10" s="231">
        <v>3067454</v>
      </c>
      <c r="EW10" s="231">
        <v>1320.28</v>
      </c>
      <c r="EX10" s="231">
        <v>1443.47</v>
      </c>
      <c r="EY10" s="228">
        <v>-123.19</v>
      </c>
      <c r="EZ10" s="229">
        <v>-8.5300000000000001E-2</v>
      </c>
      <c r="FA10" s="229">
        <v>0.51659999999999995</v>
      </c>
      <c r="FB10" s="227" t="s">
        <v>556</v>
      </c>
      <c r="FC10">
        <f t="shared" si="0"/>
        <v>530</v>
      </c>
    </row>
    <row r="11" spans="1:159" ht="17.25" thickBot="1" x14ac:dyDescent="0.3">
      <c r="A11" s="226">
        <v>45957</v>
      </c>
      <c r="B11" s="227" t="s">
        <v>157</v>
      </c>
      <c r="C11" s="227" t="s">
        <v>164</v>
      </c>
      <c r="D11" s="228">
        <v>1050</v>
      </c>
      <c r="E11" s="228">
        <v>1</v>
      </c>
      <c r="F11" s="228">
        <v>561.04999999999995</v>
      </c>
      <c r="G11" s="228">
        <v>555.95000000000005</v>
      </c>
      <c r="H11" s="228">
        <v>5.0999999999999996</v>
      </c>
      <c r="I11" s="229">
        <v>9.1999999999999998E-3</v>
      </c>
      <c r="J11" s="228">
        <v>560.25</v>
      </c>
      <c r="K11" s="228">
        <v>555</v>
      </c>
      <c r="L11" s="228">
        <v>5.25</v>
      </c>
      <c r="M11" s="229">
        <v>9.4999999999999998E-3</v>
      </c>
      <c r="N11" s="228">
        <v>561.04999999999995</v>
      </c>
      <c r="O11" s="228">
        <v>555.95000000000005</v>
      </c>
      <c r="P11" s="228">
        <v>5.0999999999999996</v>
      </c>
      <c r="Q11" s="229">
        <v>9.1999999999999998E-3</v>
      </c>
      <c r="R11" s="228">
        <v>564.35</v>
      </c>
      <c r="S11" s="228">
        <v>558.95000000000005</v>
      </c>
      <c r="T11" s="228">
        <v>5.4</v>
      </c>
      <c r="U11" s="229">
        <v>9.7000000000000003E-3</v>
      </c>
      <c r="V11" s="228">
        <v>568.15</v>
      </c>
      <c r="W11" s="228">
        <v>562.70000000000005</v>
      </c>
      <c r="X11" s="228">
        <v>5.45</v>
      </c>
      <c r="Y11" s="229">
        <v>9.7000000000000003E-3</v>
      </c>
      <c r="Z11" s="228">
        <v>0.8</v>
      </c>
      <c r="AA11" s="228">
        <v>0.95</v>
      </c>
      <c r="AB11" s="228">
        <v>-0.15</v>
      </c>
      <c r="AC11" s="229">
        <v>1.4E-3</v>
      </c>
      <c r="AD11" s="228">
        <v>0.8</v>
      </c>
      <c r="AE11" s="228">
        <v>0.95</v>
      </c>
      <c r="AF11" s="228">
        <v>-0.15</v>
      </c>
      <c r="AG11" s="229">
        <v>1.4E-3</v>
      </c>
      <c r="AH11" s="228">
        <v>4.0999999999999996</v>
      </c>
      <c r="AI11" s="228">
        <v>3.95</v>
      </c>
      <c r="AJ11" s="228">
        <v>0.15</v>
      </c>
      <c r="AK11" s="229">
        <v>7.3000000000000001E-3</v>
      </c>
      <c r="AL11" s="228">
        <v>7.9</v>
      </c>
      <c r="AM11" s="228">
        <v>7.7</v>
      </c>
      <c r="AN11" s="228">
        <v>0.2</v>
      </c>
      <c r="AO11" s="229">
        <v>1.41E-2</v>
      </c>
      <c r="AP11" s="228">
        <v>556.85</v>
      </c>
      <c r="AQ11" s="228">
        <v>559.86</v>
      </c>
      <c r="AR11" s="228">
        <v>0</v>
      </c>
      <c r="AS11" s="230">
        <v>1379</v>
      </c>
      <c r="AT11" s="230">
        <v>1614</v>
      </c>
      <c r="AU11" s="228">
        <v>-235</v>
      </c>
      <c r="AV11" s="229">
        <v>-0.14560000000000001</v>
      </c>
      <c r="AW11" s="228">
        <v>654</v>
      </c>
      <c r="AX11" s="228">
        <v>719</v>
      </c>
      <c r="AY11" s="228">
        <v>-65</v>
      </c>
      <c r="AZ11" s="229">
        <v>-9.0399999999999994E-2</v>
      </c>
      <c r="BA11" s="228">
        <v>713</v>
      </c>
      <c r="BB11" s="228">
        <v>891</v>
      </c>
      <c r="BC11" s="228">
        <v>-178</v>
      </c>
      <c r="BD11" s="229">
        <v>-0.2</v>
      </c>
      <c r="BE11" s="228">
        <v>12</v>
      </c>
      <c r="BF11" s="228">
        <v>4</v>
      </c>
      <c r="BG11" s="228">
        <v>8</v>
      </c>
      <c r="BH11" s="229">
        <v>1.9167000000000001</v>
      </c>
      <c r="BI11" s="228">
        <v>728</v>
      </c>
      <c r="BJ11" s="228">
        <v>555</v>
      </c>
      <c r="BK11" s="228">
        <v>173</v>
      </c>
      <c r="BL11" s="229">
        <v>0.3125</v>
      </c>
      <c r="BM11" s="228">
        <v>379</v>
      </c>
      <c r="BN11" s="228">
        <v>272</v>
      </c>
      <c r="BO11" s="228">
        <v>107</v>
      </c>
      <c r="BP11" s="229">
        <v>0.39510000000000001</v>
      </c>
      <c r="BQ11" s="230">
        <v>2486</v>
      </c>
      <c r="BR11" s="230">
        <v>2441</v>
      </c>
      <c r="BS11" s="228">
        <v>46</v>
      </c>
      <c r="BT11" s="229">
        <v>1.8700000000000001E-2</v>
      </c>
      <c r="BU11" s="230">
        <v>2259027</v>
      </c>
      <c r="BV11" s="230">
        <v>5132338</v>
      </c>
      <c r="BW11" s="230">
        <v>-2873311</v>
      </c>
      <c r="BX11" s="229">
        <v>-0.55979999999999996</v>
      </c>
      <c r="BY11" s="230">
        <v>2597</v>
      </c>
      <c r="BZ11" s="230">
        <v>2577</v>
      </c>
      <c r="CA11" s="228">
        <v>20</v>
      </c>
      <c r="CB11" s="229">
        <v>7.7000000000000002E-3</v>
      </c>
      <c r="CC11" s="228">
        <v>559</v>
      </c>
      <c r="CD11" s="230">
        <v>1060</v>
      </c>
      <c r="CE11" s="228">
        <v>-501</v>
      </c>
      <c r="CF11" s="229">
        <v>-0.47270000000000001</v>
      </c>
      <c r="CG11" s="230">
        <v>2019</v>
      </c>
      <c r="CH11" s="230">
        <v>1508</v>
      </c>
      <c r="CI11" s="228">
        <v>512</v>
      </c>
      <c r="CJ11" s="229">
        <v>0.33939999999999998</v>
      </c>
      <c r="CK11" s="228">
        <v>19</v>
      </c>
      <c r="CL11" s="228">
        <v>9</v>
      </c>
      <c r="CM11" s="228">
        <v>9</v>
      </c>
      <c r="CN11" s="229">
        <v>1.0126999999999999</v>
      </c>
      <c r="CO11" s="228">
        <v>634</v>
      </c>
      <c r="CP11" s="228">
        <v>709</v>
      </c>
      <c r="CQ11" s="228">
        <v>-75</v>
      </c>
      <c r="CR11" s="229">
        <v>-0.1055</v>
      </c>
      <c r="CS11" s="228">
        <v>472</v>
      </c>
      <c r="CT11" s="228">
        <v>483</v>
      </c>
      <c r="CU11" s="228">
        <v>-12</v>
      </c>
      <c r="CV11" s="229">
        <v>-2.3900000000000001E-2</v>
      </c>
      <c r="CW11" s="230">
        <v>3703</v>
      </c>
      <c r="CX11" s="230">
        <v>3770</v>
      </c>
      <c r="CY11" s="228">
        <v>-66</v>
      </c>
      <c r="CZ11" s="229">
        <v>-1.7600000000000001E-2</v>
      </c>
      <c r="DA11" s="228">
        <v>24.86</v>
      </c>
      <c r="DB11" s="228">
        <v>24.78</v>
      </c>
      <c r="DC11" s="228">
        <v>0.08</v>
      </c>
      <c r="DD11" s="228">
        <v>0.08</v>
      </c>
      <c r="DE11" s="228">
        <v>33.549999999999997</v>
      </c>
      <c r="DF11" s="228">
        <v>33.61</v>
      </c>
      <c r="DG11" s="228">
        <v>-8.69</v>
      </c>
      <c r="DH11" s="228">
        <v>-0.06</v>
      </c>
      <c r="DI11" s="228">
        <v>24.68</v>
      </c>
      <c r="DJ11" s="228">
        <v>24.94</v>
      </c>
      <c r="DK11" s="228">
        <v>-0.26</v>
      </c>
      <c r="DL11" s="228">
        <v>-0.26</v>
      </c>
      <c r="DM11" s="228">
        <v>25.12</v>
      </c>
      <c r="DN11" s="228">
        <v>24.57</v>
      </c>
      <c r="DO11" s="228">
        <v>0.55000000000000004</v>
      </c>
      <c r="DP11" s="228">
        <v>0.55000000000000004</v>
      </c>
      <c r="DQ11" s="228">
        <v>0.74</v>
      </c>
      <c r="DR11" s="228">
        <v>0.68</v>
      </c>
      <c r="DS11" s="228">
        <v>0.06</v>
      </c>
      <c r="DT11" s="229">
        <v>8.8200000000000001E-2</v>
      </c>
      <c r="DU11" s="228">
        <v>600</v>
      </c>
      <c r="DV11" s="228">
        <v>650</v>
      </c>
      <c r="DW11" s="228">
        <v>0.52</v>
      </c>
      <c r="DX11" s="228">
        <v>0.49</v>
      </c>
      <c r="DY11" s="228">
        <v>0.03</v>
      </c>
      <c r="DZ11" s="229">
        <v>6.1199999999999997E-2</v>
      </c>
      <c r="EA11" s="229">
        <v>0.78480000000000005</v>
      </c>
      <c r="EB11" s="230">
        <v>27038550</v>
      </c>
      <c r="EC11" s="229">
        <v>5.8999999999999999E-3</v>
      </c>
      <c r="ED11" s="229">
        <v>0.78480000000000005</v>
      </c>
      <c r="EE11" s="228">
        <v>3.01</v>
      </c>
      <c r="EF11" s="229">
        <v>5.4000000000000003E-3</v>
      </c>
      <c r="EG11" s="230">
        <v>1703079</v>
      </c>
      <c r="EH11" s="230">
        <v>4345052</v>
      </c>
      <c r="EI11" s="229">
        <v>-0.60799999999999998</v>
      </c>
      <c r="EJ11" s="229">
        <v>0.75390000000000001</v>
      </c>
      <c r="EK11" s="228">
        <v>755.53</v>
      </c>
      <c r="EL11" s="228">
        <v>387.76</v>
      </c>
      <c r="EM11" s="231">
        <v>1372.79</v>
      </c>
      <c r="EN11" s="228">
        <v>132.71</v>
      </c>
      <c r="EO11" s="231">
        <v>2516.08</v>
      </c>
      <c r="EP11" s="231">
        <v>2461.5300000000002</v>
      </c>
      <c r="EQ11" s="228">
        <v>54.55</v>
      </c>
      <c r="ER11" s="229">
        <v>2.2200000000000001E-2</v>
      </c>
      <c r="ES11" s="228">
        <v>669.42</v>
      </c>
      <c r="ET11" s="228">
        <v>485.55</v>
      </c>
      <c r="EU11" s="231">
        <v>2609.17</v>
      </c>
      <c r="EV11" s="231">
        <v>119762774</v>
      </c>
      <c r="EW11" s="231">
        <v>3764.15</v>
      </c>
      <c r="EX11" s="231">
        <v>3807.98</v>
      </c>
      <c r="EY11" s="228">
        <v>-43.83</v>
      </c>
      <c r="EZ11" s="229">
        <v>-1.15E-2</v>
      </c>
      <c r="FA11" s="229">
        <v>0.55110000000000003</v>
      </c>
      <c r="FB11" s="227" t="s">
        <v>555</v>
      </c>
      <c r="FC11">
        <f t="shared" si="0"/>
        <v>2038</v>
      </c>
    </row>
    <row r="12" spans="1:159" ht="17.25" thickBot="1" x14ac:dyDescent="0.3">
      <c r="A12" s="226">
        <v>45957</v>
      </c>
      <c r="B12" s="227" t="s">
        <v>175</v>
      </c>
      <c r="C12" s="227" t="s">
        <v>609</v>
      </c>
      <c r="D12" s="228">
        <v>250</v>
      </c>
      <c r="E12" s="228">
        <v>1</v>
      </c>
      <c r="F12" s="231">
        <v>2574.5</v>
      </c>
      <c r="G12" s="231">
        <v>2513.9</v>
      </c>
      <c r="H12" s="228">
        <v>60.6</v>
      </c>
      <c r="I12" s="229">
        <v>2.41E-2</v>
      </c>
      <c r="J12" s="231">
        <v>2577</v>
      </c>
      <c r="K12" s="231">
        <v>2514.5</v>
      </c>
      <c r="L12" s="228">
        <v>62.5</v>
      </c>
      <c r="M12" s="229">
        <v>2.4899999999999999E-2</v>
      </c>
      <c r="N12" s="231">
        <v>2574.5</v>
      </c>
      <c r="O12" s="231">
        <v>2513.9</v>
      </c>
      <c r="P12" s="228">
        <v>60.6</v>
      </c>
      <c r="Q12" s="229">
        <v>2.41E-2</v>
      </c>
      <c r="R12" s="231">
        <v>2587.3000000000002</v>
      </c>
      <c r="S12" s="231">
        <v>2517</v>
      </c>
      <c r="T12" s="228">
        <v>70.3</v>
      </c>
      <c r="U12" s="229">
        <v>2.7900000000000001E-2</v>
      </c>
      <c r="V12" s="231">
        <v>2590.4</v>
      </c>
      <c r="W12" s="231">
        <v>2517.8000000000002</v>
      </c>
      <c r="X12" s="228">
        <v>72.599999999999994</v>
      </c>
      <c r="Y12" s="229">
        <v>2.8799999999999999E-2</v>
      </c>
      <c r="Z12" s="228">
        <v>-2.5</v>
      </c>
      <c r="AA12" s="228">
        <v>-0.6</v>
      </c>
      <c r="AB12" s="228">
        <v>-1.9</v>
      </c>
      <c r="AC12" s="229">
        <v>-1E-3</v>
      </c>
      <c r="AD12" s="228">
        <v>-2.5</v>
      </c>
      <c r="AE12" s="228">
        <v>-0.6</v>
      </c>
      <c r="AF12" s="228">
        <v>-1.9</v>
      </c>
      <c r="AG12" s="229">
        <v>-1E-3</v>
      </c>
      <c r="AH12" s="228">
        <v>10.3</v>
      </c>
      <c r="AI12" s="228">
        <v>2.5</v>
      </c>
      <c r="AJ12" s="228">
        <v>7.8</v>
      </c>
      <c r="AK12" s="229">
        <v>4.0000000000000001E-3</v>
      </c>
      <c r="AL12" s="228">
        <v>13.4</v>
      </c>
      <c r="AM12" s="228">
        <v>3.3</v>
      </c>
      <c r="AN12" s="228">
        <v>10.1</v>
      </c>
      <c r="AO12" s="229">
        <v>5.1999999999999998E-3</v>
      </c>
      <c r="AP12" s="231">
        <v>2550.9</v>
      </c>
      <c r="AQ12" s="231">
        <v>2563.11</v>
      </c>
      <c r="AR12" s="228">
        <v>0</v>
      </c>
      <c r="AS12" s="228">
        <v>820</v>
      </c>
      <c r="AT12" s="228">
        <v>775</v>
      </c>
      <c r="AU12" s="228">
        <v>46</v>
      </c>
      <c r="AV12" s="229">
        <v>5.8900000000000001E-2</v>
      </c>
      <c r="AW12" s="228">
        <v>382</v>
      </c>
      <c r="AX12" s="228">
        <v>383</v>
      </c>
      <c r="AY12" s="228">
        <v>-1</v>
      </c>
      <c r="AZ12" s="229">
        <v>-3.5000000000000001E-3</v>
      </c>
      <c r="BA12" s="228">
        <v>425</v>
      </c>
      <c r="BB12" s="228">
        <v>383</v>
      </c>
      <c r="BC12" s="228">
        <v>42</v>
      </c>
      <c r="BD12" s="229">
        <v>0.1087</v>
      </c>
      <c r="BE12" s="228">
        <v>14</v>
      </c>
      <c r="BF12" s="228">
        <v>9</v>
      </c>
      <c r="BG12" s="228">
        <v>5</v>
      </c>
      <c r="BH12" s="229">
        <v>0.61480000000000001</v>
      </c>
      <c r="BI12" s="230">
        <v>1449</v>
      </c>
      <c r="BJ12" s="228">
        <v>944</v>
      </c>
      <c r="BK12" s="228">
        <v>505</v>
      </c>
      <c r="BL12" s="229">
        <v>0.5353</v>
      </c>
      <c r="BM12" s="228">
        <v>723</v>
      </c>
      <c r="BN12" s="228">
        <v>696</v>
      </c>
      <c r="BO12" s="228">
        <v>27</v>
      </c>
      <c r="BP12" s="229">
        <v>3.9E-2</v>
      </c>
      <c r="BQ12" s="230">
        <v>2992</v>
      </c>
      <c r="BR12" s="230">
        <v>2414</v>
      </c>
      <c r="BS12" s="228">
        <v>578</v>
      </c>
      <c r="BT12" s="229">
        <v>0.2394</v>
      </c>
      <c r="BU12" s="230">
        <v>761609</v>
      </c>
      <c r="BV12" s="230">
        <v>410326</v>
      </c>
      <c r="BW12" s="230">
        <v>351283</v>
      </c>
      <c r="BX12" s="229">
        <v>0.85609999999999997</v>
      </c>
      <c r="BY12" s="228">
        <v>841</v>
      </c>
      <c r="BZ12" s="228">
        <v>823</v>
      </c>
      <c r="CA12" s="228">
        <v>18</v>
      </c>
      <c r="CB12" s="229">
        <v>2.1499999999999998E-2</v>
      </c>
      <c r="CC12" s="228">
        <v>153</v>
      </c>
      <c r="CD12" s="228">
        <v>338</v>
      </c>
      <c r="CE12" s="228">
        <v>-186</v>
      </c>
      <c r="CF12" s="229">
        <v>-0.54869999999999997</v>
      </c>
      <c r="CG12" s="228">
        <v>666</v>
      </c>
      <c r="CH12" s="228">
        <v>465</v>
      </c>
      <c r="CI12" s="228">
        <v>202</v>
      </c>
      <c r="CJ12" s="229">
        <v>0.43369999999999997</v>
      </c>
      <c r="CK12" s="228">
        <v>22</v>
      </c>
      <c r="CL12" s="228">
        <v>20</v>
      </c>
      <c r="CM12" s="228">
        <v>2</v>
      </c>
      <c r="CN12" s="229">
        <v>8.3299999999999999E-2</v>
      </c>
      <c r="CO12" s="228">
        <v>502</v>
      </c>
      <c r="CP12" s="228">
        <v>560</v>
      </c>
      <c r="CQ12" s="228">
        <v>-58</v>
      </c>
      <c r="CR12" s="229">
        <v>-0.1038</v>
      </c>
      <c r="CS12" s="228">
        <v>452</v>
      </c>
      <c r="CT12" s="228">
        <v>489</v>
      </c>
      <c r="CU12" s="228">
        <v>-36</v>
      </c>
      <c r="CV12" s="229">
        <v>-7.3800000000000004E-2</v>
      </c>
      <c r="CW12" s="230">
        <v>1795</v>
      </c>
      <c r="CX12" s="230">
        <v>1871</v>
      </c>
      <c r="CY12" s="228">
        <v>-76</v>
      </c>
      <c r="CZ12" s="229">
        <v>-4.0899999999999999E-2</v>
      </c>
      <c r="DA12" s="228">
        <v>36.68</v>
      </c>
      <c r="DB12" s="228">
        <v>34.76</v>
      </c>
      <c r="DC12" s="228">
        <v>1.92</v>
      </c>
      <c r="DD12" s="228">
        <v>1.92</v>
      </c>
      <c r="DE12" s="228">
        <v>54.92</v>
      </c>
      <c r="DF12" s="228">
        <v>54.96</v>
      </c>
      <c r="DG12" s="228">
        <v>-18.239999999999998</v>
      </c>
      <c r="DH12" s="228">
        <v>-0.04</v>
      </c>
      <c r="DI12" s="228">
        <v>36.520000000000003</v>
      </c>
      <c r="DJ12" s="228">
        <v>34.25</v>
      </c>
      <c r="DK12" s="228">
        <v>2.27</v>
      </c>
      <c r="DL12" s="228">
        <v>2.27</v>
      </c>
      <c r="DM12" s="228">
        <v>37.090000000000003</v>
      </c>
      <c r="DN12" s="228">
        <v>35.64</v>
      </c>
      <c r="DO12" s="228">
        <v>1.45</v>
      </c>
      <c r="DP12" s="228">
        <v>1.45</v>
      </c>
      <c r="DQ12" s="228">
        <v>0.9</v>
      </c>
      <c r="DR12" s="228">
        <v>0.87</v>
      </c>
      <c r="DS12" s="228">
        <v>0.03</v>
      </c>
      <c r="DT12" s="229">
        <v>3.4500000000000003E-2</v>
      </c>
      <c r="DU12" s="231">
        <v>2700</v>
      </c>
      <c r="DV12" s="231">
        <v>2400</v>
      </c>
      <c r="DW12" s="228">
        <v>0.5</v>
      </c>
      <c r="DX12" s="228">
        <v>0.74</v>
      </c>
      <c r="DY12" s="228">
        <v>-0.24</v>
      </c>
      <c r="DZ12" s="229">
        <v>-0.32429999999999998</v>
      </c>
      <c r="EA12" s="229">
        <v>0.81850000000000001</v>
      </c>
      <c r="EB12" s="230">
        <v>1883250</v>
      </c>
      <c r="EC12" s="229">
        <v>5.0000000000000001E-3</v>
      </c>
      <c r="ED12" s="229">
        <v>0.81850000000000001</v>
      </c>
      <c r="EE12" s="228">
        <v>12.21</v>
      </c>
      <c r="EF12" s="229">
        <v>4.7999999999999996E-3</v>
      </c>
      <c r="EG12" s="230">
        <v>301369</v>
      </c>
      <c r="EH12" s="230">
        <v>129444</v>
      </c>
      <c r="EI12" s="229">
        <v>1.3282</v>
      </c>
      <c r="EJ12" s="229">
        <v>0.3957</v>
      </c>
      <c r="EK12" s="231">
        <v>1484.04</v>
      </c>
      <c r="EL12" s="228">
        <v>686.69</v>
      </c>
      <c r="EM12" s="228">
        <v>814.86</v>
      </c>
      <c r="EN12" s="228">
        <v>67.400000000000006</v>
      </c>
      <c r="EO12" s="231">
        <v>2985.59</v>
      </c>
      <c r="EP12" s="231">
        <v>2362.0500000000002</v>
      </c>
      <c r="EQ12" s="228">
        <v>623.54</v>
      </c>
      <c r="ER12" s="229">
        <v>0.26400000000000001</v>
      </c>
      <c r="ES12" s="228">
        <v>484.12</v>
      </c>
      <c r="ET12" s="228">
        <v>407.82</v>
      </c>
      <c r="EU12" s="228">
        <v>844.15</v>
      </c>
      <c r="EV12" s="231">
        <v>9647634</v>
      </c>
      <c r="EW12" s="231">
        <v>1736.09</v>
      </c>
      <c r="EX12" s="231">
        <v>1781.19</v>
      </c>
      <c r="EY12" s="228">
        <v>-45.1</v>
      </c>
      <c r="EZ12" s="229">
        <v>-2.53E-2</v>
      </c>
      <c r="FA12" s="229">
        <v>0.72260000000000002</v>
      </c>
      <c r="FB12" s="227" t="s">
        <v>555</v>
      </c>
      <c r="FC12">
        <f t="shared" si="0"/>
        <v>688</v>
      </c>
    </row>
    <row r="13" spans="1:159" ht="17.25" thickBot="1" x14ac:dyDescent="0.3">
      <c r="A13" s="226">
        <v>45957</v>
      </c>
      <c r="B13" s="227" t="s">
        <v>227</v>
      </c>
      <c r="C13" s="227" t="s">
        <v>598</v>
      </c>
      <c r="D13" s="228">
        <v>350</v>
      </c>
      <c r="E13" s="228">
        <v>1</v>
      </c>
      <c r="F13" s="231">
        <v>1768</v>
      </c>
      <c r="G13" s="231">
        <v>1754.9</v>
      </c>
      <c r="H13" s="228">
        <v>13.1</v>
      </c>
      <c r="I13" s="229">
        <v>7.4999999999999997E-3</v>
      </c>
      <c r="J13" s="231">
        <v>1767</v>
      </c>
      <c r="K13" s="231">
        <v>1754.4</v>
      </c>
      <c r="L13" s="228">
        <v>12.6</v>
      </c>
      <c r="M13" s="229">
        <v>7.1999999999999998E-3</v>
      </c>
      <c r="N13" s="231">
        <v>1768</v>
      </c>
      <c r="O13" s="231">
        <v>1754.9</v>
      </c>
      <c r="P13" s="228">
        <v>13.1</v>
      </c>
      <c r="Q13" s="229">
        <v>7.4999999999999997E-3</v>
      </c>
      <c r="R13" s="231">
        <v>1778.4</v>
      </c>
      <c r="S13" s="231">
        <v>1764.7</v>
      </c>
      <c r="T13" s="228">
        <v>13.7</v>
      </c>
      <c r="U13" s="229">
        <v>7.7999999999999996E-3</v>
      </c>
      <c r="V13" s="231">
        <v>1785.5</v>
      </c>
      <c r="W13" s="231">
        <v>1775.4</v>
      </c>
      <c r="X13" s="228">
        <v>10.1</v>
      </c>
      <c r="Y13" s="229">
        <v>5.7000000000000002E-3</v>
      </c>
      <c r="Z13" s="228">
        <v>1</v>
      </c>
      <c r="AA13" s="228">
        <v>0.5</v>
      </c>
      <c r="AB13" s="228">
        <v>0.5</v>
      </c>
      <c r="AC13" s="229">
        <v>5.9999999999999995E-4</v>
      </c>
      <c r="AD13" s="228">
        <v>1</v>
      </c>
      <c r="AE13" s="228">
        <v>0.5</v>
      </c>
      <c r="AF13" s="228">
        <v>0.5</v>
      </c>
      <c r="AG13" s="229">
        <v>5.9999999999999995E-4</v>
      </c>
      <c r="AH13" s="228">
        <v>11.4</v>
      </c>
      <c r="AI13" s="228">
        <v>10.3</v>
      </c>
      <c r="AJ13" s="228">
        <v>1.1000000000000001</v>
      </c>
      <c r="AK13" s="229">
        <v>6.4999999999999997E-3</v>
      </c>
      <c r="AL13" s="228">
        <v>18.5</v>
      </c>
      <c r="AM13" s="228">
        <v>21</v>
      </c>
      <c r="AN13" s="228">
        <v>-2.5</v>
      </c>
      <c r="AO13" s="229">
        <v>1.0500000000000001E-2</v>
      </c>
      <c r="AP13" s="231">
        <v>1768.37</v>
      </c>
      <c r="AQ13" s="231">
        <v>1779.04</v>
      </c>
      <c r="AR13" s="228">
        <v>0</v>
      </c>
      <c r="AS13" s="230">
        <v>1337</v>
      </c>
      <c r="AT13" s="230">
        <v>1463</v>
      </c>
      <c r="AU13" s="228">
        <v>-126</v>
      </c>
      <c r="AV13" s="229">
        <v>-8.5999999999999993E-2</v>
      </c>
      <c r="AW13" s="228">
        <v>645</v>
      </c>
      <c r="AX13" s="228">
        <v>742</v>
      </c>
      <c r="AY13" s="228">
        <v>-97</v>
      </c>
      <c r="AZ13" s="229">
        <v>-0.13020000000000001</v>
      </c>
      <c r="BA13" s="228">
        <v>691</v>
      </c>
      <c r="BB13" s="228">
        <v>720</v>
      </c>
      <c r="BC13" s="228">
        <v>-29</v>
      </c>
      <c r="BD13" s="229">
        <v>-4.0899999999999999E-2</v>
      </c>
      <c r="BE13" s="228">
        <v>1</v>
      </c>
      <c r="BF13" s="228">
        <v>1</v>
      </c>
      <c r="BG13" s="228">
        <v>0</v>
      </c>
      <c r="BH13" s="229">
        <v>0.23080000000000001</v>
      </c>
      <c r="BI13" s="228">
        <v>709</v>
      </c>
      <c r="BJ13" s="228">
        <v>503</v>
      </c>
      <c r="BK13" s="228">
        <v>206</v>
      </c>
      <c r="BL13" s="229">
        <v>0.4093</v>
      </c>
      <c r="BM13" s="228">
        <v>299</v>
      </c>
      <c r="BN13" s="228">
        <v>225</v>
      </c>
      <c r="BO13" s="228">
        <v>74</v>
      </c>
      <c r="BP13" s="229">
        <v>0.32790000000000002</v>
      </c>
      <c r="BQ13" s="230">
        <v>2345</v>
      </c>
      <c r="BR13" s="230">
        <v>2191</v>
      </c>
      <c r="BS13" s="228">
        <v>154</v>
      </c>
      <c r="BT13" s="229">
        <v>7.0300000000000001E-2</v>
      </c>
      <c r="BU13" s="230">
        <v>287317</v>
      </c>
      <c r="BV13" s="230">
        <v>308679</v>
      </c>
      <c r="BW13" s="230">
        <v>-21362</v>
      </c>
      <c r="BX13" s="229">
        <v>-6.9199999999999998E-2</v>
      </c>
      <c r="BY13" s="230">
        <v>1751</v>
      </c>
      <c r="BZ13" s="230">
        <v>1775</v>
      </c>
      <c r="CA13" s="228">
        <v>-25</v>
      </c>
      <c r="CB13" s="229">
        <v>-1.38E-2</v>
      </c>
      <c r="CC13" s="228">
        <v>190</v>
      </c>
      <c r="CD13" s="228">
        <v>701</v>
      </c>
      <c r="CE13" s="228">
        <v>-510</v>
      </c>
      <c r="CF13" s="229">
        <v>-0.72819999999999996</v>
      </c>
      <c r="CG13" s="230">
        <v>1558</v>
      </c>
      <c r="CH13" s="230">
        <v>1073</v>
      </c>
      <c r="CI13" s="228">
        <v>485</v>
      </c>
      <c r="CJ13" s="229">
        <v>0.45229999999999998</v>
      </c>
      <c r="CK13" s="228">
        <v>3</v>
      </c>
      <c r="CL13" s="228">
        <v>2</v>
      </c>
      <c r="CM13" s="228">
        <v>1</v>
      </c>
      <c r="CN13" s="229">
        <v>0.35289999999999999</v>
      </c>
      <c r="CO13" s="228">
        <v>281</v>
      </c>
      <c r="CP13" s="228">
        <v>301</v>
      </c>
      <c r="CQ13" s="228">
        <v>-20</v>
      </c>
      <c r="CR13" s="229">
        <v>-6.7699999999999996E-2</v>
      </c>
      <c r="CS13" s="228">
        <v>198</v>
      </c>
      <c r="CT13" s="228">
        <v>171</v>
      </c>
      <c r="CU13" s="228">
        <v>27</v>
      </c>
      <c r="CV13" s="229">
        <v>0.15920000000000001</v>
      </c>
      <c r="CW13" s="230">
        <v>2229</v>
      </c>
      <c r="CX13" s="230">
        <v>2247</v>
      </c>
      <c r="CY13" s="228">
        <v>-18</v>
      </c>
      <c r="CZ13" s="229">
        <v>-7.9000000000000008E-3</v>
      </c>
      <c r="DA13" s="228">
        <v>28.92</v>
      </c>
      <c r="DB13" s="228">
        <v>28.61</v>
      </c>
      <c r="DC13" s="228">
        <v>0.31</v>
      </c>
      <c r="DD13" s="228">
        <v>0.31</v>
      </c>
      <c r="DE13" s="228">
        <v>34.270000000000003</v>
      </c>
      <c r="DF13" s="228">
        <v>34.35</v>
      </c>
      <c r="DG13" s="228">
        <v>-5.35</v>
      </c>
      <c r="DH13" s="228">
        <v>-0.08</v>
      </c>
      <c r="DI13" s="228">
        <v>28.89</v>
      </c>
      <c r="DJ13" s="228">
        <v>28.93</v>
      </c>
      <c r="DK13" s="228">
        <v>-0.04</v>
      </c>
      <c r="DL13" s="228">
        <v>-0.04</v>
      </c>
      <c r="DM13" s="228">
        <v>28.99</v>
      </c>
      <c r="DN13" s="228">
        <v>28.02</v>
      </c>
      <c r="DO13" s="228">
        <v>0.97</v>
      </c>
      <c r="DP13" s="228">
        <v>0.97</v>
      </c>
      <c r="DQ13" s="228">
        <v>0.71</v>
      </c>
      <c r="DR13" s="228">
        <v>0.56999999999999995</v>
      </c>
      <c r="DS13" s="228">
        <v>0.14000000000000001</v>
      </c>
      <c r="DT13" s="229">
        <v>0.24560000000000001</v>
      </c>
      <c r="DU13" s="231">
        <v>1860</v>
      </c>
      <c r="DV13" s="231">
        <v>1700</v>
      </c>
      <c r="DW13" s="228">
        <v>0.42</v>
      </c>
      <c r="DX13" s="228">
        <v>0.45</v>
      </c>
      <c r="DY13" s="228">
        <v>-0.03</v>
      </c>
      <c r="DZ13" s="229">
        <v>-6.6699999999999995E-2</v>
      </c>
      <c r="EA13" s="229">
        <v>0.89119999999999999</v>
      </c>
      <c r="EB13" s="230">
        <v>6078100</v>
      </c>
      <c r="EC13" s="229">
        <v>5.8999999999999999E-3</v>
      </c>
      <c r="ED13" s="229">
        <v>0.89119999999999999</v>
      </c>
      <c r="EE13" s="228">
        <v>10.67</v>
      </c>
      <c r="EF13" s="229">
        <v>6.0000000000000001E-3</v>
      </c>
      <c r="EG13" s="230">
        <v>116618</v>
      </c>
      <c r="EH13" s="230">
        <v>158251</v>
      </c>
      <c r="EI13" s="229">
        <v>-0.2631</v>
      </c>
      <c r="EJ13" s="229">
        <v>0.40589999999999998</v>
      </c>
      <c r="EK13" s="228">
        <v>725.59</v>
      </c>
      <c r="EL13" s="228">
        <v>294.56</v>
      </c>
      <c r="EM13" s="231">
        <v>1341.2</v>
      </c>
      <c r="EN13" s="228">
        <v>96.97</v>
      </c>
      <c r="EO13" s="231">
        <v>2361.35</v>
      </c>
      <c r="EP13" s="231">
        <v>2186.7199999999998</v>
      </c>
      <c r="EQ13" s="228">
        <v>174.63</v>
      </c>
      <c r="ER13" s="229">
        <v>7.9899999999999999E-2</v>
      </c>
      <c r="ES13" s="228">
        <v>282.89</v>
      </c>
      <c r="ET13" s="228">
        <v>189.33</v>
      </c>
      <c r="EU13" s="231">
        <v>1760.09</v>
      </c>
      <c r="EV13" s="231">
        <v>27232196</v>
      </c>
      <c r="EW13" s="231">
        <v>2232.31</v>
      </c>
      <c r="EX13" s="231">
        <v>2232.09</v>
      </c>
      <c r="EY13" s="228">
        <v>0.22</v>
      </c>
      <c r="EZ13" s="229">
        <v>1E-4</v>
      </c>
      <c r="FA13" s="229">
        <v>0.46300000000000002</v>
      </c>
      <c r="FB13" s="227" t="s">
        <v>556</v>
      </c>
      <c r="FC13">
        <f t="shared" si="0"/>
        <v>1561</v>
      </c>
    </row>
    <row r="14" spans="1:159" ht="17.25" thickBot="1" x14ac:dyDescent="0.3">
      <c r="A14" s="226">
        <v>45957</v>
      </c>
      <c r="B14" s="227" t="s">
        <v>170</v>
      </c>
      <c r="C14" s="227" t="s">
        <v>165</v>
      </c>
      <c r="D14" s="228">
        <v>125</v>
      </c>
      <c r="E14" s="228">
        <v>1</v>
      </c>
      <c r="F14" s="231">
        <v>7855.5</v>
      </c>
      <c r="G14" s="231">
        <v>7845.5</v>
      </c>
      <c r="H14" s="228">
        <v>10</v>
      </c>
      <c r="I14" s="229">
        <v>1.2999999999999999E-3</v>
      </c>
      <c r="J14" s="231">
        <v>7845.5</v>
      </c>
      <c r="K14" s="231">
        <v>7837.5</v>
      </c>
      <c r="L14" s="228">
        <v>8</v>
      </c>
      <c r="M14" s="229">
        <v>1E-3</v>
      </c>
      <c r="N14" s="231">
        <v>7855.5</v>
      </c>
      <c r="O14" s="231">
        <v>7845.5</v>
      </c>
      <c r="P14" s="228">
        <v>10</v>
      </c>
      <c r="Q14" s="229">
        <v>1.2999999999999999E-3</v>
      </c>
      <c r="R14" s="231">
        <v>7900</v>
      </c>
      <c r="S14" s="231">
        <v>7889.5</v>
      </c>
      <c r="T14" s="228">
        <v>10.5</v>
      </c>
      <c r="U14" s="229">
        <v>1.2999999999999999E-3</v>
      </c>
      <c r="V14" s="231">
        <v>7953</v>
      </c>
      <c r="W14" s="231">
        <v>7948</v>
      </c>
      <c r="X14" s="228">
        <v>5</v>
      </c>
      <c r="Y14" s="229">
        <v>5.9999999999999995E-4</v>
      </c>
      <c r="Z14" s="228">
        <v>10</v>
      </c>
      <c r="AA14" s="228">
        <v>8</v>
      </c>
      <c r="AB14" s="228">
        <v>2</v>
      </c>
      <c r="AC14" s="229">
        <v>1.2999999999999999E-3</v>
      </c>
      <c r="AD14" s="228">
        <v>10</v>
      </c>
      <c r="AE14" s="228">
        <v>8</v>
      </c>
      <c r="AF14" s="228">
        <v>2</v>
      </c>
      <c r="AG14" s="229">
        <v>1.2999999999999999E-3</v>
      </c>
      <c r="AH14" s="228">
        <v>54.5</v>
      </c>
      <c r="AI14" s="228">
        <v>52</v>
      </c>
      <c r="AJ14" s="228">
        <v>2.5</v>
      </c>
      <c r="AK14" s="229">
        <v>6.8999999999999999E-3</v>
      </c>
      <c r="AL14" s="228">
        <v>107.5</v>
      </c>
      <c r="AM14" s="228">
        <v>110.5</v>
      </c>
      <c r="AN14" s="228">
        <v>-3</v>
      </c>
      <c r="AO14" s="229">
        <v>1.37E-2</v>
      </c>
      <c r="AP14" s="231">
        <v>7868.56</v>
      </c>
      <c r="AQ14" s="231">
        <v>7912.36</v>
      </c>
      <c r="AR14" s="228">
        <v>0</v>
      </c>
      <c r="AS14" s="230">
        <v>1315</v>
      </c>
      <c r="AT14" s="230">
        <v>1236</v>
      </c>
      <c r="AU14" s="228">
        <v>80</v>
      </c>
      <c r="AV14" s="229">
        <v>6.4600000000000005E-2</v>
      </c>
      <c r="AW14" s="228">
        <v>649</v>
      </c>
      <c r="AX14" s="228">
        <v>623</v>
      </c>
      <c r="AY14" s="228">
        <v>27</v>
      </c>
      <c r="AZ14" s="229">
        <v>4.2700000000000002E-2</v>
      </c>
      <c r="BA14" s="228">
        <v>663</v>
      </c>
      <c r="BB14" s="228">
        <v>608</v>
      </c>
      <c r="BC14" s="228">
        <v>55</v>
      </c>
      <c r="BD14" s="229">
        <v>9.0499999999999997E-2</v>
      </c>
      <c r="BE14" s="228">
        <v>3</v>
      </c>
      <c r="BF14" s="228">
        <v>5</v>
      </c>
      <c r="BG14" s="228">
        <v>-2</v>
      </c>
      <c r="BH14" s="229">
        <v>-0.36</v>
      </c>
      <c r="BI14" s="230">
        <v>1038</v>
      </c>
      <c r="BJ14" s="230">
        <v>1559</v>
      </c>
      <c r="BK14" s="228">
        <v>-521</v>
      </c>
      <c r="BL14" s="229">
        <v>-0.3342</v>
      </c>
      <c r="BM14" s="228">
        <v>480</v>
      </c>
      <c r="BN14" s="230">
        <v>1064</v>
      </c>
      <c r="BO14" s="228">
        <v>-584</v>
      </c>
      <c r="BP14" s="229">
        <v>-0.54900000000000004</v>
      </c>
      <c r="BQ14" s="230">
        <v>2833</v>
      </c>
      <c r="BR14" s="230">
        <v>3858</v>
      </c>
      <c r="BS14" s="230">
        <v>-1025</v>
      </c>
      <c r="BT14" s="229">
        <v>-0.26569999999999999</v>
      </c>
      <c r="BU14" s="230">
        <v>268308</v>
      </c>
      <c r="BV14" s="230">
        <v>293319</v>
      </c>
      <c r="BW14" s="230">
        <v>-25011</v>
      </c>
      <c r="BX14" s="229">
        <v>-8.5300000000000001E-2</v>
      </c>
      <c r="BY14" s="230">
        <v>2160</v>
      </c>
      <c r="BZ14" s="230">
        <v>2179</v>
      </c>
      <c r="CA14" s="228">
        <v>-19</v>
      </c>
      <c r="CB14" s="229">
        <v>-8.6E-3</v>
      </c>
      <c r="CC14" s="228">
        <v>507</v>
      </c>
      <c r="CD14" s="230">
        <v>1076</v>
      </c>
      <c r="CE14" s="228">
        <v>-569</v>
      </c>
      <c r="CF14" s="229">
        <v>-0.52880000000000005</v>
      </c>
      <c r="CG14" s="230">
        <v>1644</v>
      </c>
      <c r="CH14" s="230">
        <v>1096</v>
      </c>
      <c r="CI14" s="228">
        <v>548</v>
      </c>
      <c r="CJ14" s="229">
        <v>0.50029999999999997</v>
      </c>
      <c r="CK14" s="228">
        <v>10</v>
      </c>
      <c r="CL14" s="228">
        <v>8</v>
      </c>
      <c r="CM14" s="228">
        <v>2</v>
      </c>
      <c r="CN14" s="229">
        <v>0.25969999999999999</v>
      </c>
      <c r="CO14" s="228">
        <v>554</v>
      </c>
      <c r="CP14" s="228">
        <v>654</v>
      </c>
      <c r="CQ14" s="228">
        <v>-100</v>
      </c>
      <c r="CR14" s="229">
        <v>-0.15329999999999999</v>
      </c>
      <c r="CS14" s="228">
        <v>368</v>
      </c>
      <c r="CT14" s="228">
        <v>415</v>
      </c>
      <c r="CU14" s="228">
        <v>-48</v>
      </c>
      <c r="CV14" s="229">
        <v>-0.1145</v>
      </c>
      <c r="CW14" s="230">
        <v>3082</v>
      </c>
      <c r="CX14" s="230">
        <v>3248</v>
      </c>
      <c r="CY14" s="228">
        <v>-166</v>
      </c>
      <c r="CZ14" s="229">
        <v>-5.1200000000000002E-2</v>
      </c>
      <c r="DA14" s="228">
        <v>22.36</v>
      </c>
      <c r="DB14" s="228">
        <v>22.35</v>
      </c>
      <c r="DC14" s="228">
        <v>0.01</v>
      </c>
      <c r="DD14" s="228">
        <v>0.01</v>
      </c>
      <c r="DE14" s="228">
        <v>26.25</v>
      </c>
      <c r="DF14" s="228">
        <v>26.32</v>
      </c>
      <c r="DG14" s="228">
        <v>-3.89</v>
      </c>
      <c r="DH14" s="228">
        <v>-7.0000000000000007E-2</v>
      </c>
      <c r="DI14" s="228">
        <v>22.58</v>
      </c>
      <c r="DJ14" s="228">
        <v>22.69</v>
      </c>
      <c r="DK14" s="228">
        <v>-0.11</v>
      </c>
      <c r="DL14" s="228">
        <v>-0.11</v>
      </c>
      <c r="DM14" s="228">
        <v>21.98</v>
      </c>
      <c r="DN14" s="228">
        <v>21.91</v>
      </c>
      <c r="DO14" s="228">
        <v>7.0000000000000007E-2</v>
      </c>
      <c r="DP14" s="228">
        <v>7.0000000000000007E-2</v>
      </c>
      <c r="DQ14" s="228">
        <v>0.66</v>
      </c>
      <c r="DR14" s="228">
        <v>0.63</v>
      </c>
      <c r="DS14" s="228">
        <v>0.03</v>
      </c>
      <c r="DT14" s="229">
        <v>4.7600000000000003E-2</v>
      </c>
      <c r="DU14" s="231">
        <v>8000</v>
      </c>
      <c r="DV14" s="231">
        <v>7500</v>
      </c>
      <c r="DW14" s="228">
        <v>0.46</v>
      </c>
      <c r="DX14" s="228">
        <v>0.68</v>
      </c>
      <c r="DY14" s="228">
        <v>-0.22</v>
      </c>
      <c r="DZ14" s="229">
        <v>-0.32350000000000001</v>
      </c>
      <c r="EA14" s="229">
        <v>0.76539999999999997</v>
      </c>
      <c r="EB14" s="230">
        <v>1404625</v>
      </c>
      <c r="EC14" s="229">
        <v>5.7000000000000002E-3</v>
      </c>
      <c r="ED14" s="229">
        <v>0.76539999999999997</v>
      </c>
      <c r="EE14" s="228">
        <v>43.8</v>
      </c>
      <c r="EF14" s="229">
        <v>5.5999999999999999E-3</v>
      </c>
      <c r="EG14" s="230">
        <v>175685</v>
      </c>
      <c r="EH14" s="230">
        <v>182829</v>
      </c>
      <c r="EI14" s="229">
        <v>-3.9100000000000003E-2</v>
      </c>
      <c r="EJ14" s="229">
        <v>0.65480000000000005</v>
      </c>
      <c r="EK14" s="231">
        <v>1064.6600000000001</v>
      </c>
      <c r="EL14" s="228">
        <v>473.87</v>
      </c>
      <c r="EM14" s="231">
        <v>1321.32</v>
      </c>
      <c r="EN14" s="228">
        <v>77.599999999999994</v>
      </c>
      <c r="EO14" s="231">
        <v>2859.85</v>
      </c>
      <c r="EP14" s="231">
        <v>3910.19</v>
      </c>
      <c r="EQ14" s="231">
        <v>-1050.3399999999999</v>
      </c>
      <c r="ER14" s="229">
        <v>-0.26860000000000001</v>
      </c>
      <c r="ES14" s="228">
        <v>569.96</v>
      </c>
      <c r="ET14" s="228">
        <v>354.42</v>
      </c>
      <c r="EU14" s="231">
        <v>2169.79</v>
      </c>
      <c r="EV14" s="231">
        <v>15240043</v>
      </c>
      <c r="EW14" s="231">
        <v>3094.17</v>
      </c>
      <c r="EX14" s="231">
        <v>3256.08</v>
      </c>
      <c r="EY14" s="228">
        <v>-161.91</v>
      </c>
      <c r="EZ14" s="229">
        <v>-4.9700000000000001E-2</v>
      </c>
      <c r="FA14" s="229">
        <v>0.25740000000000002</v>
      </c>
      <c r="FB14" s="227" t="s">
        <v>556</v>
      </c>
      <c r="FC14">
        <f t="shared" si="0"/>
        <v>1653</v>
      </c>
    </row>
    <row r="15" spans="1:159" ht="17.25" thickBot="1" x14ac:dyDescent="0.3">
      <c r="A15" s="226">
        <v>45957</v>
      </c>
      <c r="B15" s="227" t="s">
        <v>162</v>
      </c>
      <c r="C15" s="227" t="s">
        <v>167</v>
      </c>
      <c r="D15" s="228">
        <v>5000</v>
      </c>
      <c r="E15" s="228">
        <v>1</v>
      </c>
      <c r="F15" s="228">
        <v>141.22</v>
      </c>
      <c r="G15" s="228">
        <v>136.63</v>
      </c>
      <c r="H15" s="228">
        <v>4.59</v>
      </c>
      <c r="I15" s="229">
        <v>3.3599999999999998E-2</v>
      </c>
      <c r="J15" s="228">
        <v>140.81</v>
      </c>
      <c r="K15" s="228">
        <v>136.35</v>
      </c>
      <c r="L15" s="228">
        <v>4.46</v>
      </c>
      <c r="M15" s="229">
        <v>3.27E-2</v>
      </c>
      <c r="N15" s="228">
        <v>141.22</v>
      </c>
      <c r="O15" s="228">
        <v>136.63</v>
      </c>
      <c r="P15" s="228">
        <v>4.59</v>
      </c>
      <c r="Q15" s="229">
        <v>3.3599999999999998E-2</v>
      </c>
      <c r="R15" s="228">
        <v>137.33000000000001</v>
      </c>
      <c r="S15" s="228">
        <v>133.76</v>
      </c>
      <c r="T15" s="228">
        <v>3.57</v>
      </c>
      <c r="U15" s="229">
        <v>2.6700000000000002E-2</v>
      </c>
      <c r="V15" s="228">
        <v>136.05000000000001</v>
      </c>
      <c r="W15" s="228">
        <v>132.99</v>
      </c>
      <c r="X15" s="228">
        <v>3.06</v>
      </c>
      <c r="Y15" s="229">
        <v>2.3E-2</v>
      </c>
      <c r="Z15" s="228">
        <v>0.41</v>
      </c>
      <c r="AA15" s="228">
        <v>0.28000000000000003</v>
      </c>
      <c r="AB15" s="228">
        <v>0.13</v>
      </c>
      <c r="AC15" s="229">
        <v>2.8999999999999998E-3</v>
      </c>
      <c r="AD15" s="228">
        <v>0.41</v>
      </c>
      <c r="AE15" s="228">
        <v>0.28000000000000003</v>
      </c>
      <c r="AF15" s="228">
        <v>0.13</v>
      </c>
      <c r="AG15" s="229">
        <v>2.8999999999999998E-3</v>
      </c>
      <c r="AH15" s="228">
        <v>-3.48</v>
      </c>
      <c r="AI15" s="228">
        <v>-2.59</v>
      </c>
      <c r="AJ15" s="228">
        <v>-0.89</v>
      </c>
      <c r="AK15" s="229">
        <v>-2.47E-2</v>
      </c>
      <c r="AL15" s="228">
        <v>-4.76</v>
      </c>
      <c r="AM15" s="228">
        <v>-3.36</v>
      </c>
      <c r="AN15" s="228">
        <v>-1.4</v>
      </c>
      <c r="AO15" s="229">
        <v>-3.3799999999999997E-2</v>
      </c>
      <c r="AP15" s="228">
        <v>140.16999999999999</v>
      </c>
      <c r="AQ15" s="228">
        <v>136.69</v>
      </c>
      <c r="AR15" s="228">
        <v>0</v>
      </c>
      <c r="AS15" s="230">
        <v>1983</v>
      </c>
      <c r="AT15" s="230">
        <v>1744</v>
      </c>
      <c r="AU15" s="228">
        <v>239</v>
      </c>
      <c r="AV15" s="229">
        <v>0.13700000000000001</v>
      </c>
      <c r="AW15" s="228">
        <v>939</v>
      </c>
      <c r="AX15" s="228">
        <v>866</v>
      </c>
      <c r="AY15" s="228">
        <v>73</v>
      </c>
      <c r="AZ15" s="229">
        <v>8.48E-2</v>
      </c>
      <c r="BA15" s="230">
        <v>1015</v>
      </c>
      <c r="BB15" s="228">
        <v>862</v>
      </c>
      <c r="BC15" s="228">
        <v>153</v>
      </c>
      <c r="BD15" s="229">
        <v>0.1772</v>
      </c>
      <c r="BE15" s="228">
        <v>30</v>
      </c>
      <c r="BF15" s="228">
        <v>17</v>
      </c>
      <c r="BG15" s="228">
        <v>13</v>
      </c>
      <c r="BH15" s="229">
        <v>0.76790000000000003</v>
      </c>
      <c r="BI15" s="230">
        <v>1876</v>
      </c>
      <c r="BJ15" s="228">
        <v>768</v>
      </c>
      <c r="BK15" s="230">
        <v>1109</v>
      </c>
      <c r="BL15" s="229">
        <v>1.444</v>
      </c>
      <c r="BM15" s="228">
        <v>689</v>
      </c>
      <c r="BN15" s="228">
        <v>340</v>
      </c>
      <c r="BO15" s="228">
        <v>349</v>
      </c>
      <c r="BP15" s="229">
        <v>1.0266</v>
      </c>
      <c r="BQ15" s="230">
        <v>4549</v>
      </c>
      <c r="BR15" s="230">
        <v>2852</v>
      </c>
      <c r="BS15" s="230">
        <v>1697</v>
      </c>
      <c r="BT15" s="229">
        <v>0.59489999999999998</v>
      </c>
      <c r="BU15" s="230">
        <v>17841785</v>
      </c>
      <c r="BV15" s="230">
        <v>6585532</v>
      </c>
      <c r="BW15" s="230">
        <v>11256253</v>
      </c>
      <c r="BX15" s="229">
        <v>1.7092000000000001</v>
      </c>
      <c r="BY15" s="230">
        <v>2196</v>
      </c>
      <c r="BZ15" s="230">
        <v>2034</v>
      </c>
      <c r="CA15" s="228">
        <v>162</v>
      </c>
      <c r="CB15" s="229">
        <v>7.9500000000000001E-2</v>
      </c>
      <c r="CC15" s="228">
        <v>284</v>
      </c>
      <c r="CD15" s="228">
        <v>679</v>
      </c>
      <c r="CE15" s="228">
        <v>-396</v>
      </c>
      <c r="CF15" s="229">
        <v>-0.58250000000000002</v>
      </c>
      <c r="CG15" s="230">
        <v>1876</v>
      </c>
      <c r="CH15" s="230">
        <v>1325</v>
      </c>
      <c r="CI15" s="228">
        <v>551</v>
      </c>
      <c r="CJ15" s="229">
        <v>0.41599999999999998</v>
      </c>
      <c r="CK15" s="228">
        <v>36</v>
      </c>
      <c r="CL15" s="228">
        <v>30</v>
      </c>
      <c r="CM15" s="228">
        <v>6</v>
      </c>
      <c r="CN15" s="229">
        <v>0.2094</v>
      </c>
      <c r="CO15" s="230">
        <v>1110</v>
      </c>
      <c r="CP15" s="230">
        <v>1140</v>
      </c>
      <c r="CQ15" s="228">
        <v>-29</v>
      </c>
      <c r="CR15" s="229">
        <v>-2.5700000000000001E-2</v>
      </c>
      <c r="CS15" s="228">
        <v>592</v>
      </c>
      <c r="CT15" s="228">
        <v>537</v>
      </c>
      <c r="CU15" s="228">
        <v>56</v>
      </c>
      <c r="CV15" s="229">
        <v>0.1038</v>
      </c>
      <c r="CW15" s="230">
        <v>3899</v>
      </c>
      <c r="CX15" s="230">
        <v>3711</v>
      </c>
      <c r="CY15" s="228">
        <v>188</v>
      </c>
      <c r="CZ15" s="229">
        <v>5.0700000000000002E-2</v>
      </c>
      <c r="DA15" s="228">
        <v>31.97</v>
      </c>
      <c r="DB15" s="228">
        <v>29.35</v>
      </c>
      <c r="DC15" s="228">
        <v>2.62</v>
      </c>
      <c r="DD15" s="228">
        <v>2.62</v>
      </c>
      <c r="DE15" s="228">
        <v>34.950000000000003</v>
      </c>
      <c r="DF15" s="228">
        <v>34.770000000000003</v>
      </c>
      <c r="DG15" s="228">
        <v>-2.98</v>
      </c>
      <c r="DH15" s="228">
        <v>0.18</v>
      </c>
      <c r="DI15" s="228">
        <v>32.29</v>
      </c>
      <c r="DJ15" s="228">
        <v>30.23</v>
      </c>
      <c r="DK15" s="228">
        <v>2.06</v>
      </c>
      <c r="DL15" s="228">
        <v>2.06</v>
      </c>
      <c r="DM15" s="228">
        <v>31.17</v>
      </c>
      <c r="DN15" s="228">
        <v>27.61</v>
      </c>
      <c r="DO15" s="228">
        <v>3.56</v>
      </c>
      <c r="DP15" s="228">
        <v>3.56</v>
      </c>
      <c r="DQ15" s="228">
        <v>0.53</v>
      </c>
      <c r="DR15" s="228">
        <v>0.47</v>
      </c>
      <c r="DS15" s="228">
        <v>0.06</v>
      </c>
      <c r="DT15" s="229">
        <v>0.12770000000000001</v>
      </c>
      <c r="DU15" s="228">
        <v>140</v>
      </c>
      <c r="DV15" s="228">
        <v>140</v>
      </c>
      <c r="DW15" s="228">
        <v>0.37</v>
      </c>
      <c r="DX15" s="228">
        <v>0.44</v>
      </c>
      <c r="DY15" s="228">
        <v>-7.0000000000000007E-2</v>
      </c>
      <c r="DZ15" s="229">
        <v>-0.15909999999999999</v>
      </c>
      <c r="EA15" s="229">
        <v>0.87090000000000001</v>
      </c>
      <c r="EB15" s="230">
        <v>95960000</v>
      </c>
      <c r="EC15" s="229">
        <v>-2.75E-2</v>
      </c>
      <c r="ED15" s="229">
        <v>0.87090000000000001</v>
      </c>
      <c r="EE15" s="228">
        <v>-3.48</v>
      </c>
      <c r="EF15" s="229">
        <v>-2.4799999999999999E-2</v>
      </c>
      <c r="EG15" s="230">
        <v>8774283</v>
      </c>
      <c r="EH15" s="230">
        <v>3655597</v>
      </c>
      <c r="EI15" s="229">
        <v>1.4001999999999999</v>
      </c>
      <c r="EJ15" s="229">
        <v>0.49180000000000001</v>
      </c>
      <c r="EK15" s="231">
        <v>1911.85</v>
      </c>
      <c r="EL15" s="228">
        <v>675.73</v>
      </c>
      <c r="EM15" s="231">
        <v>1942.57</v>
      </c>
      <c r="EN15" s="228">
        <v>137.34</v>
      </c>
      <c r="EO15" s="231">
        <v>4530.1499999999996</v>
      </c>
      <c r="EP15" s="231">
        <v>2784.16</v>
      </c>
      <c r="EQ15" s="231">
        <v>1745.99</v>
      </c>
      <c r="ER15" s="229">
        <v>0.62709999999999999</v>
      </c>
      <c r="ES15" s="231">
        <v>1147.92</v>
      </c>
      <c r="ET15" s="228">
        <v>557.89</v>
      </c>
      <c r="EU15" s="231">
        <v>2143.31</v>
      </c>
      <c r="EV15" s="231">
        <v>409181558</v>
      </c>
      <c r="EW15" s="231">
        <v>3849.12</v>
      </c>
      <c r="EX15" s="231">
        <v>3617.56</v>
      </c>
      <c r="EY15" s="228">
        <v>231.56</v>
      </c>
      <c r="EZ15" s="229">
        <v>6.4000000000000001E-2</v>
      </c>
      <c r="FA15" s="229">
        <v>0.67479999999999996</v>
      </c>
      <c r="FB15" s="227" t="s">
        <v>555</v>
      </c>
      <c r="FC15">
        <f t="shared" si="0"/>
        <v>1912</v>
      </c>
    </row>
    <row r="16" spans="1:159" ht="17.25" thickBot="1" x14ac:dyDescent="0.3">
      <c r="A16" s="226">
        <v>45957</v>
      </c>
      <c r="B16" s="227" t="s">
        <v>168</v>
      </c>
      <c r="C16" s="227" t="s">
        <v>169</v>
      </c>
      <c r="D16" s="228">
        <v>250</v>
      </c>
      <c r="E16" s="228">
        <v>1</v>
      </c>
      <c r="F16" s="231">
        <v>2518.4</v>
      </c>
      <c r="G16" s="231">
        <v>2503.4</v>
      </c>
      <c r="H16" s="228">
        <v>15</v>
      </c>
      <c r="I16" s="229">
        <v>6.0000000000000001E-3</v>
      </c>
      <c r="J16" s="231">
        <v>2518.8000000000002</v>
      </c>
      <c r="K16" s="231">
        <v>2501.6</v>
      </c>
      <c r="L16" s="228">
        <v>17.2</v>
      </c>
      <c r="M16" s="229">
        <v>6.8999999999999999E-3</v>
      </c>
      <c r="N16" s="231">
        <v>2518.4</v>
      </c>
      <c r="O16" s="231">
        <v>2503.4</v>
      </c>
      <c r="P16" s="228">
        <v>15</v>
      </c>
      <c r="Q16" s="229">
        <v>6.0000000000000001E-3</v>
      </c>
      <c r="R16" s="231">
        <v>2527.1999999999998</v>
      </c>
      <c r="S16" s="231">
        <v>2512.4</v>
      </c>
      <c r="T16" s="228">
        <v>14.8</v>
      </c>
      <c r="U16" s="229">
        <v>5.8999999999999999E-3</v>
      </c>
      <c r="V16" s="231">
        <v>2543.1</v>
      </c>
      <c r="W16" s="231">
        <v>2529.4</v>
      </c>
      <c r="X16" s="228">
        <v>13.7</v>
      </c>
      <c r="Y16" s="229">
        <v>5.4000000000000003E-3</v>
      </c>
      <c r="Z16" s="228">
        <v>-0.4</v>
      </c>
      <c r="AA16" s="228">
        <v>1.8</v>
      </c>
      <c r="AB16" s="228">
        <v>-2.2000000000000002</v>
      </c>
      <c r="AC16" s="229">
        <v>-2.0000000000000001E-4</v>
      </c>
      <c r="AD16" s="228">
        <v>-0.4</v>
      </c>
      <c r="AE16" s="228">
        <v>1.8</v>
      </c>
      <c r="AF16" s="228">
        <v>-2.2000000000000002</v>
      </c>
      <c r="AG16" s="229">
        <v>-2.0000000000000001E-4</v>
      </c>
      <c r="AH16" s="228">
        <v>8.4</v>
      </c>
      <c r="AI16" s="228">
        <v>10.8</v>
      </c>
      <c r="AJ16" s="228">
        <v>-2.4</v>
      </c>
      <c r="AK16" s="229">
        <v>3.3E-3</v>
      </c>
      <c r="AL16" s="228">
        <v>24.3</v>
      </c>
      <c r="AM16" s="228">
        <v>27.8</v>
      </c>
      <c r="AN16" s="228">
        <v>-3.5</v>
      </c>
      <c r="AO16" s="229">
        <v>9.5999999999999992E-3</v>
      </c>
      <c r="AP16" s="231">
        <v>2522.04</v>
      </c>
      <c r="AQ16" s="231">
        <v>2531.98</v>
      </c>
      <c r="AR16" s="228">
        <v>0</v>
      </c>
      <c r="AS16" s="230">
        <v>2388</v>
      </c>
      <c r="AT16" s="230">
        <v>2550</v>
      </c>
      <c r="AU16" s="228">
        <v>-162</v>
      </c>
      <c r="AV16" s="229">
        <v>-6.3399999999999998E-2</v>
      </c>
      <c r="AW16" s="230">
        <v>1163</v>
      </c>
      <c r="AX16" s="230">
        <v>1238</v>
      </c>
      <c r="AY16" s="228">
        <v>-75</v>
      </c>
      <c r="AZ16" s="229">
        <v>-6.0600000000000001E-2</v>
      </c>
      <c r="BA16" s="230">
        <v>1210</v>
      </c>
      <c r="BB16" s="230">
        <v>1303</v>
      </c>
      <c r="BC16" s="228">
        <v>-94</v>
      </c>
      <c r="BD16" s="229">
        <v>-7.1800000000000003E-2</v>
      </c>
      <c r="BE16" s="228">
        <v>15</v>
      </c>
      <c r="BF16" s="228">
        <v>8</v>
      </c>
      <c r="BG16" s="228">
        <v>7</v>
      </c>
      <c r="BH16" s="229">
        <v>0.81950000000000001</v>
      </c>
      <c r="BI16" s="230">
        <v>1524</v>
      </c>
      <c r="BJ16" s="230">
        <v>1252</v>
      </c>
      <c r="BK16" s="228">
        <v>272</v>
      </c>
      <c r="BL16" s="229">
        <v>0.21690000000000001</v>
      </c>
      <c r="BM16" s="230">
        <v>1178</v>
      </c>
      <c r="BN16" s="230">
        <v>1050</v>
      </c>
      <c r="BO16" s="228">
        <v>128</v>
      </c>
      <c r="BP16" s="229">
        <v>0.12139999999999999</v>
      </c>
      <c r="BQ16" s="230">
        <v>5090</v>
      </c>
      <c r="BR16" s="230">
        <v>4853</v>
      </c>
      <c r="BS16" s="228">
        <v>237</v>
      </c>
      <c r="BT16" s="229">
        <v>4.8899999999999999E-2</v>
      </c>
      <c r="BU16" s="230">
        <v>593133</v>
      </c>
      <c r="BV16" s="230">
        <v>341844</v>
      </c>
      <c r="BW16" s="230">
        <v>251289</v>
      </c>
      <c r="BX16" s="229">
        <v>0.73509999999999998</v>
      </c>
      <c r="BY16" s="230">
        <v>3426</v>
      </c>
      <c r="BZ16" s="230">
        <v>3398</v>
      </c>
      <c r="CA16" s="228">
        <v>28</v>
      </c>
      <c r="CB16" s="229">
        <v>8.3999999999999995E-3</v>
      </c>
      <c r="CC16" s="228">
        <v>363</v>
      </c>
      <c r="CD16" s="230">
        <v>1226</v>
      </c>
      <c r="CE16" s="228">
        <v>-863</v>
      </c>
      <c r="CF16" s="229">
        <v>-0.70420000000000005</v>
      </c>
      <c r="CG16" s="230">
        <v>3030</v>
      </c>
      <c r="CH16" s="230">
        <v>2144</v>
      </c>
      <c r="CI16" s="228">
        <v>885</v>
      </c>
      <c r="CJ16" s="229">
        <v>0.4128</v>
      </c>
      <c r="CK16" s="228">
        <v>34</v>
      </c>
      <c r="CL16" s="228">
        <v>27</v>
      </c>
      <c r="CM16" s="228">
        <v>7</v>
      </c>
      <c r="CN16" s="229">
        <v>0.23960000000000001</v>
      </c>
      <c r="CO16" s="230">
        <v>1421</v>
      </c>
      <c r="CP16" s="230">
        <v>1528</v>
      </c>
      <c r="CQ16" s="228">
        <v>-107</v>
      </c>
      <c r="CR16" s="229">
        <v>-6.9800000000000001E-2</v>
      </c>
      <c r="CS16" s="230">
        <v>1005</v>
      </c>
      <c r="CT16" s="230">
        <v>1039</v>
      </c>
      <c r="CU16" s="228">
        <v>-34</v>
      </c>
      <c r="CV16" s="229">
        <v>-3.3000000000000002E-2</v>
      </c>
      <c r="CW16" s="230">
        <v>5852</v>
      </c>
      <c r="CX16" s="230">
        <v>5964</v>
      </c>
      <c r="CY16" s="228">
        <v>-112</v>
      </c>
      <c r="CZ16" s="229">
        <v>-1.8800000000000001E-2</v>
      </c>
      <c r="DA16" s="228">
        <v>22.08</v>
      </c>
      <c r="DB16" s="228">
        <v>21.82</v>
      </c>
      <c r="DC16" s="228">
        <v>0.26</v>
      </c>
      <c r="DD16" s="228">
        <v>0.26</v>
      </c>
      <c r="DE16" s="228">
        <v>23.85</v>
      </c>
      <c r="DF16" s="228">
        <v>23.89</v>
      </c>
      <c r="DG16" s="228">
        <v>-1.77</v>
      </c>
      <c r="DH16" s="228">
        <v>-0.04</v>
      </c>
      <c r="DI16" s="228">
        <v>22.03</v>
      </c>
      <c r="DJ16" s="228">
        <v>21.68</v>
      </c>
      <c r="DK16" s="228">
        <v>0.35</v>
      </c>
      <c r="DL16" s="228">
        <v>0.35</v>
      </c>
      <c r="DM16" s="228">
        <v>22.16</v>
      </c>
      <c r="DN16" s="228">
        <v>21.95</v>
      </c>
      <c r="DO16" s="228">
        <v>0.21</v>
      </c>
      <c r="DP16" s="228">
        <v>0.21</v>
      </c>
      <c r="DQ16" s="228">
        <v>0.71</v>
      </c>
      <c r="DR16" s="228">
        <v>0.68</v>
      </c>
      <c r="DS16" s="228">
        <v>0.03</v>
      </c>
      <c r="DT16" s="229">
        <v>4.41E-2</v>
      </c>
      <c r="DU16" s="231">
        <v>2600</v>
      </c>
      <c r="DV16" s="231">
        <v>2300</v>
      </c>
      <c r="DW16" s="228">
        <v>0.77</v>
      </c>
      <c r="DX16" s="228">
        <v>0.84</v>
      </c>
      <c r="DY16" s="228">
        <v>-7.0000000000000007E-2</v>
      </c>
      <c r="DZ16" s="229">
        <v>-8.3299999999999999E-2</v>
      </c>
      <c r="EA16" s="229">
        <v>0.89419999999999999</v>
      </c>
      <c r="EB16" s="230">
        <v>8623750</v>
      </c>
      <c r="EC16" s="229">
        <v>3.5000000000000001E-3</v>
      </c>
      <c r="ED16" s="229">
        <v>0.89419999999999999</v>
      </c>
      <c r="EE16" s="228">
        <v>9.94</v>
      </c>
      <c r="EF16" s="229">
        <v>3.8999999999999998E-3</v>
      </c>
      <c r="EG16" s="230">
        <v>354254</v>
      </c>
      <c r="EH16" s="230">
        <v>171581</v>
      </c>
      <c r="EI16" s="229">
        <v>1.0646</v>
      </c>
      <c r="EJ16" s="229">
        <v>0.59730000000000005</v>
      </c>
      <c r="EK16" s="231">
        <v>1564.05</v>
      </c>
      <c r="EL16" s="231">
        <v>1151.3800000000001</v>
      </c>
      <c r="EM16" s="231">
        <v>2396.64</v>
      </c>
      <c r="EN16" s="228">
        <v>198.36</v>
      </c>
      <c r="EO16" s="231">
        <v>5112.07</v>
      </c>
      <c r="EP16" s="231">
        <v>4844.8</v>
      </c>
      <c r="EQ16" s="228">
        <v>267.27</v>
      </c>
      <c r="ER16" s="229">
        <v>5.5199999999999999E-2</v>
      </c>
      <c r="ES16" s="231">
        <v>1441.4</v>
      </c>
      <c r="ET16" s="228">
        <v>955.21</v>
      </c>
      <c r="EU16" s="231">
        <v>3437.01</v>
      </c>
      <c r="EV16" s="231">
        <v>52357280</v>
      </c>
      <c r="EW16" s="231">
        <v>5833.62</v>
      </c>
      <c r="EX16" s="231">
        <v>5917.77</v>
      </c>
      <c r="EY16" s="228">
        <v>-84.15</v>
      </c>
      <c r="EZ16" s="229">
        <v>-1.4200000000000001E-2</v>
      </c>
      <c r="FA16" s="229">
        <v>0.44379999999999997</v>
      </c>
      <c r="FB16" s="227" t="s">
        <v>555</v>
      </c>
      <c r="FC16">
        <f t="shared" si="0"/>
        <v>3063</v>
      </c>
    </row>
    <row r="17" spans="1:159" ht="17.25" thickBot="1" x14ac:dyDescent="0.3">
      <c r="A17" s="226">
        <v>45957</v>
      </c>
      <c r="B17" s="227" t="s">
        <v>184</v>
      </c>
      <c r="C17" s="227" t="s">
        <v>503</v>
      </c>
      <c r="D17" s="228">
        <v>425</v>
      </c>
      <c r="E17" s="228">
        <v>1</v>
      </c>
      <c r="F17" s="231">
        <v>1434.2</v>
      </c>
      <c r="G17" s="231">
        <v>1428.6</v>
      </c>
      <c r="H17" s="228">
        <v>5.6</v>
      </c>
      <c r="I17" s="229">
        <v>3.8999999999999998E-3</v>
      </c>
      <c r="J17" s="231">
        <v>1435.2</v>
      </c>
      <c r="K17" s="231">
        <v>1430.8</v>
      </c>
      <c r="L17" s="228">
        <v>4.4000000000000004</v>
      </c>
      <c r="M17" s="229">
        <v>3.0999999999999999E-3</v>
      </c>
      <c r="N17" s="231">
        <v>1434.2</v>
      </c>
      <c r="O17" s="231">
        <v>1428.6</v>
      </c>
      <c r="P17" s="228">
        <v>5.6</v>
      </c>
      <c r="Q17" s="229">
        <v>3.8999999999999998E-3</v>
      </c>
      <c r="R17" s="231">
        <v>1437.8</v>
      </c>
      <c r="S17" s="231">
        <v>1430.4</v>
      </c>
      <c r="T17" s="228">
        <v>7.4</v>
      </c>
      <c r="U17" s="229">
        <v>5.1999999999999998E-3</v>
      </c>
      <c r="V17" s="231">
        <v>1444.6</v>
      </c>
      <c r="W17" s="231">
        <v>1437</v>
      </c>
      <c r="X17" s="228">
        <v>7.6</v>
      </c>
      <c r="Y17" s="229">
        <v>5.3E-3</v>
      </c>
      <c r="Z17" s="228">
        <v>-1</v>
      </c>
      <c r="AA17" s="228">
        <v>-2.2000000000000002</v>
      </c>
      <c r="AB17" s="228">
        <v>1.2</v>
      </c>
      <c r="AC17" s="229">
        <v>-6.9999999999999999E-4</v>
      </c>
      <c r="AD17" s="228">
        <v>-1</v>
      </c>
      <c r="AE17" s="228">
        <v>-2.2000000000000002</v>
      </c>
      <c r="AF17" s="228">
        <v>1.2</v>
      </c>
      <c r="AG17" s="229">
        <v>-6.9999999999999999E-4</v>
      </c>
      <c r="AH17" s="228">
        <v>2.6</v>
      </c>
      <c r="AI17" s="228">
        <v>-0.4</v>
      </c>
      <c r="AJ17" s="228">
        <v>3</v>
      </c>
      <c r="AK17" s="229">
        <v>1.8E-3</v>
      </c>
      <c r="AL17" s="228">
        <v>9.4</v>
      </c>
      <c r="AM17" s="228">
        <v>6.2</v>
      </c>
      <c r="AN17" s="228">
        <v>3.2</v>
      </c>
      <c r="AO17" s="229">
        <v>6.4999999999999997E-3</v>
      </c>
      <c r="AP17" s="231">
        <v>1428.17</v>
      </c>
      <c r="AQ17" s="231">
        <v>1430.83</v>
      </c>
      <c r="AR17" s="228">
        <v>0</v>
      </c>
      <c r="AS17" s="228">
        <v>918</v>
      </c>
      <c r="AT17" s="230">
        <v>1056</v>
      </c>
      <c r="AU17" s="228">
        <v>-137</v>
      </c>
      <c r="AV17" s="229">
        <v>-0.13009999999999999</v>
      </c>
      <c r="AW17" s="228">
        <v>395</v>
      </c>
      <c r="AX17" s="228">
        <v>536</v>
      </c>
      <c r="AY17" s="228">
        <v>-140</v>
      </c>
      <c r="AZ17" s="229">
        <v>-0.26200000000000001</v>
      </c>
      <c r="BA17" s="228">
        <v>515</v>
      </c>
      <c r="BB17" s="228">
        <v>516</v>
      </c>
      <c r="BC17" s="228">
        <v>-1</v>
      </c>
      <c r="BD17" s="229">
        <v>-2E-3</v>
      </c>
      <c r="BE17" s="228">
        <v>8</v>
      </c>
      <c r="BF17" s="228">
        <v>4</v>
      </c>
      <c r="BG17" s="228">
        <v>4</v>
      </c>
      <c r="BH17" s="229">
        <v>1</v>
      </c>
      <c r="BI17" s="228">
        <v>533</v>
      </c>
      <c r="BJ17" s="228">
        <v>512</v>
      </c>
      <c r="BK17" s="228">
        <v>22</v>
      </c>
      <c r="BL17" s="229">
        <v>4.2200000000000001E-2</v>
      </c>
      <c r="BM17" s="228">
        <v>328</v>
      </c>
      <c r="BN17" s="228">
        <v>240</v>
      </c>
      <c r="BO17" s="228">
        <v>88</v>
      </c>
      <c r="BP17" s="229">
        <v>0.36649999999999999</v>
      </c>
      <c r="BQ17" s="230">
        <v>1780</v>
      </c>
      <c r="BR17" s="230">
        <v>1807</v>
      </c>
      <c r="BS17" s="228">
        <v>-28</v>
      </c>
      <c r="BT17" s="229">
        <v>-1.54E-2</v>
      </c>
      <c r="BU17" s="230">
        <v>505875</v>
      </c>
      <c r="BV17" s="230">
        <v>628753</v>
      </c>
      <c r="BW17" s="230">
        <v>-122878</v>
      </c>
      <c r="BX17" s="229">
        <v>-0.19539999999999999</v>
      </c>
      <c r="BY17" s="230">
        <v>1306</v>
      </c>
      <c r="BZ17" s="230">
        <v>1325</v>
      </c>
      <c r="CA17" s="228">
        <v>-18</v>
      </c>
      <c r="CB17" s="229">
        <v>-1.38E-2</v>
      </c>
      <c r="CC17" s="228">
        <v>164</v>
      </c>
      <c r="CD17" s="228">
        <v>400</v>
      </c>
      <c r="CE17" s="228">
        <v>-236</v>
      </c>
      <c r="CF17" s="229">
        <v>-0.58930000000000005</v>
      </c>
      <c r="CG17" s="230">
        <v>1128</v>
      </c>
      <c r="CH17" s="228">
        <v>913</v>
      </c>
      <c r="CI17" s="228">
        <v>215</v>
      </c>
      <c r="CJ17" s="229">
        <v>0.23530000000000001</v>
      </c>
      <c r="CK17" s="228">
        <v>14</v>
      </c>
      <c r="CL17" s="228">
        <v>11</v>
      </c>
      <c r="CM17" s="228">
        <v>3</v>
      </c>
      <c r="CN17" s="229">
        <v>0.24729999999999999</v>
      </c>
      <c r="CO17" s="228">
        <v>400</v>
      </c>
      <c r="CP17" s="228">
        <v>415</v>
      </c>
      <c r="CQ17" s="228">
        <v>-16</v>
      </c>
      <c r="CR17" s="229">
        <v>-3.8100000000000002E-2</v>
      </c>
      <c r="CS17" s="228">
        <v>205</v>
      </c>
      <c r="CT17" s="228">
        <v>205</v>
      </c>
      <c r="CU17" s="228">
        <v>0</v>
      </c>
      <c r="CV17" s="229">
        <v>-8.9999999999999998E-4</v>
      </c>
      <c r="CW17" s="230">
        <v>1911</v>
      </c>
      <c r="CX17" s="230">
        <v>1945</v>
      </c>
      <c r="CY17" s="228">
        <v>-34</v>
      </c>
      <c r="CZ17" s="229">
        <v>-1.7600000000000001E-2</v>
      </c>
      <c r="DA17" s="228">
        <v>25.78</v>
      </c>
      <c r="DB17" s="228">
        <v>25.58</v>
      </c>
      <c r="DC17" s="228">
        <v>0.2</v>
      </c>
      <c r="DD17" s="228">
        <v>0.2</v>
      </c>
      <c r="DE17" s="228">
        <v>33.090000000000003</v>
      </c>
      <c r="DF17" s="228">
        <v>33.17</v>
      </c>
      <c r="DG17" s="228">
        <v>-7.31</v>
      </c>
      <c r="DH17" s="228">
        <v>-0.08</v>
      </c>
      <c r="DI17" s="228">
        <v>25.58</v>
      </c>
      <c r="DJ17" s="228">
        <v>25.66</v>
      </c>
      <c r="DK17" s="228">
        <v>-0.08</v>
      </c>
      <c r="DL17" s="228">
        <v>-0.08</v>
      </c>
      <c r="DM17" s="228">
        <v>26.22</v>
      </c>
      <c r="DN17" s="228">
        <v>25.46</v>
      </c>
      <c r="DO17" s="228">
        <v>0.76</v>
      </c>
      <c r="DP17" s="228">
        <v>0.76</v>
      </c>
      <c r="DQ17" s="228">
        <v>0.51</v>
      </c>
      <c r="DR17" s="228">
        <v>0.49</v>
      </c>
      <c r="DS17" s="228">
        <v>0.02</v>
      </c>
      <c r="DT17" s="229">
        <v>4.0800000000000003E-2</v>
      </c>
      <c r="DU17" s="231">
        <v>1500</v>
      </c>
      <c r="DV17" s="231">
        <v>1400</v>
      </c>
      <c r="DW17" s="228">
        <v>0.62</v>
      </c>
      <c r="DX17" s="228">
        <v>0.47</v>
      </c>
      <c r="DY17" s="228">
        <v>0.15</v>
      </c>
      <c r="DZ17" s="229">
        <v>0.31909999999999999</v>
      </c>
      <c r="EA17" s="229">
        <v>0.87419999999999998</v>
      </c>
      <c r="EB17" s="230">
        <v>6445550</v>
      </c>
      <c r="EC17" s="229">
        <v>2.5000000000000001E-3</v>
      </c>
      <c r="ED17" s="229">
        <v>0.87419999999999998</v>
      </c>
      <c r="EE17" s="228">
        <v>2.66</v>
      </c>
      <c r="EF17" s="229">
        <v>1.9E-3</v>
      </c>
      <c r="EG17" s="230">
        <v>254049</v>
      </c>
      <c r="EH17" s="230">
        <v>348870</v>
      </c>
      <c r="EI17" s="229">
        <v>-0.27179999999999999</v>
      </c>
      <c r="EJ17" s="229">
        <v>0.50219999999999998</v>
      </c>
      <c r="EK17" s="228">
        <v>547.85</v>
      </c>
      <c r="EL17" s="228">
        <v>324.82</v>
      </c>
      <c r="EM17" s="228">
        <v>915.41</v>
      </c>
      <c r="EN17" s="228">
        <v>103.5</v>
      </c>
      <c r="EO17" s="231">
        <v>1788.07</v>
      </c>
      <c r="EP17" s="231">
        <v>1835.43</v>
      </c>
      <c r="EQ17" s="228">
        <v>-47.36</v>
      </c>
      <c r="ER17" s="229">
        <v>-2.58E-2</v>
      </c>
      <c r="ES17" s="228">
        <v>418.87</v>
      </c>
      <c r="ET17" s="228">
        <v>199.2</v>
      </c>
      <c r="EU17" s="231">
        <v>1309.29</v>
      </c>
      <c r="EV17" s="231">
        <v>18495534</v>
      </c>
      <c r="EW17" s="231">
        <v>1927.36</v>
      </c>
      <c r="EX17" s="231">
        <v>1956.01</v>
      </c>
      <c r="EY17" s="228">
        <v>-28.65</v>
      </c>
      <c r="EZ17" s="229">
        <v>-1.46E-2</v>
      </c>
      <c r="FA17" s="229">
        <v>0.72040000000000004</v>
      </c>
      <c r="FB17" s="227" t="s">
        <v>556</v>
      </c>
      <c r="FC17">
        <f t="shared" si="0"/>
        <v>1142</v>
      </c>
    </row>
    <row r="18" spans="1:159" ht="17.25" thickBot="1" x14ac:dyDescent="0.3">
      <c r="A18" s="226">
        <v>45957</v>
      </c>
      <c r="B18" s="227" t="s">
        <v>172</v>
      </c>
      <c r="C18" s="227" t="s">
        <v>495</v>
      </c>
      <c r="D18" s="228">
        <v>1000</v>
      </c>
      <c r="E18" s="228">
        <v>1</v>
      </c>
      <c r="F18" s="228">
        <v>864.3</v>
      </c>
      <c r="G18" s="228">
        <v>860.35</v>
      </c>
      <c r="H18" s="228">
        <v>3.95</v>
      </c>
      <c r="I18" s="229">
        <v>4.5999999999999999E-3</v>
      </c>
      <c r="J18" s="228">
        <v>864.2</v>
      </c>
      <c r="K18" s="228">
        <v>860.35</v>
      </c>
      <c r="L18" s="228">
        <v>3.85</v>
      </c>
      <c r="M18" s="229">
        <v>4.4999999999999997E-3</v>
      </c>
      <c r="N18" s="228">
        <v>864.3</v>
      </c>
      <c r="O18" s="228">
        <v>860.35</v>
      </c>
      <c r="P18" s="228">
        <v>3.95</v>
      </c>
      <c r="Q18" s="229">
        <v>4.5999999999999999E-3</v>
      </c>
      <c r="R18" s="228">
        <v>869.25</v>
      </c>
      <c r="S18" s="228">
        <v>865.9</v>
      </c>
      <c r="T18" s="228">
        <v>3.35</v>
      </c>
      <c r="U18" s="229">
        <v>3.8999999999999998E-3</v>
      </c>
      <c r="V18" s="228">
        <v>872.45</v>
      </c>
      <c r="W18" s="228">
        <v>867.85</v>
      </c>
      <c r="X18" s="228">
        <v>4.5999999999999996</v>
      </c>
      <c r="Y18" s="229">
        <v>5.3E-3</v>
      </c>
      <c r="Z18" s="228">
        <v>0.1</v>
      </c>
      <c r="AA18" s="228">
        <v>0</v>
      </c>
      <c r="AB18" s="228">
        <v>0.1</v>
      </c>
      <c r="AC18" s="229">
        <v>1E-4</v>
      </c>
      <c r="AD18" s="228">
        <v>0.1</v>
      </c>
      <c r="AE18" s="228">
        <v>0</v>
      </c>
      <c r="AF18" s="228">
        <v>0.1</v>
      </c>
      <c r="AG18" s="229">
        <v>1E-4</v>
      </c>
      <c r="AH18" s="228">
        <v>5.05</v>
      </c>
      <c r="AI18" s="228">
        <v>5.55</v>
      </c>
      <c r="AJ18" s="228">
        <v>-0.5</v>
      </c>
      <c r="AK18" s="229">
        <v>5.7999999999999996E-3</v>
      </c>
      <c r="AL18" s="228">
        <v>8.25</v>
      </c>
      <c r="AM18" s="228">
        <v>7.5</v>
      </c>
      <c r="AN18" s="228">
        <v>0.75</v>
      </c>
      <c r="AO18" s="229">
        <v>9.4999999999999998E-3</v>
      </c>
      <c r="AP18" s="228">
        <v>863.97</v>
      </c>
      <c r="AQ18" s="228">
        <v>868.97</v>
      </c>
      <c r="AR18" s="228">
        <v>0</v>
      </c>
      <c r="AS18" s="230">
        <v>1089</v>
      </c>
      <c r="AT18" s="230">
        <v>1925</v>
      </c>
      <c r="AU18" s="228">
        <v>-836</v>
      </c>
      <c r="AV18" s="229">
        <v>-0.43430000000000002</v>
      </c>
      <c r="AW18" s="228">
        <v>527</v>
      </c>
      <c r="AX18" s="228">
        <v>993</v>
      </c>
      <c r="AY18" s="228">
        <v>-466</v>
      </c>
      <c r="AZ18" s="229">
        <v>-0.46899999999999997</v>
      </c>
      <c r="BA18" s="228">
        <v>555</v>
      </c>
      <c r="BB18" s="228">
        <v>924</v>
      </c>
      <c r="BC18" s="228">
        <v>-369</v>
      </c>
      <c r="BD18" s="229">
        <v>-0.39960000000000001</v>
      </c>
      <c r="BE18" s="228">
        <v>7</v>
      </c>
      <c r="BF18" s="228">
        <v>8</v>
      </c>
      <c r="BG18" s="228">
        <v>-1</v>
      </c>
      <c r="BH18" s="229">
        <v>-0.13539999999999999</v>
      </c>
      <c r="BI18" s="228">
        <v>850</v>
      </c>
      <c r="BJ18" s="230">
        <v>1305</v>
      </c>
      <c r="BK18" s="228">
        <v>-455</v>
      </c>
      <c r="BL18" s="229">
        <v>-0.34889999999999999</v>
      </c>
      <c r="BM18" s="228">
        <v>709</v>
      </c>
      <c r="BN18" s="230">
        <v>1354</v>
      </c>
      <c r="BO18" s="228">
        <v>-644</v>
      </c>
      <c r="BP18" s="229">
        <v>-0.47599999999999998</v>
      </c>
      <c r="BQ18" s="230">
        <v>2648</v>
      </c>
      <c r="BR18" s="230">
        <v>4584</v>
      </c>
      <c r="BS18" s="230">
        <v>-1936</v>
      </c>
      <c r="BT18" s="229">
        <v>-0.42230000000000001</v>
      </c>
      <c r="BU18" s="230">
        <v>1540309</v>
      </c>
      <c r="BV18" s="230">
        <v>1835316</v>
      </c>
      <c r="BW18" s="230">
        <v>-295007</v>
      </c>
      <c r="BX18" s="229">
        <v>-0.16070000000000001</v>
      </c>
      <c r="BY18" s="230">
        <v>1868</v>
      </c>
      <c r="BZ18" s="230">
        <v>1999</v>
      </c>
      <c r="CA18" s="228">
        <v>-131</v>
      </c>
      <c r="CB18" s="229">
        <v>-6.54E-2</v>
      </c>
      <c r="CC18" s="228">
        <v>299</v>
      </c>
      <c r="CD18" s="228">
        <v>617</v>
      </c>
      <c r="CE18" s="228">
        <v>-318</v>
      </c>
      <c r="CF18" s="229">
        <v>-0.51580000000000004</v>
      </c>
      <c r="CG18" s="230">
        <v>1550</v>
      </c>
      <c r="CH18" s="230">
        <v>1365</v>
      </c>
      <c r="CI18" s="228">
        <v>185</v>
      </c>
      <c r="CJ18" s="229">
        <v>0.1356</v>
      </c>
      <c r="CK18" s="228">
        <v>19</v>
      </c>
      <c r="CL18" s="228">
        <v>17</v>
      </c>
      <c r="CM18" s="228">
        <v>2</v>
      </c>
      <c r="CN18" s="229">
        <v>0.14510000000000001</v>
      </c>
      <c r="CO18" s="228">
        <v>734</v>
      </c>
      <c r="CP18" s="228">
        <v>820</v>
      </c>
      <c r="CQ18" s="228">
        <v>-86</v>
      </c>
      <c r="CR18" s="229">
        <v>-0.1045</v>
      </c>
      <c r="CS18" s="228">
        <v>882</v>
      </c>
      <c r="CT18" s="228">
        <v>999</v>
      </c>
      <c r="CU18" s="228">
        <v>-117</v>
      </c>
      <c r="CV18" s="229">
        <v>-0.1168</v>
      </c>
      <c r="CW18" s="230">
        <v>3484</v>
      </c>
      <c r="CX18" s="230">
        <v>3817</v>
      </c>
      <c r="CY18" s="228">
        <v>-333</v>
      </c>
      <c r="CZ18" s="229">
        <v>-8.7300000000000003E-2</v>
      </c>
      <c r="DA18" s="228">
        <v>26.5</v>
      </c>
      <c r="DB18" s="228">
        <v>26.75</v>
      </c>
      <c r="DC18" s="228">
        <v>-0.25</v>
      </c>
      <c r="DD18" s="228">
        <v>-0.25</v>
      </c>
      <c r="DE18" s="228">
        <v>37.479999999999997</v>
      </c>
      <c r="DF18" s="228">
        <v>37.57</v>
      </c>
      <c r="DG18" s="228">
        <v>-10.98</v>
      </c>
      <c r="DH18" s="228">
        <v>-0.09</v>
      </c>
      <c r="DI18" s="228">
        <v>26.2</v>
      </c>
      <c r="DJ18" s="228">
        <v>26.08</v>
      </c>
      <c r="DK18" s="228">
        <v>0.12</v>
      </c>
      <c r="DL18" s="228">
        <v>0.12</v>
      </c>
      <c r="DM18" s="228">
        <v>26.94</v>
      </c>
      <c r="DN18" s="228">
        <v>27.32</v>
      </c>
      <c r="DO18" s="228">
        <v>-0.38</v>
      </c>
      <c r="DP18" s="228">
        <v>-0.38</v>
      </c>
      <c r="DQ18" s="228">
        <v>1.2</v>
      </c>
      <c r="DR18" s="228">
        <v>1.22</v>
      </c>
      <c r="DS18" s="228">
        <v>-0.02</v>
      </c>
      <c r="DT18" s="229">
        <v>-1.6400000000000001E-2</v>
      </c>
      <c r="DU18" s="228">
        <v>900</v>
      </c>
      <c r="DV18" s="228">
        <v>750</v>
      </c>
      <c r="DW18" s="228">
        <v>0.83</v>
      </c>
      <c r="DX18" s="228">
        <v>1.04</v>
      </c>
      <c r="DY18" s="228">
        <v>-0.21</v>
      </c>
      <c r="DZ18" s="229">
        <v>-0.2019</v>
      </c>
      <c r="EA18" s="229">
        <v>0.84009999999999996</v>
      </c>
      <c r="EB18" s="230">
        <v>15988000</v>
      </c>
      <c r="EC18" s="229">
        <v>5.7000000000000002E-3</v>
      </c>
      <c r="ED18" s="229">
        <v>0.84009999999999996</v>
      </c>
      <c r="EE18" s="228">
        <v>5</v>
      </c>
      <c r="EF18" s="229">
        <v>5.7999999999999996E-3</v>
      </c>
      <c r="EG18" s="230">
        <v>879731</v>
      </c>
      <c r="EH18" s="230">
        <v>1038152</v>
      </c>
      <c r="EI18" s="229">
        <v>-0.15260000000000001</v>
      </c>
      <c r="EJ18" s="229">
        <v>0.57110000000000005</v>
      </c>
      <c r="EK18" s="228">
        <v>873.31</v>
      </c>
      <c r="EL18" s="228">
        <v>686.04</v>
      </c>
      <c r="EM18" s="231">
        <v>1092.06</v>
      </c>
      <c r="EN18" s="228">
        <v>180.5</v>
      </c>
      <c r="EO18" s="231">
        <v>2651.41</v>
      </c>
      <c r="EP18" s="231">
        <v>4600.1000000000004</v>
      </c>
      <c r="EQ18" s="231">
        <v>-1948.7</v>
      </c>
      <c r="ER18" s="229">
        <v>-0.42359999999999998</v>
      </c>
      <c r="ES18" s="228">
        <v>722.99</v>
      </c>
      <c r="ET18" s="228">
        <v>814.57</v>
      </c>
      <c r="EU18" s="231">
        <v>1877.24</v>
      </c>
      <c r="EV18" s="231">
        <v>86234186</v>
      </c>
      <c r="EW18" s="231">
        <v>3414.8</v>
      </c>
      <c r="EX18" s="231">
        <v>3728.32</v>
      </c>
      <c r="EY18" s="228">
        <v>-313.52</v>
      </c>
      <c r="EZ18" s="229">
        <v>-8.4099999999999994E-2</v>
      </c>
      <c r="FA18" s="229">
        <v>0.46750000000000003</v>
      </c>
      <c r="FB18" s="227" t="s">
        <v>556</v>
      </c>
      <c r="FC18">
        <f t="shared" si="0"/>
        <v>1569</v>
      </c>
    </row>
    <row r="19" spans="1:159" ht="17.25" thickBot="1" x14ac:dyDescent="0.3">
      <c r="A19" s="226">
        <v>45957</v>
      </c>
      <c r="B19" s="227" t="s">
        <v>170</v>
      </c>
      <c r="C19" s="227" t="s">
        <v>171</v>
      </c>
      <c r="D19" s="228">
        <v>550</v>
      </c>
      <c r="E19" s="228">
        <v>1</v>
      </c>
      <c r="F19" s="231">
        <v>1094.5</v>
      </c>
      <c r="G19" s="231">
        <v>1085.3</v>
      </c>
      <c r="H19" s="228">
        <v>9.1999999999999993</v>
      </c>
      <c r="I19" s="229">
        <v>8.5000000000000006E-3</v>
      </c>
      <c r="J19" s="231">
        <v>1094.7</v>
      </c>
      <c r="K19" s="231">
        <v>1085</v>
      </c>
      <c r="L19" s="228">
        <v>9.6999999999999993</v>
      </c>
      <c r="M19" s="229">
        <v>8.8999999999999999E-3</v>
      </c>
      <c r="N19" s="231">
        <v>1094.5</v>
      </c>
      <c r="O19" s="231">
        <v>1085.3</v>
      </c>
      <c r="P19" s="228">
        <v>9.1999999999999993</v>
      </c>
      <c r="Q19" s="229">
        <v>8.5000000000000006E-3</v>
      </c>
      <c r="R19" s="231">
        <v>1100.3</v>
      </c>
      <c r="S19" s="231">
        <v>1092.5</v>
      </c>
      <c r="T19" s="228">
        <v>7.8</v>
      </c>
      <c r="U19" s="229">
        <v>7.1000000000000004E-3</v>
      </c>
      <c r="V19" s="231">
        <v>1107.5</v>
      </c>
      <c r="W19" s="231">
        <v>1098.9000000000001</v>
      </c>
      <c r="X19" s="228">
        <v>8.6</v>
      </c>
      <c r="Y19" s="229">
        <v>7.7999999999999996E-3</v>
      </c>
      <c r="Z19" s="228">
        <v>-0.2</v>
      </c>
      <c r="AA19" s="228">
        <v>0.3</v>
      </c>
      <c r="AB19" s="228">
        <v>-0.5</v>
      </c>
      <c r="AC19" s="229">
        <v>-2.0000000000000001E-4</v>
      </c>
      <c r="AD19" s="228">
        <v>-0.2</v>
      </c>
      <c r="AE19" s="228">
        <v>0.3</v>
      </c>
      <c r="AF19" s="228">
        <v>-0.5</v>
      </c>
      <c r="AG19" s="229">
        <v>-2.0000000000000001E-4</v>
      </c>
      <c r="AH19" s="228">
        <v>5.6</v>
      </c>
      <c r="AI19" s="228">
        <v>7.5</v>
      </c>
      <c r="AJ19" s="228">
        <v>-1.9</v>
      </c>
      <c r="AK19" s="229">
        <v>5.1000000000000004E-3</v>
      </c>
      <c r="AL19" s="228">
        <v>12.8</v>
      </c>
      <c r="AM19" s="228">
        <v>13.9</v>
      </c>
      <c r="AN19" s="228">
        <v>-1.1000000000000001</v>
      </c>
      <c r="AO19" s="229">
        <v>1.17E-2</v>
      </c>
      <c r="AP19" s="231">
        <v>1092.78</v>
      </c>
      <c r="AQ19" s="231">
        <v>1098.93</v>
      </c>
      <c r="AR19" s="228">
        <v>0</v>
      </c>
      <c r="AS19" s="230">
        <v>1306</v>
      </c>
      <c r="AT19" s="230">
        <v>1841</v>
      </c>
      <c r="AU19" s="228">
        <v>-535</v>
      </c>
      <c r="AV19" s="229">
        <v>-0.29049999999999998</v>
      </c>
      <c r="AW19" s="228">
        <v>627</v>
      </c>
      <c r="AX19" s="228">
        <v>914</v>
      </c>
      <c r="AY19" s="228">
        <v>-287</v>
      </c>
      <c r="AZ19" s="229">
        <v>-0.31440000000000001</v>
      </c>
      <c r="BA19" s="228">
        <v>672</v>
      </c>
      <c r="BB19" s="228">
        <v>922</v>
      </c>
      <c r="BC19" s="228">
        <v>-250</v>
      </c>
      <c r="BD19" s="229">
        <v>-0.27110000000000001</v>
      </c>
      <c r="BE19" s="228">
        <v>7</v>
      </c>
      <c r="BF19" s="228">
        <v>4</v>
      </c>
      <c r="BG19" s="228">
        <v>3</v>
      </c>
      <c r="BH19" s="229">
        <v>0.68179999999999996</v>
      </c>
      <c r="BI19" s="228">
        <v>806</v>
      </c>
      <c r="BJ19" s="228">
        <v>580</v>
      </c>
      <c r="BK19" s="228">
        <v>226</v>
      </c>
      <c r="BL19" s="229">
        <v>0.38950000000000001</v>
      </c>
      <c r="BM19" s="228">
        <v>468</v>
      </c>
      <c r="BN19" s="228">
        <v>433</v>
      </c>
      <c r="BO19" s="228">
        <v>35</v>
      </c>
      <c r="BP19" s="229">
        <v>8.1100000000000005E-2</v>
      </c>
      <c r="BQ19" s="230">
        <v>2580</v>
      </c>
      <c r="BR19" s="230">
        <v>2854</v>
      </c>
      <c r="BS19" s="228">
        <v>-274</v>
      </c>
      <c r="BT19" s="229">
        <v>-9.5899999999999999E-2</v>
      </c>
      <c r="BU19" s="230">
        <v>1439803</v>
      </c>
      <c r="BV19" s="230">
        <v>769851</v>
      </c>
      <c r="BW19" s="230">
        <v>669952</v>
      </c>
      <c r="BX19" s="229">
        <v>0.87019999999999997</v>
      </c>
      <c r="BY19" s="230">
        <v>2696</v>
      </c>
      <c r="BZ19" s="230">
        <v>2688</v>
      </c>
      <c r="CA19" s="228">
        <v>8</v>
      </c>
      <c r="CB19" s="229">
        <v>3.0999999999999999E-3</v>
      </c>
      <c r="CC19" s="228">
        <v>348</v>
      </c>
      <c r="CD19" s="228">
        <v>813</v>
      </c>
      <c r="CE19" s="228">
        <v>-465</v>
      </c>
      <c r="CF19" s="229">
        <v>-0.57140000000000002</v>
      </c>
      <c r="CG19" s="230">
        <v>2338</v>
      </c>
      <c r="CH19" s="230">
        <v>1867</v>
      </c>
      <c r="CI19" s="228">
        <v>471</v>
      </c>
      <c r="CJ19" s="229">
        <v>0.25219999999999998</v>
      </c>
      <c r="CK19" s="228">
        <v>10</v>
      </c>
      <c r="CL19" s="228">
        <v>8</v>
      </c>
      <c r="CM19" s="228">
        <v>2</v>
      </c>
      <c r="CN19" s="229">
        <v>0.26719999999999999</v>
      </c>
      <c r="CO19" s="228">
        <v>553</v>
      </c>
      <c r="CP19" s="228">
        <v>542</v>
      </c>
      <c r="CQ19" s="228">
        <v>11</v>
      </c>
      <c r="CR19" s="229">
        <v>2.01E-2</v>
      </c>
      <c r="CS19" s="228">
        <v>382</v>
      </c>
      <c r="CT19" s="228">
        <v>364</v>
      </c>
      <c r="CU19" s="228">
        <v>18</v>
      </c>
      <c r="CV19" s="229">
        <v>4.9500000000000002E-2</v>
      </c>
      <c r="CW19" s="230">
        <v>3631</v>
      </c>
      <c r="CX19" s="230">
        <v>3593</v>
      </c>
      <c r="CY19" s="228">
        <v>37</v>
      </c>
      <c r="CZ19" s="229">
        <v>1.04E-2</v>
      </c>
      <c r="DA19" s="228">
        <v>28.65</v>
      </c>
      <c r="DB19" s="228">
        <v>28.75</v>
      </c>
      <c r="DC19" s="228">
        <v>-0.1</v>
      </c>
      <c r="DD19" s="228">
        <v>-0.1</v>
      </c>
      <c r="DE19" s="228">
        <v>34.36</v>
      </c>
      <c r="DF19" s="228">
        <v>34.43</v>
      </c>
      <c r="DG19" s="228">
        <v>-5.71</v>
      </c>
      <c r="DH19" s="228">
        <v>-7.0000000000000007E-2</v>
      </c>
      <c r="DI19" s="228">
        <v>28.85</v>
      </c>
      <c r="DJ19" s="228">
        <v>28.57</v>
      </c>
      <c r="DK19" s="228">
        <v>0.28000000000000003</v>
      </c>
      <c r="DL19" s="228">
        <v>0.28000000000000003</v>
      </c>
      <c r="DM19" s="228">
        <v>28.33</v>
      </c>
      <c r="DN19" s="228">
        <v>28.93</v>
      </c>
      <c r="DO19" s="228">
        <v>-0.6</v>
      </c>
      <c r="DP19" s="228">
        <v>-0.6</v>
      </c>
      <c r="DQ19" s="228">
        <v>0.69</v>
      </c>
      <c r="DR19" s="228">
        <v>0.67</v>
      </c>
      <c r="DS19" s="228">
        <v>0.02</v>
      </c>
      <c r="DT19" s="229">
        <v>2.9899999999999999E-2</v>
      </c>
      <c r="DU19" s="231">
        <v>1140</v>
      </c>
      <c r="DV19" s="231">
        <v>1100</v>
      </c>
      <c r="DW19" s="228">
        <v>0.57999999999999996</v>
      </c>
      <c r="DX19" s="228">
        <v>0.75</v>
      </c>
      <c r="DY19" s="228">
        <v>-0.17</v>
      </c>
      <c r="DZ19" s="229">
        <v>-0.22670000000000001</v>
      </c>
      <c r="EA19" s="229">
        <v>0.87070000000000003</v>
      </c>
      <c r="EB19" s="230">
        <v>17127000</v>
      </c>
      <c r="EC19" s="229">
        <v>5.3E-3</v>
      </c>
      <c r="ED19" s="229">
        <v>0.87070000000000003</v>
      </c>
      <c r="EE19" s="228">
        <v>6.15</v>
      </c>
      <c r="EF19" s="229">
        <v>5.5999999999999999E-3</v>
      </c>
      <c r="EG19" s="230">
        <v>875034</v>
      </c>
      <c r="EH19" s="230">
        <v>373715</v>
      </c>
      <c r="EI19" s="229">
        <v>1.3413999999999999</v>
      </c>
      <c r="EJ19" s="229">
        <v>0.60770000000000002</v>
      </c>
      <c r="EK19" s="228">
        <v>838.91</v>
      </c>
      <c r="EL19" s="228">
        <v>470.35</v>
      </c>
      <c r="EM19" s="231">
        <v>1307.67</v>
      </c>
      <c r="EN19" s="228">
        <v>158.27000000000001</v>
      </c>
      <c r="EO19" s="231">
        <v>2616.92</v>
      </c>
      <c r="EP19" s="231">
        <v>2874.25</v>
      </c>
      <c r="EQ19" s="228">
        <v>-257.32</v>
      </c>
      <c r="ER19" s="229">
        <v>-8.9499999999999996E-2</v>
      </c>
      <c r="ES19" s="228">
        <v>583.99</v>
      </c>
      <c r="ET19" s="228">
        <v>373.84</v>
      </c>
      <c r="EU19" s="231">
        <v>2708.51</v>
      </c>
      <c r="EV19" s="231">
        <v>41977935</v>
      </c>
      <c r="EW19" s="231">
        <v>3666.34</v>
      </c>
      <c r="EX19" s="231">
        <v>3604.3</v>
      </c>
      <c r="EY19" s="228">
        <v>62.04</v>
      </c>
      <c r="EZ19" s="229">
        <v>1.72E-2</v>
      </c>
      <c r="FA19" s="229">
        <v>0.79020000000000001</v>
      </c>
      <c r="FB19" s="227" t="s">
        <v>555</v>
      </c>
      <c r="FC19">
        <f t="shared" si="0"/>
        <v>2348</v>
      </c>
    </row>
    <row r="20" spans="1:159" ht="17.25" thickBot="1" x14ac:dyDescent="0.3">
      <c r="A20" s="226">
        <v>45957</v>
      </c>
      <c r="B20" s="227" t="s">
        <v>172</v>
      </c>
      <c r="C20" s="227" t="s">
        <v>173</v>
      </c>
      <c r="D20" s="228">
        <v>625</v>
      </c>
      <c r="E20" s="228">
        <v>1</v>
      </c>
      <c r="F20" s="231">
        <v>1252.7</v>
      </c>
      <c r="G20" s="231">
        <v>1243</v>
      </c>
      <c r="H20" s="228">
        <v>9.6999999999999993</v>
      </c>
      <c r="I20" s="229">
        <v>7.7999999999999996E-3</v>
      </c>
      <c r="J20" s="231">
        <v>1254.0999999999999</v>
      </c>
      <c r="K20" s="231">
        <v>1241.9000000000001</v>
      </c>
      <c r="L20" s="228">
        <v>12.2</v>
      </c>
      <c r="M20" s="229">
        <v>9.7999999999999997E-3</v>
      </c>
      <c r="N20" s="231">
        <v>1252.7</v>
      </c>
      <c r="O20" s="231">
        <v>1243</v>
      </c>
      <c r="P20" s="228">
        <v>9.6999999999999993</v>
      </c>
      <c r="Q20" s="229">
        <v>7.7999999999999996E-3</v>
      </c>
      <c r="R20" s="231">
        <v>1260.7</v>
      </c>
      <c r="S20" s="231">
        <v>1250.5</v>
      </c>
      <c r="T20" s="228">
        <v>10.199999999999999</v>
      </c>
      <c r="U20" s="229">
        <v>8.2000000000000007E-3</v>
      </c>
      <c r="V20" s="231">
        <v>1268.4000000000001</v>
      </c>
      <c r="W20" s="231">
        <v>1257.9000000000001</v>
      </c>
      <c r="X20" s="228">
        <v>10.5</v>
      </c>
      <c r="Y20" s="229">
        <v>8.3000000000000001E-3</v>
      </c>
      <c r="Z20" s="228">
        <v>-1.4</v>
      </c>
      <c r="AA20" s="228">
        <v>1.1000000000000001</v>
      </c>
      <c r="AB20" s="228">
        <v>-2.5</v>
      </c>
      <c r="AC20" s="229">
        <v>-1.1000000000000001E-3</v>
      </c>
      <c r="AD20" s="228">
        <v>-1.4</v>
      </c>
      <c r="AE20" s="228">
        <v>1.1000000000000001</v>
      </c>
      <c r="AF20" s="228">
        <v>-2.5</v>
      </c>
      <c r="AG20" s="229">
        <v>-1.1000000000000001E-3</v>
      </c>
      <c r="AH20" s="228">
        <v>6.6</v>
      </c>
      <c r="AI20" s="228">
        <v>8.6</v>
      </c>
      <c r="AJ20" s="228">
        <v>-2</v>
      </c>
      <c r="AK20" s="229">
        <v>5.3E-3</v>
      </c>
      <c r="AL20" s="228">
        <v>14.3</v>
      </c>
      <c r="AM20" s="228">
        <v>16</v>
      </c>
      <c r="AN20" s="228">
        <v>-1.7</v>
      </c>
      <c r="AO20" s="229">
        <v>1.14E-2</v>
      </c>
      <c r="AP20" s="231">
        <v>1249.9100000000001</v>
      </c>
      <c r="AQ20" s="231">
        <v>1257.32</v>
      </c>
      <c r="AR20" s="228">
        <v>0</v>
      </c>
      <c r="AS20" s="230">
        <v>3501</v>
      </c>
      <c r="AT20" s="230">
        <v>5970</v>
      </c>
      <c r="AU20" s="230">
        <v>-2469</v>
      </c>
      <c r="AV20" s="229">
        <v>-0.41360000000000002</v>
      </c>
      <c r="AW20" s="230">
        <v>1686</v>
      </c>
      <c r="AX20" s="230">
        <v>3036</v>
      </c>
      <c r="AY20" s="230">
        <v>-1350</v>
      </c>
      <c r="AZ20" s="229">
        <v>-0.4446</v>
      </c>
      <c r="BA20" s="230">
        <v>1797</v>
      </c>
      <c r="BB20" s="230">
        <v>2922</v>
      </c>
      <c r="BC20" s="230">
        <v>-1125</v>
      </c>
      <c r="BD20" s="229">
        <v>-0.3851</v>
      </c>
      <c r="BE20" s="228">
        <v>18</v>
      </c>
      <c r="BF20" s="228">
        <v>12</v>
      </c>
      <c r="BG20" s="228">
        <v>6</v>
      </c>
      <c r="BH20" s="229">
        <v>0.52</v>
      </c>
      <c r="BI20" s="230">
        <v>3795</v>
      </c>
      <c r="BJ20" s="230">
        <v>4355</v>
      </c>
      <c r="BK20" s="228">
        <v>-560</v>
      </c>
      <c r="BL20" s="229">
        <v>-0.12859999999999999</v>
      </c>
      <c r="BM20" s="230">
        <v>2290</v>
      </c>
      <c r="BN20" s="230">
        <v>3768</v>
      </c>
      <c r="BO20" s="230">
        <v>-1478</v>
      </c>
      <c r="BP20" s="229">
        <v>-0.3921</v>
      </c>
      <c r="BQ20" s="230">
        <v>9587</v>
      </c>
      <c r="BR20" s="230">
        <v>14093</v>
      </c>
      <c r="BS20" s="230">
        <v>-4507</v>
      </c>
      <c r="BT20" s="229">
        <v>-0.31979999999999997</v>
      </c>
      <c r="BU20" s="230">
        <v>6293604</v>
      </c>
      <c r="BV20" s="230">
        <v>4965684</v>
      </c>
      <c r="BW20" s="230">
        <v>1327920</v>
      </c>
      <c r="BX20" s="229">
        <v>0.26740000000000003</v>
      </c>
      <c r="BY20" s="230">
        <v>10327</v>
      </c>
      <c r="BZ20" s="230">
        <v>10201</v>
      </c>
      <c r="CA20" s="228">
        <v>126</v>
      </c>
      <c r="CB20" s="229">
        <v>1.23E-2</v>
      </c>
      <c r="CC20" s="230">
        <v>1788</v>
      </c>
      <c r="CD20" s="230">
        <v>2918</v>
      </c>
      <c r="CE20" s="230">
        <v>-1131</v>
      </c>
      <c r="CF20" s="229">
        <v>-0.38750000000000001</v>
      </c>
      <c r="CG20" s="230">
        <v>8409</v>
      </c>
      <c r="CH20" s="230">
        <v>7155</v>
      </c>
      <c r="CI20" s="230">
        <v>1254</v>
      </c>
      <c r="CJ20" s="229">
        <v>0.17519999999999999</v>
      </c>
      <c r="CK20" s="228">
        <v>130</v>
      </c>
      <c r="CL20" s="228">
        <v>127</v>
      </c>
      <c r="CM20" s="228">
        <v>3</v>
      </c>
      <c r="CN20" s="229">
        <v>2.0299999999999999E-2</v>
      </c>
      <c r="CO20" s="230">
        <v>3425</v>
      </c>
      <c r="CP20" s="230">
        <v>3715</v>
      </c>
      <c r="CQ20" s="228">
        <v>-290</v>
      </c>
      <c r="CR20" s="229">
        <v>-7.8200000000000006E-2</v>
      </c>
      <c r="CS20" s="230">
        <v>2724</v>
      </c>
      <c r="CT20" s="230">
        <v>2805</v>
      </c>
      <c r="CU20" s="228">
        <v>-82</v>
      </c>
      <c r="CV20" s="229">
        <v>-2.9100000000000001E-2</v>
      </c>
      <c r="CW20" s="230">
        <v>16475</v>
      </c>
      <c r="CX20" s="230">
        <v>16722</v>
      </c>
      <c r="CY20" s="228">
        <v>-247</v>
      </c>
      <c r="CZ20" s="229">
        <v>-1.47E-2</v>
      </c>
      <c r="DA20" s="228">
        <v>18.809999999999999</v>
      </c>
      <c r="DB20" s="228">
        <v>18.55</v>
      </c>
      <c r="DC20" s="228">
        <v>0.26</v>
      </c>
      <c r="DD20" s="228">
        <v>0.26</v>
      </c>
      <c r="DE20" s="228">
        <v>26.97</v>
      </c>
      <c r="DF20" s="228">
        <v>27</v>
      </c>
      <c r="DG20" s="228">
        <v>-8.16</v>
      </c>
      <c r="DH20" s="228">
        <v>-0.03</v>
      </c>
      <c r="DI20" s="228">
        <v>18.489999999999998</v>
      </c>
      <c r="DJ20" s="228">
        <v>18.329999999999998</v>
      </c>
      <c r="DK20" s="228">
        <v>0.16</v>
      </c>
      <c r="DL20" s="228">
        <v>0.16</v>
      </c>
      <c r="DM20" s="228">
        <v>19.32</v>
      </c>
      <c r="DN20" s="228">
        <v>18.77</v>
      </c>
      <c r="DO20" s="228">
        <v>0.55000000000000004</v>
      </c>
      <c r="DP20" s="228">
        <v>0.55000000000000004</v>
      </c>
      <c r="DQ20" s="228">
        <v>0.8</v>
      </c>
      <c r="DR20" s="228">
        <v>0.76</v>
      </c>
      <c r="DS20" s="228">
        <v>0.04</v>
      </c>
      <c r="DT20" s="229">
        <v>5.2600000000000001E-2</v>
      </c>
      <c r="DU20" s="231">
        <v>1160</v>
      </c>
      <c r="DV20" s="231">
        <v>1200</v>
      </c>
      <c r="DW20" s="228">
        <v>0.6</v>
      </c>
      <c r="DX20" s="228">
        <v>0.87</v>
      </c>
      <c r="DY20" s="228">
        <v>-0.27</v>
      </c>
      <c r="DZ20" s="229">
        <v>-0.31030000000000002</v>
      </c>
      <c r="EA20" s="229">
        <v>0.82689999999999997</v>
      </c>
      <c r="EB20" s="230">
        <v>58136250</v>
      </c>
      <c r="EC20" s="229">
        <v>6.4000000000000003E-3</v>
      </c>
      <c r="ED20" s="229">
        <v>0.82689999999999997</v>
      </c>
      <c r="EE20" s="228">
        <v>7.41</v>
      </c>
      <c r="EF20" s="229">
        <v>5.8999999999999999E-3</v>
      </c>
      <c r="EG20" s="230">
        <v>4253618</v>
      </c>
      <c r="EH20" s="230">
        <v>3244137</v>
      </c>
      <c r="EI20" s="229">
        <v>0.31119999999999998</v>
      </c>
      <c r="EJ20" s="229">
        <v>0.67589999999999995</v>
      </c>
      <c r="EK20" s="231">
        <v>3855.46</v>
      </c>
      <c r="EL20" s="231">
        <v>2261.7399999999998</v>
      </c>
      <c r="EM20" s="231">
        <v>3504.04</v>
      </c>
      <c r="EN20" s="228">
        <v>597.85</v>
      </c>
      <c r="EO20" s="231">
        <v>9621.24</v>
      </c>
      <c r="EP20" s="231">
        <v>14099.8</v>
      </c>
      <c r="EQ20" s="231">
        <v>-4478.57</v>
      </c>
      <c r="ER20" s="229">
        <v>-0.31759999999999999</v>
      </c>
      <c r="ES20" s="231">
        <v>3347.94</v>
      </c>
      <c r="ET20" s="231">
        <v>2564.81</v>
      </c>
      <c r="EU20" s="231">
        <v>10381.959999999999</v>
      </c>
      <c r="EV20" s="231">
        <v>316147681</v>
      </c>
      <c r="EW20" s="231">
        <v>16294.71</v>
      </c>
      <c r="EX20" s="231">
        <v>16445.099999999999</v>
      </c>
      <c r="EY20" s="228">
        <v>-150.38999999999999</v>
      </c>
      <c r="EZ20" s="229">
        <v>-9.1000000000000004E-3</v>
      </c>
      <c r="FA20" s="229">
        <v>0.41599999999999998</v>
      </c>
      <c r="FB20" s="227" t="s">
        <v>555</v>
      </c>
      <c r="FC20">
        <f t="shared" si="0"/>
        <v>8539</v>
      </c>
    </row>
    <row r="21" spans="1:159" ht="17.25" thickBot="1" x14ac:dyDescent="0.3">
      <c r="A21" s="226">
        <v>45957</v>
      </c>
      <c r="B21" s="227" t="s">
        <v>162</v>
      </c>
      <c r="C21" s="227" t="s">
        <v>174</v>
      </c>
      <c r="D21" s="228">
        <v>75</v>
      </c>
      <c r="E21" s="228">
        <v>1</v>
      </c>
      <c r="F21" s="231">
        <v>9117.5</v>
      </c>
      <c r="G21" s="231">
        <v>9065.5</v>
      </c>
      <c r="H21" s="228">
        <v>52</v>
      </c>
      <c r="I21" s="229">
        <v>5.7000000000000002E-3</v>
      </c>
      <c r="J21" s="231">
        <v>9095.5</v>
      </c>
      <c r="K21" s="231">
        <v>9076.5</v>
      </c>
      <c r="L21" s="228">
        <v>19</v>
      </c>
      <c r="M21" s="229">
        <v>2.0999999999999999E-3</v>
      </c>
      <c r="N21" s="231">
        <v>9117.5</v>
      </c>
      <c r="O21" s="231">
        <v>9065.5</v>
      </c>
      <c r="P21" s="228">
        <v>52</v>
      </c>
      <c r="Q21" s="229">
        <v>5.7000000000000002E-3</v>
      </c>
      <c r="R21" s="231">
        <v>9140.5</v>
      </c>
      <c r="S21" s="231">
        <v>9075.5</v>
      </c>
      <c r="T21" s="228">
        <v>65</v>
      </c>
      <c r="U21" s="229">
        <v>7.1999999999999998E-3</v>
      </c>
      <c r="V21" s="231">
        <v>9174</v>
      </c>
      <c r="W21" s="231">
        <v>9113</v>
      </c>
      <c r="X21" s="228">
        <v>61</v>
      </c>
      <c r="Y21" s="229">
        <v>6.7000000000000002E-3</v>
      </c>
      <c r="Z21" s="228">
        <v>22</v>
      </c>
      <c r="AA21" s="228">
        <v>-11</v>
      </c>
      <c r="AB21" s="228">
        <v>33</v>
      </c>
      <c r="AC21" s="229">
        <v>2.3999999999999998E-3</v>
      </c>
      <c r="AD21" s="228">
        <v>22</v>
      </c>
      <c r="AE21" s="228">
        <v>-11</v>
      </c>
      <c r="AF21" s="228">
        <v>33</v>
      </c>
      <c r="AG21" s="229">
        <v>2.3999999999999998E-3</v>
      </c>
      <c r="AH21" s="228">
        <v>45</v>
      </c>
      <c r="AI21" s="228">
        <v>-1</v>
      </c>
      <c r="AJ21" s="228">
        <v>46</v>
      </c>
      <c r="AK21" s="229">
        <v>4.8999999999999998E-3</v>
      </c>
      <c r="AL21" s="228">
        <v>78.5</v>
      </c>
      <c r="AM21" s="228">
        <v>36.5</v>
      </c>
      <c r="AN21" s="228">
        <v>42</v>
      </c>
      <c r="AO21" s="229">
        <v>8.6E-3</v>
      </c>
      <c r="AP21" s="231">
        <v>9107.4699999999993</v>
      </c>
      <c r="AQ21" s="231">
        <v>9116.64</v>
      </c>
      <c r="AR21" s="228">
        <v>0</v>
      </c>
      <c r="AS21" s="230">
        <v>2157</v>
      </c>
      <c r="AT21" s="230">
        <v>2682</v>
      </c>
      <c r="AU21" s="228">
        <v>-525</v>
      </c>
      <c r="AV21" s="229">
        <v>-0.19570000000000001</v>
      </c>
      <c r="AW21" s="230">
        <v>1057</v>
      </c>
      <c r="AX21" s="230">
        <v>1354</v>
      </c>
      <c r="AY21" s="228">
        <v>-298</v>
      </c>
      <c r="AZ21" s="229">
        <v>-0.21970000000000001</v>
      </c>
      <c r="BA21" s="230">
        <v>1093</v>
      </c>
      <c r="BB21" s="230">
        <v>1322</v>
      </c>
      <c r="BC21" s="228">
        <v>-229</v>
      </c>
      <c r="BD21" s="229">
        <v>-0.17299999999999999</v>
      </c>
      <c r="BE21" s="228">
        <v>7</v>
      </c>
      <c r="BF21" s="228">
        <v>6</v>
      </c>
      <c r="BG21" s="228">
        <v>2</v>
      </c>
      <c r="BH21" s="229">
        <v>0.26829999999999998</v>
      </c>
      <c r="BI21" s="230">
        <v>1836</v>
      </c>
      <c r="BJ21" s="230">
        <v>2305</v>
      </c>
      <c r="BK21" s="228">
        <v>-469</v>
      </c>
      <c r="BL21" s="229">
        <v>-0.20349999999999999</v>
      </c>
      <c r="BM21" s="230">
        <v>1050</v>
      </c>
      <c r="BN21" s="230">
        <v>1475</v>
      </c>
      <c r="BO21" s="228">
        <v>-425</v>
      </c>
      <c r="BP21" s="229">
        <v>-0.28799999999999998</v>
      </c>
      <c r="BQ21" s="230">
        <v>5043</v>
      </c>
      <c r="BR21" s="230">
        <v>6461</v>
      </c>
      <c r="BS21" s="230">
        <v>-1418</v>
      </c>
      <c r="BT21" s="229">
        <v>-0.2195</v>
      </c>
      <c r="BU21" s="230">
        <v>338172</v>
      </c>
      <c r="BV21" s="230">
        <v>347634</v>
      </c>
      <c r="BW21" s="230">
        <v>-9462</v>
      </c>
      <c r="BX21" s="229">
        <v>-2.7199999999999998E-2</v>
      </c>
      <c r="BY21" s="230">
        <v>3121</v>
      </c>
      <c r="BZ21" s="230">
        <v>3050</v>
      </c>
      <c r="CA21" s="228">
        <v>71</v>
      </c>
      <c r="CB21" s="229">
        <v>2.3300000000000001E-2</v>
      </c>
      <c r="CC21" s="228">
        <v>372</v>
      </c>
      <c r="CD21" s="228">
        <v>953</v>
      </c>
      <c r="CE21" s="228">
        <v>-581</v>
      </c>
      <c r="CF21" s="229">
        <v>-0.60940000000000005</v>
      </c>
      <c r="CG21" s="230">
        <v>2719</v>
      </c>
      <c r="CH21" s="230">
        <v>2070</v>
      </c>
      <c r="CI21" s="228">
        <v>649</v>
      </c>
      <c r="CJ21" s="229">
        <v>0.31359999999999999</v>
      </c>
      <c r="CK21" s="228">
        <v>30</v>
      </c>
      <c r="CL21" s="228">
        <v>27</v>
      </c>
      <c r="CM21" s="228">
        <v>3</v>
      </c>
      <c r="CN21" s="229">
        <v>0.1094</v>
      </c>
      <c r="CO21" s="230">
        <v>1071</v>
      </c>
      <c r="CP21" s="230">
        <v>1249</v>
      </c>
      <c r="CQ21" s="228">
        <v>-178</v>
      </c>
      <c r="CR21" s="229">
        <v>-0.1426</v>
      </c>
      <c r="CS21" s="228">
        <v>862</v>
      </c>
      <c r="CT21" s="228">
        <v>864</v>
      </c>
      <c r="CU21" s="228">
        <v>-2</v>
      </c>
      <c r="CV21" s="229">
        <v>-2.5000000000000001E-3</v>
      </c>
      <c r="CW21" s="230">
        <v>5054</v>
      </c>
      <c r="CX21" s="230">
        <v>5163</v>
      </c>
      <c r="CY21" s="228">
        <v>-109</v>
      </c>
      <c r="CZ21" s="229">
        <v>-2.12E-2</v>
      </c>
      <c r="DA21" s="228">
        <v>25.41</v>
      </c>
      <c r="DB21" s="228">
        <v>25.73</v>
      </c>
      <c r="DC21" s="228">
        <v>-0.32</v>
      </c>
      <c r="DD21" s="228">
        <v>-0.32</v>
      </c>
      <c r="DE21" s="228">
        <v>30.09</v>
      </c>
      <c r="DF21" s="228">
        <v>30.17</v>
      </c>
      <c r="DG21" s="228">
        <v>-4.68</v>
      </c>
      <c r="DH21" s="228">
        <v>-0.08</v>
      </c>
      <c r="DI21" s="228">
        <v>25.65</v>
      </c>
      <c r="DJ21" s="228">
        <v>26.24</v>
      </c>
      <c r="DK21" s="228">
        <v>-0.59</v>
      </c>
      <c r="DL21" s="228">
        <v>-0.59</v>
      </c>
      <c r="DM21" s="228">
        <v>25.08</v>
      </c>
      <c r="DN21" s="228">
        <v>24.99</v>
      </c>
      <c r="DO21" s="228">
        <v>0.09</v>
      </c>
      <c r="DP21" s="228">
        <v>0.09</v>
      </c>
      <c r="DQ21" s="228">
        <v>0.8</v>
      </c>
      <c r="DR21" s="228">
        <v>0.69</v>
      </c>
      <c r="DS21" s="228">
        <v>0.11</v>
      </c>
      <c r="DT21" s="229">
        <v>0.15939999999999999</v>
      </c>
      <c r="DU21" s="231">
        <v>9200</v>
      </c>
      <c r="DV21" s="231">
        <v>9000</v>
      </c>
      <c r="DW21" s="228">
        <v>0.56999999999999995</v>
      </c>
      <c r="DX21" s="228">
        <v>0.64</v>
      </c>
      <c r="DY21" s="228">
        <v>-7.0000000000000007E-2</v>
      </c>
      <c r="DZ21" s="229">
        <v>-0.1094</v>
      </c>
      <c r="EA21" s="229">
        <v>0.88070000000000004</v>
      </c>
      <c r="EB21" s="230">
        <v>2299575</v>
      </c>
      <c r="EC21" s="229">
        <v>2.5000000000000001E-3</v>
      </c>
      <c r="ED21" s="229">
        <v>0.88070000000000004</v>
      </c>
      <c r="EE21" s="228">
        <v>9.17</v>
      </c>
      <c r="EF21" s="229">
        <v>1E-3</v>
      </c>
      <c r="EG21" s="230">
        <v>219643</v>
      </c>
      <c r="EH21" s="230">
        <v>234957</v>
      </c>
      <c r="EI21" s="229">
        <v>-6.5199999999999994E-2</v>
      </c>
      <c r="EJ21" s="229">
        <v>0.64949999999999997</v>
      </c>
      <c r="EK21" s="231">
        <v>1884.8</v>
      </c>
      <c r="EL21" s="231">
        <v>1034.3800000000001</v>
      </c>
      <c r="EM21" s="231">
        <v>2155.64</v>
      </c>
      <c r="EN21" s="228">
        <v>217.12</v>
      </c>
      <c r="EO21" s="231">
        <v>5074.82</v>
      </c>
      <c r="EP21" s="231">
        <v>6477.87</v>
      </c>
      <c r="EQ21" s="231">
        <v>-1403.05</v>
      </c>
      <c r="ER21" s="229">
        <v>-0.21659999999999999</v>
      </c>
      <c r="ES21" s="231">
        <v>1106.8599999999999</v>
      </c>
      <c r="ET21" s="228">
        <v>814.8</v>
      </c>
      <c r="EU21" s="231">
        <v>3127.96</v>
      </c>
      <c r="EV21" s="231">
        <v>12547731</v>
      </c>
      <c r="EW21" s="231">
        <v>5049.62</v>
      </c>
      <c r="EX21" s="231">
        <v>5139.01</v>
      </c>
      <c r="EY21" s="228">
        <v>-89.39</v>
      </c>
      <c r="EZ21" s="229">
        <v>-1.7399999999999999E-2</v>
      </c>
      <c r="FA21" s="229">
        <v>0.44169999999999998</v>
      </c>
      <c r="FB21" s="227" t="s">
        <v>555</v>
      </c>
      <c r="FC21">
        <f t="shared" si="0"/>
        <v>2749</v>
      </c>
    </row>
    <row r="22" spans="1:159" ht="17.25" thickBot="1" x14ac:dyDescent="0.3">
      <c r="A22" s="226">
        <v>45957</v>
      </c>
      <c r="B22" s="227" t="s">
        <v>175</v>
      </c>
      <c r="C22" s="227" t="s">
        <v>176</v>
      </c>
      <c r="D22" s="228">
        <v>500</v>
      </c>
      <c r="E22" s="228">
        <v>1</v>
      </c>
      <c r="F22" s="231">
        <v>2169.9</v>
      </c>
      <c r="G22" s="231">
        <v>2159.8000000000002</v>
      </c>
      <c r="H22" s="228">
        <v>10.1</v>
      </c>
      <c r="I22" s="229">
        <v>4.7000000000000002E-3</v>
      </c>
      <c r="J22" s="231">
        <v>2170.1999999999998</v>
      </c>
      <c r="K22" s="231">
        <v>2159.5</v>
      </c>
      <c r="L22" s="228">
        <v>10.7</v>
      </c>
      <c r="M22" s="229">
        <v>5.0000000000000001E-3</v>
      </c>
      <c r="N22" s="231">
        <v>2169.9</v>
      </c>
      <c r="O22" s="231">
        <v>2159.8000000000002</v>
      </c>
      <c r="P22" s="228">
        <v>10.1</v>
      </c>
      <c r="Q22" s="229">
        <v>4.7000000000000002E-3</v>
      </c>
      <c r="R22" s="231">
        <v>2182.8000000000002</v>
      </c>
      <c r="S22" s="231">
        <v>2173.4</v>
      </c>
      <c r="T22" s="228">
        <v>9.4</v>
      </c>
      <c r="U22" s="229">
        <v>4.3E-3</v>
      </c>
      <c r="V22" s="231">
        <v>2197.3000000000002</v>
      </c>
      <c r="W22" s="231">
        <v>2186.6</v>
      </c>
      <c r="X22" s="228">
        <v>10.7</v>
      </c>
      <c r="Y22" s="229">
        <v>4.8999999999999998E-3</v>
      </c>
      <c r="Z22" s="228">
        <v>-0.3</v>
      </c>
      <c r="AA22" s="228">
        <v>0.3</v>
      </c>
      <c r="AB22" s="228">
        <v>-0.6</v>
      </c>
      <c r="AC22" s="229">
        <v>-1E-4</v>
      </c>
      <c r="AD22" s="228">
        <v>-0.3</v>
      </c>
      <c r="AE22" s="228">
        <v>0.3</v>
      </c>
      <c r="AF22" s="228">
        <v>-0.6</v>
      </c>
      <c r="AG22" s="229">
        <v>-1E-4</v>
      </c>
      <c r="AH22" s="228">
        <v>12.6</v>
      </c>
      <c r="AI22" s="228">
        <v>13.9</v>
      </c>
      <c r="AJ22" s="228">
        <v>-1.3</v>
      </c>
      <c r="AK22" s="229">
        <v>5.7999999999999996E-3</v>
      </c>
      <c r="AL22" s="228">
        <v>27.1</v>
      </c>
      <c r="AM22" s="228">
        <v>27.1</v>
      </c>
      <c r="AN22" s="228">
        <v>0</v>
      </c>
      <c r="AO22" s="229">
        <v>1.2500000000000001E-2</v>
      </c>
      <c r="AP22" s="231">
        <v>2168.08</v>
      </c>
      <c r="AQ22" s="231">
        <v>2181.0100000000002</v>
      </c>
      <c r="AR22" s="228">
        <v>0</v>
      </c>
      <c r="AS22" s="230">
        <v>2304</v>
      </c>
      <c r="AT22" s="230">
        <v>2173</v>
      </c>
      <c r="AU22" s="228">
        <v>131</v>
      </c>
      <c r="AV22" s="229">
        <v>6.0400000000000002E-2</v>
      </c>
      <c r="AW22" s="230">
        <v>1099</v>
      </c>
      <c r="AX22" s="230">
        <v>1087</v>
      </c>
      <c r="AY22" s="228">
        <v>12</v>
      </c>
      <c r="AZ22" s="229">
        <v>1.14E-2</v>
      </c>
      <c r="BA22" s="230">
        <v>1198</v>
      </c>
      <c r="BB22" s="230">
        <v>1081</v>
      </c>
      <c r="BC22" s="228">
        <v>117</v>
      </c>
      <c r="BD22" s="229">
        <v>0.1081</v>
      </c>
      <c r="BE22" s="228">
        <v>6</v>
      </c>
      <c r="BF22" s="228">
        <v>4</v>
      </c>
      <c r="BG22" s="228">
        <v>2</v>
      </c>
      <c r="BH22" s="229">
        <v>0.47499999999999998</v>
      </c>
      <c r="BI22" s="230">
        <v>1282</v>
      </c>
      <c r="BJ22" s="230">
        <v>1493</v>
      </c>
      <c r="BK22" s="228">
        <v>-211</v>
      </c>
      <c r="BL22" s="229">
        <v>-0.1416</v>
      </c>
      <c r="BM22" s="230">
        <v>1204</v>
      </c>
      <c r="BN22" s="230">
        <v>1542</v>
      </c>
      <c r="BO22" s="228">
        <v>-339</v>
      </c>
      <c r="BP22" s="229">
        <v>-0.21959999999999999</v>
      </c>
      <c r="BQ22" s="230">
        <v>4789</v>
      </c>
      <c r="BR22" s="230">
        <v>5208</v>
      </c>
      <c r="BS22" s="228">
        <v>-419</v>
      </c>
      <c r="BT22" s="229">
        <v>-8.0399999999999999E-2</v>
      </c>
      <c r="BU22" s="230">
        <v>459913</v>
      </c>
      <c r="BV22" s="230">
        <v>535952</v>
      </c>
      <c r="BW22" s="230">
        <v>-76039</v>
      </c>
      <c r="BX22" s="229">
        <v>-0.1419</v>
      </c>
      <c r="BY22" s="230">
        <v>4331</v>
      </c>
      <c r="BZ22" s="230">
        <v>4302</v>
      </c>
      <c r="CA22" s="228">
        <v>29</v>
      </c>
      <c r="CB22" s="229">
        <v>6.7000000000000002E-3</v>
      </c>
      <c r="CC22" s="230">
        <v>1172</v>
      </c>
      <c r="CD22" s="230">
        <v>2084</v>
      </c>
      <c r="CE22" s="228">
        <v>-911</v>
      </c>
      <c r="CF22" s="229">
        <v>-0.4375</v>
      </c>
      <c r="CG22" s="230">
        <v>3140</v>
      </c>
      <c r="CH22" s="230">
        <v>2203</v>
      </c>
      <c r="CI22" s="228">
        <v>938</v>
      </c>
      <c r="CJ22" s="229">
        <v>0.42570000000000002</v>
      </c>
      <c r="CK22" s="228">
        <v>18</v>
      </c>
      <c r="CL22" s="228">
        <v>16</v>
      </c>
      <c r="CM22" s="228">
        <v>2</v>
      </c>
      <c r="CN22" s="229">
        <v>0.1565</v>
      </c>
      <c r="CO22" s="230">
        <v>1457</v>
      </c>
      <c r="CP22" s="230">
        <v>1489</v>
      </c>
      <c r="CQ22" s="228">
        <v>-32</v>
      </c>
      <c r="CR22" s="229">
        <v>-2.1299999999999999E-2</v>
      </c>
      <c r="CS22" s="230">
        <v>1361</v>
      </c>
      <c r="CT22" s="230">
        <v>1400</v>
      </c>
      <c r="CU22" s="228">
        <v>-39</v>
      </c>
      <c r="CV22" s="229">
        <v>-2.7799999999999998E-2</v>
      </c>
      <c r="CW22" s="230">
        <v>7149</v>
      </c>
      <c r="CX22" s="230">
        <v>7191</v>
      </c>
      <c r="CY22" s="228">
        <v>-42</v>
      </c>
      <c r="CZ22" s="229">
        <v>-5.7999999999999996E-3</v>
      </c>
      <c r="DA22" s="228">
        <v>24.5</v>
      </c>
      <c r="DB22" s="228">
        <v>23.77</v>
      </c>
      <c r="DC22" s="228">
        <v>0.73</v>
      </c>
      <c r="DD22" s="228">
        <v>0.73</v>
      </c>
      <c r="DE22" s="228">
        <v>28.06</v>
      </c>
      <c r="DF22" s="228">
        <v>28.13</v>
      </c>
      <c r="DG22" s="228">
        <v>-3.56</v>
      </c>
      <c r="DH22" s="228">
        <v>-7.0000000000000007E-2</v>
      </c>
      <c r="DI22" s="228">
        <v>23.5</v>
      </c>
      <c r="DJ22" s="228">
        <v>23.46</v>
      </c>
      <c r="DK22" s="228">
        <v>0.04</v>
      </c>
      <c r="DL22" s="228">
        <v>0.04</v>
      </c>
      <c r="DM22" s="228">
        <v>25.81</v>
      </c>
      <c r="DN22" s="228">
        <v>24.19</v>
      </c>
      <c r="DO22" s="228">
        <v>1.62</v>
      </c>
      <c r="DP22" s="228">
        <v>1.62</v>
      </c>
      <c r="DQ22" s="228">
        <v>0.93</v>
      </c>
      <c r="DR22" s="228">
        <v>0.94</v>
      </c>
      <c r="DS22" s="228">
        <v>-0.01</v>
      </c>
      <c r="DT22" s="229">
        <v>-1.06E-2</v>
      </c>
      <c r="DU22" s="231">
        <v>2080</v>
      </c>
      <c r="DV22" s="231">
        <v>2100</v>
      </c>
      <c r="DW22" s="228">
        <v>0.94</v>
      </c>
      <c r="DX22" s="228">
        <v>1.03</v>
      </c>
      <c r="DY22" s="228">
        <v>-0.09</v>
      </c>
      <c r="DZ22" s="229">
        <v>-8.7400000000000005E-2</v>
      </c>
      <c r="EA22" s="229">
        <v>0.72940000000000005</v>
      </c>
      <c r="EB22" s="230">
        <v>10224500</v>
      </c>
      <c r="EC22" s="229">
        <v>5.8999999999999999E-3</v>
      </c>
      <c r="ED22" s="229">
        <v>0.72940000000000005</v>
      </c>
      <c r="EE22" s="228">
        <v>12.93</v>
      </c>
      <c r="EF22" s="229">
        <v>6.0000000000000001E-3</v>
      </c>
      <c r="EG22" s="230">
        <v>205223</v>
      </c>
      <c r="EH22" s="230">
        <v>265416</v>
      </c>
      <c r="EI22" s="229">
        <v>-0.2268</v>
      </c>
      <c r="EJ22" s="229">
        <v>0.44619999999999999</v>
      </c>
      <c r="EK22" s="231">
        <v>1309.24</v>
      </c>
      <c r="EL22" s="231">
        <v>1167.2</v>
      </c>
      <c r="EM22" s="231">
        <v>2309.0700000000002</v>
      </c>
      <c r="EN22" s="228">
        <v>134.35</v>
      </c>
      <c r="EO22" s="231">
        <v>4785.51</v>
      </c>
      <c r="EP22" s="231">
        <v>5205.66</v>
      </c>
      <c r="EQ22" s="228">
        <v>-420.15</v>
      </c>
      <c r="ER22" s="229">
        <v>-8.0699999999999994E-2</v>
      </c>
      <c r="ES22" s="231">
        <v>1446.48</v>
      </c>
      <c r="ET22" s="231">
        <v>1268.27</v>
      </c>
      <c r="EU22" s="231">
        <v>4349.8100000000004</v>
      </c>
      <c r="EV22" s="231">
        <v>65659712</v>
      </c>
      <c r="EW22" s="231">
        <v>7064.56</v>
      </c>
      <c r="EX22" s="231">
        <v>7079.36</v>
      </c>
      <c r="EY22" s="228">
        <v>-14.8</v>
      </c>
      <c r="EZ22" s="229">
        <v>-2.0999999999999999E-3</v>
      </c>
      <c r="FA22" s="229">
        <v>0.50180000000000002</v>
      </c>
      <c r="FB22" s="227" t="s">
        <v>555</v>
      </c>
      <c r="FC22">
        <f t="shared" si="0"/>
        <v>3159</v>
      </c>
    </row>
    <row r="23" spans="1:159" ht="17.25" thickBot="1" x14ac:dyDescent="0.3">
      <c r="A23" s="226">
        <v>45957</v>
      </c>
      <c r="B23" s="227" t="s">
        <v>175</v>
      </c>
      <c r="C23" s="227" t="s">
        <v>177</v>
      </c>
      <c r="D23" s="228">
        <v>750</v>
      </c>
      <c r="E23" s="228">
        <v>1</v>
      </c>
      <c r="F23" s="231">
        <v>1085.7</v>
      </c>
      <c r="G23" s="231">
        <v>1089.4000000000001</v>
      </c>
      <c r="H23" s="228">
        <v>-3.7</v>
      </c>
      <c r="I23" s="229">
        <v>-3.3999999999999998E-3</v>
      </c>
      <c r="J23" s="231">
        <v>1084.4000000000001</v>
      </c>
      <c r="K23" s="231">
        <v>1089.75</v>
      </c>
      <c r="L23" s="228">
        <v>-5.35</v>
      </c>
      <c r="M23" s="229">
        <v>-4.8999999999999998E-3</v>
      </c>
      <c r="N23" s="231">
        <v>1085.7</v>
      </c>
      <c r="O23" s="231">
        <v>1089.4000000000001</v>
      </c>
      <c r="P23" s="228">
        <v>-3.7</v>
      </c>
      <c r="Q23" s="229">
        <v>-3.3999999999999998E-3</v>
      </c>
      <c r="R23" s="231">
        <v>1091.6500000000001</v>
      </c>
      <c r="S23" s="231">
        <v>1095.25</v>
      </c>
      <c r="T23" s="228">
        <v>-3.6</v>
      </c>
      <c r="U23" s="229">
        <v>-3.3E-3</v>
      </c>
      <c r="V23" s="231">
        <v>1098.8499999999999</v>
      </c>
      <c r="W23" s="231">
        <v>1101.6500000000001</v>
      </c>
      <c r="X23" s="228">
        <v>-2.8</v>
      </c>
      <c r="Y23" s="229">
        <v>-2.5000000000000001E-3</v>
      </c>
      <c r="Z23" s="228">
        <v>1.3</v>
      </c>
      <c r="AA23" s="228">
        <v>-0.35</v>
      </c>
      <c r="AB23" s="228">
        <v>1.65</v>
      </c>
      <c r="AC23" s="229">
        <v>1.1999999999999999E-3</v>
      </c>
      <c r="AD23" s="228">
        <v>1.3</v>
      </c>
      <c r="AE23" s="228">
        <v>-0.35</v>
      </c>
      <c r="AF23" s="228">
        <v>1.65</v>
      </c>
      <c r="AG23" s="229">
        <v>1.1999999999999999E-3</v>
      </c>
      <c r="AH23" s="228">
        <v>7.25</v>
      </c>
      <c r="AI23" s="228">
        <v>5.5</v>
      </c>
      <c r="AJ23" s="228">
        <v>1.75</v>
      </c>
      <c r="AK23" s="229">
        <v>6.7000000000000002E-3</v>
      </c>
      <c r="AL23" s="228">
        <v>14.45</v>
      </c>
      <c r="AM23" s="228">
        <v>11.9</v>
      </c>
      <c r="AN23" s="228">
        <v>2.5499999999999998</v>
      </c>
      <c r="AO23" s="229">
        <v>1.3299999999999999E-2</v>
      </c>
      <c r="AP23" s="231">
        <v>1082</v>
      </c>
      <c r="AQ23" s="231">
        <v>1088.01</v>
      </c>
      <c r="AR23" s="228">
        <v>0</v>
      </c>
      <c r="AS23" s="230">
        <v>6069</v>
      </c>
      <c r="AT23" s="230">
        <v>6579</v>
      </c>
      <c r="AU23" s="228">
        <v>-510</v>
      </c>
      <c r="AV23" s="229">
        <v>-7.7499999999999999E-2</v>
      </c>
      <c r="AW23" s="230">
        <v>3009</v>
      </c>
      <c r="AX23" s="230">
        <v>3281</v>
      </c>
      <c r="AY23" s="228">
        <v>-272</v>
      </c>
      <c r="AZ23" s="229">
        <v>-8.3000000000000004E-2</v>
      </c>
      <c r="BA23" s="230">
        <v>3040</v>
      </c>
      <c r="BB23" s="230">
        <v>3284</v>
      </c>
      <c r="BC23" s="228">
        <v>-244</v>
      </c>
      <c r="BD23" s="229">
        <v>-7.4399999999999994E-2</v>
      </c>
      <c r="BE23" s="228">
        <v>20</v>
      </c>
      <c r="BF23" s="228">
        <v>14</v>
      </c>
      <c r="BG23" s="228">
        <v>7</v>
      </c>
      <c r="BH23" s="229">
        <v>0.49099999999999999</v>
      </c>
      <c r="BI23" s="230">
        <v>2139</v>
      </c>
      <c r="BJ23" s="230">
        <v>2072</v>
      </c>
      <c r="BK23" s="228">
        <v>67</v>
      </c>
      <c r="BL23" s="229">
        <v>3.2399999999999998E-2</v>
      </c>
      <c r="BM23" s="230">
        <v>2186</v>
      </c>
      <c r="BN23" s="230">
        <v>2439</v>
      </c>
      <c r="BO23" s="228">
        <v>-253</v>
      </c>
      <c r="BP23" s="229">
        <v>-0.1038</v>
      </c>
      <c r="BQ23" s="230">
        <v>10394</v>
      </c>
      <c r="BR23" s="230">
        <v>11090</v>
      </c>
      <c r="BS23" s="228">
        <v>-696</v>
      </c>
      <c r="BT23" s="229">
        <v>-6.2700000000000006E-2</v>
      </c>
      <c r="BU23" s="230">
        <v>7746854</v>
      </c>
      <c r="BV23" s="230">
        <v>6673589</v>
      </c>
      <c r="BW23" s="230">
        <v>1073265</v>
      </c>
      <c r="BX23" s="229">
        <v>0.1608</v>
      </c>
      <c r="BY23" s="230">
        <v>10127</v>
      </c>
      <c r="BZ23" s="230">
        <v>10318</v>
      </c>
      <c r="CA23" s="228">
        <v>-191</v>
      </c>
      <c r="CB23" s="229">
        <v>-1.8499999999999999E-2</v>
      </c>
      <c r="CC23" s="230">
        <v>1244</v>
      </c>
      <c r="CD23" s="230">
        <v>3807</v>
      </c>
      <c r="CE23" s="230">
        <v>-2563</v>
      </c>
      <c r="CF23" s="229">
        <v>-0.67320000000000002</v>
      </c>
      <c r="CG23" s="230">
        <v>8843</v>
      </c>
      <c r="CH23" s="230">
        <v>6480</v>
      </c>
      <c r="CI23" s="230">
        <v>2363</v>
      </c>
      <c r="CJ23" s="229">
        <v>0.36459999999999998</v>
      </c>
      <c r="CK23" s="228">
        <v>41</v>
      </c>
      <c r="CL23" s="228">
        <v>31</v>
      </c>
      <c r="CM23" s="228">
        <v>9</v>
      </c>
      <c r="CN23" s="229">
        <v>0.29609999999999997</v>
      </c>
      <c r="CO23" s="230">
        <v>1923</v>
      </c>
      <c r="CP23" s="230">
        <v>2066</v>
      </c>
      <c r="CQ23" s="228">
        <v>-144</v>
      </c>
      <c r="CR23" s="229">
        <v>-6.9599999999999995E-2</v>
      </c>
      <c r="CS23" s="230">
        <v>2098</v>
      </c>
      <c r="CT23" s="230">
        <v>2361</v>
      </c>
      <c r="CU23" s="228">
        <v>-264</v>
      </c>
      <c r="CV23" s="229">
        <v>-0.1116</v>
      </c>
      <c r="CW23" s="230">
        <v>14148</v>
      </c>
      <c r="CX23" s="230">
        <v>14746</v>
      </c>
      <c r="CY23" s="228">
        <v>-598</v>
      </c>
      <c r="CZ23" s="229">
        <v>-4.0599999999999997E-2</v>
      </c>
      <c r="DA23" s="228">
        <v>27.63</v>
      </c>
      <c r="DB23" s="228">
        <v>27.89</v>
      </c>
      <c r="DC23" s="228">
        <v>-0.26</v>
      </c>
      <c r="DD23" s="228">
        <v>-0.26</v>
      </c>
      <c r="DE23" s="228">
        <v>30.99</v>
      </c>
      <c r="DF23" s="228">
        <v>31.06</v>
      </c>
      <c r="DG23" s="228">
        <v>-3.36</v>
      </c>
      <c r="DH23" s="228">
        <v>-7.0000000000000007E-2</v>
      </c>
      <c r="DI23" s="228">
        <v>27.51</v>
      </c>
      <c r="DJ23" s="228">
        <v>27.22</v>
      </c>
      <c r="DK23" s="228">
        <v>0.28999999999999998</v>
      </c>
      <c r="DL23" s="228">
        <v>0.28999999999999998</v>
      </c>
      <c r="DM23" s="228">
        <v>27.78</v>
      </c>
      <c r="DN23" s="228">
        <v>28.56</v>
      </c>
      <c r="DO23" s="228">
        <v>-0.78</v>
      </c>
      <c r="DP23" s="228">
        <v>-0.78</v>
      </c>
      <c r="DQ23" s="228">
        <v>1.0900000000000001</v>
      </c>
      <c r="DR23" s="228">
        <v>1.1399999999999999</v>
      </c>
      <c r="DS23" s="228">
        <v>-0.05</v>
      </c>
      <c r="DT23" s="229">
        <v>-4.3900000000000002E-2</v>
      </c>
      <c r="DU23" s="231">
        <v>1100</v>
      </c>
      <c r="DV23" s="231">
        <v>1020</v>
      </c>
      <c r="DW23" s="228">
        <v>1.02</v>
      </c>
      <c r="DX23" s="228">
        <v>1.18</v>
      </c>
      <c r="DY23" s="228">
        <v>-0.16</v>
      </c>
      <c r="DZ23" s="229">
        <v>-0.1356</v>
      </c>
      <c r="EA23" s="229">
        <v>0.87719999999999998</v>
      </c>
      <c r="EB23" s="230">
        <v>59975250</v>
      </c>
      <c r="EC23" s="229">
        <v>5.4999999999999997E-3</v>
      </c>
      <c r="ED23" s="229">
        <v>0.87719999999999998</v>
      </c>
      <c r="EE23" s="228">
        <v>6.01</v>
      </c>
      <c r="EF23" s="229">
        <v>5.5999999999999999E-3</v>
      </c>
      <c r="EG23" s="230">
        <v>5574904</v>
      </c>
      <c r="EH23" s="230">
        <v>4504397</v>
      </c>
      <c r="EI23" s="229">
        <v>0.23769999999999999</v>
      </c>
      <c r="EJ23" s="229">
        <v>0.71960000000000002</v>
      </c>
      <c r="EK23" s="231">
        <v>2195.83</v>
      </c>
      <c r="EL23" s="231">
        <v>2139.64</v>
      </c>
      <c r="EM23" s="231">
        <v>6065.69</v>
      </c>
      <c r="EN23" s="228">
        <v>458.9</v>
      </c>
      <c r="EO23" s="231">
        <v>10401.16</v>
      </c>
      <c r="EP23" s="231">
        <v>11174.69</v>
      </c>
      <c r="EQ23" s="228">
        <v>-773.53</v>
      </c>
      <c r="ER23" s="229">
        <v>-6.9199999999999998E-2</v>
      </c>
      <c r="ES23" s="231">
        <v>1913.75</v>
      </c>
      <c r="ET23" s="231">
        <v>1958.72</v>
      </c>
      <c r="EU23" s="231">
        <v>10176.25</v>
      </c>
      <c r="EV23" s="231">
        <v>281116345</v>
      </c>
      <c r="EW23" s="231">
        <v>14048.72</v>
      </c>
      <c r="EX23" s="231">
        <v>14651.42</v>
      </c>
      <c r="EY23" s="228">
        <v>-602.70000000000005</v>
      </c>
      <c r="EZ23" s="229">
        <v>-4.1099999999999998E-2</v>
      </c>
      <c r="FA23" s="229">
        <v>0.46350000000000002</v>
      </c>
      <c r="FB23" s="227" t="s">
        <v>568</v>
      </c>
      <c r="FC23">
        <f t="shared" si="0"/>
        <v>8883</v>
      </c>
    </row>
    <row r="24" spans="1:159" ht="17.25" thickBot="1" x14ac:dyDescent="0.3">
      <c r="A24" s="226">
        <v>45957</v>
      </c>
      <c r="B24" s="227" t="s">
        <v>172</v>
      </c>
      <c r="C24" s="227" t="s">
        <v>179</v>
      </c>
      <c r="D24" s="228">
        <v>3600</v>
      </c>
      <c r="E24" s="228">
        <v>1</v>
      </c>
      <c r="F24" s="228">
        <v>171.99</v>
      </c>
      <c r="G24" s="228">
        <v>170.07</v>
      </c>
      <c r="H24" s="228">
        <v>1.92</v>
      </c>
      <c r="I24" s="229">
        <v>1.1299999999999999E-2</v>
      </c>
      <c r="J24" s="228">
        <v>172.04</v>
      </c>
      <c r="K24" s="228">
        <v>170</v>
      </c>
      <c r="L24" s="228">
        <v>2.04</v>
      </c>
      <c r="M24" s="229">
        <v>1.2E-2</v>
      </c>
      <c r="N24" s="228">
        <v>171.99</v>
      </c>
      <c r="O24" s="228">
        <v>170.07</v>
      </c>
      <c r="P24" s="228">
        <v>1.92</v>
      </c>
      <c r="Q24" s="229">
        <v>1.1299999999999999E-2</v>
      </c>
      <c r="R24" s="228">
        <v>172.98</v>
      </c>
      <c r="S24" s="228">
        <v>170.95</v>
      </c>
      <c r="T24" s="228">
        <v>2.0299999999999998</v>
      </c>
      <c r="U24" s="229">
        <v>1.1900000000000001E-2</v>
      </c>
      <c r="V24" s="228">
        <v>174.07</v>
      </c>
      <c r="W24" s="228">
        <v>172.03</v>
      </c>
      <c r="X24" s="228">
        <v>2.04</v>
      </c>
      <c r="Y24" s="229">
        <v>1.1900000000000001E-2</v>
      </c>
      <c r="Z24" s="228">
        <v>-0.05</v>
      </c>
      <c r="AA24" s="228">
        <v>7.0000000000000007E-2</v>
      </c>
      <c r="AB24" s="228">
        <v>-0.12</v>
      </c>
      <c r="AC24" s="229">
        <v>-2.9999999999999997E-4</v>
      </c>
      <c r="AD24" s="228">
        <v>-0.05</v>
      </c>
      <c r="AE24" s="228">
        <v>7.0000000000000007E-2</v>
      </c>
      <c r="AF24" s="228">
        <v>-0.12</v>
      </c>
      <c r="AG24" s="229">
        <v>-2.9999999999999997E-4</v>
      </c>
      <c r="AH24" s="228">
        <v>0.94</v>
      </c>
      <c r="AI24" s="228">
        <v>0.95</v>
      </c>
      <c r="AJ24" s="228">
        <v>-0.01</v>
      </c>
      <c r="AK24" s="229">
        <v>5.4999999999999997E-3</v>
      </c>
      <c r="AL24" s="228">
        <v>2.0299999999999998</v>
      </c>
      <c r="AM24" s="228">
        <v>2.0299999999999998</v>
      </c>
      <c r="AN24" s="228">
        <v>0</v>
      </c>
      <c r="AO24" s="229">
        <v>1.18E-2</v>
      </c>
      <c r="AP24" s="228">
        <v>172.42</v>
      </c>
      <c r="AQ24" s="228">
        <v>173.34</v>
      </c>
      <c r="AR24" s="228">
        <v>0</v>
      </c>
      <c r="AS24" s="230">
        <v>1127</v>
      </c>
      <c r="AT24" s="230">
        <v>1072</v>
      </c>
      <c r="AU24" s="228">
        <v>54</v>
      </c>
      <c r="AV24" s="229">
        <v>5.0599999999999999E-2</v>
      </c>
      <c r="AW24" s="228">
        <v>522</v>
      </c>
      <c r="AX24" s="228">
        <v>536</v>
      </c>
      <c r="AY24" s="228">
        <v>-14</v>
      </c>
      <c r="AZ24" s="229">
        <v>-2.5399999999999999E-2</v>
      </c>
      <c r="BA24" s="228">
        <v>594</v>
      </c>
      <c r="BB24" s="228">
        <v>529</v>
      </c>
      <c r="BC24" s="228">
        <v>65</v>
      </c>
      <c r="BD24" s="229">
        <v>0.1225</v>
      </c>
      <c r="BE24" s="228">
        <v>11</v>
      </c>
      <c r="BF24" s="228">
        <v>8</v>
      </c>
      <c r="BG24" s="228">
        <v>3</v>
      </c>
      <c r="BH24" s="229">
        <v>0.41460000000000002</v>
      </c>
      <c r="BI24" s="228">
        <v>656</v>
      </c>
      <c r="BJ24" s="228">
        <v>934</v>
      </c>
      <c r="BK24" s="228">
        <v>-278</v>
      </c>
      <c r="BL24" s="229">
        <v>-0.29730000000000001</v>
      </c>
      <c r="BM24" s="228">
        <v>464</v>
      </c>
      <c r="BN24" s="228">
        <v>433</v>
      </c>
      <c r="BO24" s="228">
        <v>30</v>
      </c>
      <c r="BP24" s="229">
        <v>7.0300000000000001E-2</v>
      </c>
      <c r="BQ24" s="230">
        <v>2246</v>
      </c>
      <c r="BR24" s="230">
        <v>2439</v>
      </c>
      <c r="BS24" s="228">
        <v>-193</v>
      </c>
      <c r="BT24" s="229">
        <v>-7.9100000000000004E-2</v>
      </c>
      <c r="BU24" s="230">
        <v>7001317</v>
      </c>
      <c r="BV24" s="230">
        <v>8972066</v>
      </c>
      <c r="BW24" s="230">
        <v>-1970749</v>
      </c>
      <c r="BX24" s="229">
        <v>-0.21970000000000001</v>
      </c>
      <c r="BY24" s="230">
        <v>1786</v>
      </c>
      <c r="BZ24" s="230">
        <v>1802</v>
      </c>
      <c r="CA24" s="228">
        <v>-16</v>
      </c>
      <c r="CB24" s="229">
        <v>-8.6999999999999994E-3</v>
      </c>
      <c r="CC24" s="228">
        <v>299</v>
      </c>
      <c r="CD24" s="228">
        <v>657</v>
      </c>
      <c r="CE24" s="228">
        <v>-358</v>
      </c>
      <c r="CF24" s="229">
        <v>-0.54530000000000001</v>
      </c>
      <c r="CG24" s="230">
        <v>1453</v>
      </c>
      <c r="CH24" s="230">
        <v>1115</v>
      </c>
      <c r="CI24" s="228">
        <v>338</v>
      </c>
      <c r="CJ24" s="229">
        <v>0.30299999999999999</v>
      </c>
      <c r="CK24" s="228">
        <v>34</v>
      </c>
      <c r="CL24" s="228">
        <v>29</v>
      </c>
      <c r="CM24" s="228">
        <v>5</v>
      </c>
      <c r="CN24" s="229">
        <v>0.161</v>
      </c>
      <c r="CO24" s="228">
        <v>644</v>
      </c>
      <c r="CP24" s="228">
        <v>647</v>
      </c>
      <c r="CQ24" s="228">
        <v>-2</v>
      </c>
      <c r="CR24" s="229">
        <v>-3.5000000000000001E-3</v>
      </c>
      <c r="CS24" s="228">
        <v>626</v>
      </c>
      <c r="CT24" s="228">
        <v>617</v>
      </c>
      <c r="CU24" s="228">
        <v>10</v>
      </c>
      <c r="CV24" s="229">
        <v>1.5699999999999999E-2</v>
      </c>
      <c r="CW24" s="230">
        <v>3057</v>
      </c>
      <c r="CX24" s="230">
        <v>3065</v>
      </c>
      <c r="CY24" s="228">
        <v>-8</v>
      </c>
      <c r="CZ24" s="229">
        <v>-2.7000000000000001E-3</v>
      </c>
      <c r="DA24" s="228">
        <v>36.46</v>
      </c>
      <c r="DB24" s="228">
        <v>36.17</v>
      </c>
      <c r="DC24" s="228">
        <v>0.28999999999999998</v>
      </c>
      <c r="DD24" s="228">
        <v>0.28999999999999998</v>
      </c>
      <c r="DE24" s="228">
        <v>41.98</v>
      </c>
      <c r="DF24" s="228">
        <v>42.06</v>
      </c>
      <c r="DG24" s="228">
        <v>-5.52</v>
      </c>
      <c r="DH24" s="228">
        <v>-0.08</v>
      </c>
      <c r="DI24" s="228">
        <v>36.42</v>
      </c>
      <c r="DJ24" s="228">
        <v>36.1</v>
      </c>
      <c r="DK24" s="228">
        <v>0.32</v>
      </c>
      <c r="DL24" s="228">
        <v>0.32</v>
      </c>
      <c r="DM24" s="228">
        <v>36.520000000000003</v>
      </c>
      <c r="DN24" s="228">
        <v>36.29</v>
      </c>
      <c r="DO24" s="228">
        <v>0.23</v>
      </c>
      <c r="DP24" s="228">
        <v>0.23</v>
      </c>
      <c r="DQ24" s="228">
        <v>0.97</v>
      </c>
      <c r="DR24" s="228">
        <v>0.95</v>
      </c>
      <c r="DS24" s="228">
        <v>0.02</v>
      </c>
      <c r="DT24" s="229">
        <v>2.1100000000000001E-2</v>
      </c>
      <c r="DU24" s="228">
        <v>170</v>
      </c>
      <c r="DV24" s="228">
        <v>150</v>
      </c>
      <c r="DW24" s="228">
        <v>0.71</v>
      </c>
      <c r="DX24" s="228">
        <v>0.46</v>
      </c>
      <c r="DY24" s="228">
        <v>0.25</v>
      </c>
      <c r="DZ24" s="229">
        <v>0.54349999999999998</v>
      </c>
      <c r="EA24" s="229">
        <v>0.8327</v>
      </c>
      <c r="EB24" s="230">
        <v>66553200</v>
      </c>
      <c r="EC24" s="229">
        <v>5.7999999999999996E-3</v>
      </c>
      <c r="ED24" s="229">
        <v>0.8327</v>
      </c>
      <c r="EE24" s="228">
        <v>0.92</v>
      </c>
      <c r="EF24" s="229">
        <v>5.3E-3</v>
      </c>
      <c r="EG24" s="230">
        <v>3722614</v>
      </c>
      <c r="EH24" s="230">
        <v>4214996</v>
      </c>
      <c r="EI24" s="229">
        <v>-0.1168</v>
      </c>
      <c r="EJ24" s="229">
        <v>0.53169999999999995</v>
      </c>
      <c r="EK24" s="228">
        <v>685.21</v>
      </c>
      <c r="EL24" s="228">
        <v>457.71</v>
      </c>
      <c r="EM24" s="231">
        <v>1132.72</v>
      </c>
      <c r="EN24" s="228">
        <v>133.46</v>
      </c>
      <c r="EO24" s="231">
        <v>2275.64</v>
      </c>
      <c r="EP24" s="231">
        <v>2464.16</v>
      </c>
      <c r="EQ24" s="228">
        <v>-188.52</v>
      </c>
      <c r="ER24" s="229">
        <v>-7.6499999999999999E-2</v>
      </c>
      <c r="ES24" s="228">
        <v>655.96</v>
      </c>
      <c r="ET24" s="228">
        <v>588.52</v>
      </c>
      <c r="EU24" s="231">
        <v>1795.06</v>
      </c>
      <c r="EV24" s="231">
        <v>142752962</v>
      </c>
      <c r="EW24" s="231">
        <v>3039.54</v>
      </c>
      <c r="EX24" s="231">
        <v>3019.63</v>
      </c>
      <c r="EY24" s="228">
        <v>19.91</v>
      </c>
      <c r="EZ24" s="229">
        <v>6.6E-3</v>
      </c>
      <c r="FA24" s="229">
        <v>1.2452000000000001</v>
      </c>
      <c r="FB24" s="227" t="s">
        <v>556</v>
      </c>
      <c r="FC24">
        <f t="shared" si="0"/>
        <v>1487</v>
      </c>
    </row>
    <row r="25" spans="1:159" ht="17.25" thickBot="1" x14ac:dyDescent="0.3">
      <c r="A25" s="226">
        <v>45957</v>
      </c>
      <c r="B25" s="227" t="s">
        <v>172</v>
      </c>
      <c r="C25" s="227" t="s">
        <v>180</v>
      </c>
      <c r="D25" s="228">
        <v>2925</v>
      </c>
      <c r="E25" s="228">
        <v>1</v>
      </c>
      <c r="F25" s="228">
        <v>273.2</v>
      </c>
      <c r="G25" s="228">
        <v>266.14999999999998</v>
      </c>
      <c r="H25" s="228">
        <v>7.05</v>
      </c>
      <c r="I25" s="229">
        <v>2.6499999999999999E-2</v>
      </c>
      <c r="J25" s="228">
        <v>273.64999999999998</v>
      </c>
      <c r="K25" s="228">
        <v>266.2</v>
      </c>
      <c r="L25" s="228">
        <v>7.45</v>
      </c>
      <c r="M25" s="229">
        <v>2.8000000000000001E-2</v>
      </c>
      <c r="N25" s="228">
        <v>273.2</v>
      </c>
      <c r="O25" s="228">
        <v>266.14999999999998</v>
      </c>
      <c r="P25" s="228">
        <v>7.05</v>
      </c>
      <c r="Q25" s="229">
        <v>2.6499999999999999E-2</v>
      </c>
      <c r="R25" s="228">
        <v>275.2</v>
      </c>
      <c r="S25" s="228">
        <v>267.7</v>
      </c>
      <c r="T25" s="228">
        <v>7.5</v>
      </c>
      <c r="U25" s="229">
        <v>2.8000000000000001E-2</v>
      </c>
      <c r="V25" s="228">
        <v>276.75</v>
      </c>
      <c r="W25" s="228">
        <v>269.64999999999998</v>
      </c>
      <c r="X25" s="228">
        <v>7.1</v>
      </c>
      <c r="Y25" s="229">
        <v>2.63E-2</v>
      </c>
      <c r="Z25" s="228">
        <v>-0.45</v>
      </c>
      <c r="AA25" s="228">
        <v>-0.05</v>
      </c>
      <c r="AB25" s="228">
        <v>-0.4</v>
      </c>
      <c r="AC25" s="229">
        <v>-1.6000000000000001E-3</v>
      </c>
      <c r="AD25" s="228">
        <v>-0.45</v>
      </c>
      <c r="AE25" s="228">
        <v>-0.05</v>
      </c>
      <c r="AF25" s="228">
        <v>-0.4</v>
      </c>
      <c r="AG25" s="229">
        <v>-1.6000000000000001E-3</v>
      </c>
      <c r="AH25" s="228">
        <v>1.55</v>
      </c>
      <c r="AI25" s="228">
        <v>1.5</v>
      </c>
      <c r="AJ25" s="228">
        <v>0.05</v>
      </c>
      <c r="AK25" s="229">
        <v>5.7000000000000002E-3</v>
      </c>
      <c r="AL25" s="228">
        <v>3.1</v>
      </c>
      <c r="AM25" s="228">
        <v>3.45</v>
      </c>
      <c r="AN25" s="228">
        <v>-0.35</v>
      </c>
      <c r="AO25" s="229">
        <v>1.1299999999999999E-2</v>
      </c>
      <c r="AP25" s="228">
        <v>270.56</v>
      </c>
      <c r="AQ25" s="228">
        <v>272.45</v>
      </c>
      <c r="AR25" s="228">
        <v>0</v>
      </c>
      <c r="AS25" s="230">
        <v>2158</v>
      </c>
      <c r="AT25" s="230">
        <v>2603</v>
      </c>
      <c r="AU25" s="228">
        <v>-446</v>
      </c>
      <c r="AV25" s="229">
        <v>-0.17119999999999999</v>
      </c>
      <c r="AW25" s="230">
        <v>1001</v>
      </c>
      <c r="AX25" s="230">
        <v>1325</v>
      </c>
      <c r="AY25" s="228">
        <v>-324</v>
      </c>
      <c r="AZ25" s="229">
        <v>-0.24440000000000001</v>
      </c>
      <c r="BA25" s="230">
        <v>1146</v>
      </c>
      <c r="BB25" s="230">
        <v>1273</v>
      </c>
      <c r="BC25" s="228">
        <v>-127</v>
      </c>
      <c r="BD25" s="229">
        <v>-9.9500000000000005E-2</v>
      </c>
      <c r="BE25" s="228">
        <v>10</v>
      </c>
      <c r="BF25" s="228">
        <v>5</v>
      </c>
      <c r="BG25" s="228">
        <v>5</v>
      </c>
      <c r="BH25" s="229">
        <v>0.9375</v>
      </c>
      <c r="BI25" s="230">
        <v>2610</v>
      </c>
      <c r="BJ25" s="230">
        <v>1860</v>
      </c>
      <c r="BK25" s="228">
        <v>750</v>
      </c>
      <c r="BL25" s="229">
        <v>0.40339999999999998</v>
      </c>
      <c r="BM25" s="230">
        <v>1252</v>
      </c>
      <c r="BN25" s="228">
        <v>929</v>
      </c>
      <c r="BO25" s="228">
        <v>323</v>
      </c>
      <c r="BP25" s="229">
        <v>0.34739999999999999</v>
      </c>
      <c r="BQ25" s="230">
        <v>6019</v>
      </c>
      <c r="BR25" s="230">
        <v>5392</v>
      </c>
      <c r="BS25" s="228">
        <v>627</v>
      </c>
      <c r="BT25" s="229">
        <v>0.1163</v>
      </c>
      <c r="BU25" s="230">
        <v>12471904</v>
      </c>
      <c r="BV25" s="230">
        <v>6766942</v>
      </c>
      <c r="BW25" s="230">
        <v>5704962</v>
      </c>
      <c r="BX25" s="229">
        <v>0.84309999999999996</v>
      </c>
      <c r="BY25" s="230">
        <v>3482</v>
      </c>
      <c r="BZ25" s="230">
        <v>3416</v>
      </c>
      <c r="CA25" s="228">
        <v>66</v>
      </c>
      <c r="CB25" s="229">
        <v>1.9300000000000001E-2</v>
      </c>
      <c r="CC25" s="228">
        <v>575</v>
      </c>
      <c r="CD25" s="230">
        <v>1255</v>
      </c>
      <c r="CE25" s="228">
        <v>-681</v>
      </c>
      <c r="CF25" s="229">
        <v>-0.54210000000000003</v>
      </c>
      <c r="CG25" s="230">
        <v>2891</v>
      </c>
      <c r="CH25" s="230">
        <v>2147</v>
      </c>
      <c r="CI25" s="228">
        <v>745</v>
      </c>
      <c r="CJ25" s="229">
        <v>0.34689999999999999</v>
      </c>
      <c r="CK25" s="228">
        <v>16</v>
      </c>
      <c r="CL25" s="228">
        <v>14</v>
      </c>
      <c r="CM25" s="228">
        <v>2</v>
      </c>
      <c r="CN25" s="229">
        <v>0.12920000000000001</v>
      </c>
      <c r="CO25" s="230">
        <v>1275</v>
      </c>
      <c r="CP25" s="230">
        <v>1388</v>
      </c>
      <c r="CQ25" s="228">
        <v>-114</v>
      </c>
      <c r="CR25" s="229">
        <v>-8.1799999999999998E-2</v>
      </c>
      <c r="CS25" s="230">
        <v>1090</v>
      </c>
      <c r="CT25" s="228">
        <v>996</v>
      </c>
      <c r="CU25" s="228">
        <v>93</v>
      </c>
      <c r="CV25" s="229">
        <v>9.35E-2</v>
      </c>
      <c r="CW25" s="230">
        <v>5846</v>
      </c>
      <c r="CX25" s="230">
        <v>5801</v>
      </c>
      <c r="CY25" s="228">
        <v>46</v>
      </c>
      <c r="CZ25" s="229">
        <v>7.9000000000000008E-3</v>
      </c>
      <c r="DA25" s="228">
        <v>27.53</v>
      </c>
      <c r="DB25" s="228">
        <v>25.78</v>
      </c>
      <c r="DC25" s="228">
        <v>1.75</v>
      </c>
      <c r="DD25" s="228">
        <v>1.75</v>
      </c>
      <c r="DE25" s="228">
        <v>35.22</v>
      </c>
      <c r="DF25" s="228">
        <v>35.130000000000003</v>
      </c>
      <c r="DG25" s="228">
        <v>-7.69</v>
      </c>
      <c r="DH25" s="228">
        <v>0.09</v>
      </c>
      <c r="DI25" s="228">
        <v>27.48</v>
      </c>
      <c r="DJ25" s="228">
        <v>26.09</v>
      </c>
      <c r="DK25" s="228">
        <v>1.39</v>
      </c>
      <c r="DL25" s="228">
        <v>1.39</v>
      </c>
      <c r="DM25" s="228">
        <v>27.62</v>
      </c>
      <c r="DN25" s="228">
        <v>25.28</v>
      </c>
      <c r="DO25" s="228">
        <v>2.34</v>
      </c>
      <c r="DP25" s="228">
        <v>2.34</v>
      </c>
      <c r="DQ25" s="228">
        <v>0.85</v>
      </c>
      <c r="DR25" s="228">
        <v>0.72</v>
      </c>
      <c r="DS25" s="228">
        <v>0.13</v>
      </c>
      <c r="DT25" s="229">
        <v>0.18060000000000001</v>
      </c>
      <c r="DU25" s="228">
        <v>280</v>
      </c>
      <c r="DV25" s="228">
        <v>250</v>
      </c>
      <c r="DW25" s="228">
        <v>0.48</v>
      </c>
      <c r="DX25" s="228">
        <v>0.5</v>
      </c>
      <c r="DY25" s="228">
        <v>-0.02</v>
      </c>
      <c r="DZ25" s="229">
        <v>-0.04</v>
      </c>
      <c r="EA25" s="229">
        <v>0.83489999999999998</v>
      </c>
      <c r="EB25" s="230">
        <v>79094925</v>
      </c>
      <c r="EC25" s="229">
        <v>7.3000000000000001E-3</v>
      </c>
      <c r="ED25" s="229">
        <v>0.83489999999999998</v>
      </c>
      <c r="EE25" s="228">
        <v>1.89</v>
      </c>
      <c r="EF25" s="229">
        <v>7.0000000000000001E-3</v>
      </c>
      <c r="EG25" s="230">
        <v>7481664</v>
      </c>
      <c r="EH25" s="230">
        <v>3786410</v>
      </c>
      <c r="EI25" s="229">
        <v>0.97589999999999999</v>
      </c>
      <c r="EJ25" s="229">
        <v>0.59989999999999999</v>
      </c>
      <c r="EK25" s="231">
        <v>2662.65</v>
      </c>
      <c r="EL25" s="231">
        <v>1237.8399999999999</v>
      </c>
      <c r="EM25" s="231">
        <v>2144.83</v>
      </c>
      <c r="EN25" s="228">
        <v>182.95</v>
      </c>
      <c r="EO25" s="231">
        <v>6045.32</v>
      </c>
      <c r="EP25" s="231">
        <v>5331.78</v>
      </c>
      <c r="EQ25" s="228">
        <v>713.54</v>
      </c>
      <c r="ER25" s="229">
        <v>0.1338</v>
      </c>
      <c r="ES25" s="231">
        <v>1281.26</v>
      </c>
      <c r="ET25" s="231">
        <v>1040.51</v>
      </c>
      <c r="EU25" s="231">
        <v>3503.66</v>
      </c>
      <c r="EV25" s="231">
        <v>257509827</v>
      </c>
      <c r="EW25" s="231">
        <v>5825.43</v>
      </c>
      <c r="EX25" s="231">
        <v>5675.58</v>
      </c>
      <c r="EY25" s="228">
        <v>149.85</v>
      </c>
      <c r="EZ25" s="229">
        <v>2.64E-2</v>
      </c>
      <c r="FA25" s="229">
        <v>0.83099999999999996</v>
      </c>
      <c r="FB25" s="227" t="s">
        <v>555</v>
      </c>
      <c r="FC25">
        <f t="shared" si="0"/>
        <v>2907</v>
      </c>
    </row>
    <row r="26" spans="1:159" ht="17.25" thickBot="1" x14ac:dyDescent="0.3">
      <c r="A26" s="226">
        <v>45957</v>
      </c>
      <c r="B26" s="227" t="s">
        <v>172</v>
      </c>
      <c r="C26" s="227" t="s">
        <v>602</v>
      </c>
      <c r="D26" s="228">
        <v>5200</v>
      </c>
      <c r="E26" s="228">
        <v>1</v>
      </c>
      <c r="F26" s="228">
        <v>139.86000000000001</v>
      </c>
      <c r="G26" s="228">
        <v>133.75</v>
      </c>
      <c r="H26" s="228">
        <v>6.11</v>
      </c>
      <c r="I26" s="229">
        <v>4.5699999999999998E-2</v>
      </c>
      <c r="J26" s="228">
        <v>139.71</v>
      </c>
      <c r="K26" s="228">
        <v>133.9</v>
      </c>
      <c r="L26" s="228">
        <v>5.81</v>
      </c>
      <c r="M26" s="229">
        <v>4.3400000000000001E-2</v>
      </c>
      <c r="N26" s="228">
        <v>139.86000000000001</v>
      </c>
      <c r="O26" s="228">
        <v>133.75</v>
      </c>
      <c r="P26" s="228">
        <v>6.11</v>
      </c>
      <c r="Q26" s="229">
        <v>4.5699999999999998E-2</v>
      </c>
      <c r="R26" s="228">
        <v>140.94999999999999</v>
      </c>
      <c r="S26" s="228">
        <v>134.53</v>
      </c>
      <c r="T26" s="228">
        <v>6.42</v>
      </c>
      <c r="U26" s="229">
        <v>4.7699999999999999E-2</v>
      </c>
      <c r="V26" s="228">
        <v>141.86000000000001</v>
      </c>
      <c r="W26" s="228">
        <v>135.36000000000001</v>
      </c>
      <c r="X26" s="228">
        <v>6.5</v>
      </c>
      <c r="Y26" s="229">
        <v>4.8000000000000001E-2</v>
      </c>
      <c r="Z26" s="228">
        <v>0.15</v>
      </c>
      <c r="AA26" s="228">
        <v>-0.15</v>
      </c>
      <c r="AB26" s="228">
        <v>0.3</v>
      </c>
      <c r="AC26" s="229">
        <v>1.1000000000000001E-3</v>
      </c>
      <c r="AD26" s="228">
        <v>0.15</v>
      </c>
      <c r="AE26" s="228">
        <v>-0.15</v>
      </c>
      <c r="AF26" s="228">
        <v>0.3</v>
      </c>
      <c r="AG26" s="229">
        <v>1.1000000000000001E-3</v>
      </c>
      <c r="AH26" s="228">
        <v>1.24</v>
      </c>
      <c r="AI26" s="228">
        <v>0.63</v>
      </c>
      <c r="AJ26" s="228">
        <v>0.61</v>
      </c>
      <c r="AK26" s="229">
        <v>8.8999999999999999E-3</v>
      </c>
      <c r="AL26" s="228">
        <v>2.15</v>
      </c>
      <c r="AM26" s="228">
        <v>1.46</v>
      </c>
      <c r="AN26" s="228">
        <v>0.69</v>
      </c>
      <c r="AO26" s="229">
        <v>1.54E-2</v>
      </c>
      <c r="AP26" s="228">
        <v>137.97999999999999</v>
      </c>
      <c r="AQ26" s="228">
        <v>139.03</v>
      </c>
      <c r="AR26" s="228">
        <v>0</v>
      </c>
      <c r="AS26" s="228">
        <v>839</v>
      </c>
      <c r="AT26" s="228">
        <v>701</v>
      </c>
      <c r="AU26" s="228">
        <v>138</v>
      </c>
      <c r="AV26" s="229">
        <v>0.19719999999999999</v>
      </c>
      <c r="AW26" s="228">
        <v>350</v>
      </c>
      <c r="AX26" s="228">
        <v>348</v>
      </c>
      <c r="AY26" s="228">
        <v>2</v>
      </c>
      <c r="AZ26" s="229">
        <v>6.7000000000000002E-3</v>
      </c>
      <c r="BA26" s="228">
        <v>474</v>
      </c>
      <c r="BB26" s="228">
        <v>349</v>
      </c>
      <c r="BC26" s="228">
        <v>126</v>
      </c>
      <c r="BD26" s="229">
        <v>0.36030000000000001</v>
      </c>
      <c r="BE26" s="228">
        <v>15</v>
      </c>
      <c r="BF26" s="228">
        <v>5</v>
      </c>
      <c r="BG26" s="228">
        <v>10</v>
      </c>
      <c r="BH26" s="229">
        <v>2.254</v>
      </c>
      <c r="BI26" s="230">
        <v>1259</v>
      </c>
      <c r="BJ26" s="228">
        <v>440</v>
      </c>
      <c r="BK26" s="228">
        <v>818</v>
      </c>
      <c r="BL26" s="229">
        <v>1.8576999999999999</v>
      </c>
      <c r="BM26" s="228">
        <v>405</v>
      </c>
      <c r="BN26" s="228">
        <v>325</v>
      </c>
      <c r="BO26" s="228">
        <v>80</v>
      </c>
      <c r="BP26" s="229">
        <v>0.24590000000000001</v>
      </c>
      <c r="BQ26" s="230">
        <v>2503</v>
      </c>
      <c r="BR26" s="230">
        <v>1466</v>
      </c>
      <c r="BS26" s="230">
        <v>1036</v>
      </c>
      <c r="BT26" s="229">
        <v>0.70669999999999999</v>
      </c>
      <c r="BU26" s="230">
        <v>28221699</v>
      </c>
      <c r="BV26" s="230">
        <v>8642467</v>
      </c>
      <c r="BW26" s="230">
        <v>19579232</v>
      </c>
      <c r="BX26" s="229">
        <v>2.2654999999999998</v>
      </c>
      <c r="BY26" s="228">
        <v>965</v>
      </c>
      <c r="BZ26" s="228">
        <v>960</v>
      </c>
      <c r="CA26" s="228">
        <v>5</v>
      </c>
      <c r="CB26" s="229">
        <v>5.4999999999999997E-3</v>
      </c>
      <c r="CC26" s="228">
        <v>120</v>
      </c>
      <c r="CD26" s="228">
        <v>316</v>
      </c>
      <c r="CE26" s="228">
        <v>-196</v>
      </c>
      <c r="CF26" s="229">
        <v>-0.62080000000000002</v>
      </c>
      <c r="CG26" s="228">
        <v>833</v>
      </c>
      <c r="CH26" s="228">
        <v>634</v>
      </c>
      <c r="CI26" s="228">
        <v>199</v>
      </c>
      <c r="CJ26" s="229">
        <v>0.31330000000000002</v>
      </c>
      <c r="CK26" s="228">
        <v>13</v>
      </c>
      <c r="CL26" s="228">
        <v>10</v>
      </c>
      <c r="CM26" s="228">
        <v>3</v>
      </c>
      <c r="CN26" s="229">
        <v>0.30830000000000002</v>
      </c>
      <c r="CO26" s="228">
        <v>406</v>
      </c>
      <c r="CP26" s="228">
        <v>374</v>
      </c>
      <c r="CQ26" s="228">
        <v>32</v>
      </c>
      <c r="CR26" s="229">
        <v>8.5000000000000006E-2</v>
      </c>
      <c r="CS26" s="228">
        <v>399</v>
      </c>
      <c r="CT26" s="228">
        <v>346</v>
      </c>
      <c r="CU26" s="228">
        <v>53</v>
      </c>
      <c r="CV26" s="229">
        <v>0.1545</v>
      </c>
      <c r="CW26" s="230">
        <v>1771</v>
      </c>
      <c r="CX26" s="230">
        <v>1680</v>
      </c>
      <c r="CY26" s="228">
        <v>90</v>
      </c>
      <c r="CZ26" s="229">
        <v>5.3900000000000003E-2</v>
      </c>
      <c r="DA26" s="228">
        <v>29.28</v>
      </c>
      <c r="DB26" s="228">
        <v>26.63</v>
      </c>
      <c r="DC26" s="228">
        <v>2.65</v>
      </c>
      <c r="DD26" s="228">
        <v>2.65</v>
      </c>
      <c r="DE26" s="228">
        <v>40.36</v>
      </c>
      <c r="DF26" s="228">
        <v>40</v>
      </c>
      <c r="DG26" s="228">
        <v>-11.08</v>
      </c>
      <c r="DH26" s="228">
        <v>0.36</v>
      </c>
      <c r="DI26" s="228">
        <v>29.2</v>
      </c>
      <c r="DJ26" s="228">
        <v>26.27</v>
      </c>
      <c r="DK26" s="228">
        <v>2.93</v>
      </c>
      <c r="DL26" s="228">
        <v>2.93</v>
      </c>
      <c r="DM26" s="228">
        <v>29.5</v>
      </c>
      <c r="DN26" s="228">
        <v>27.04</v>
      </c>
      <c r="DO26" s="228">
        <v>2.46</v>
      </c>
      <c r="DP26" s="228">
        <v>2.46</v>
      </c>
      <c r="DQ26" s="228">
        <v>0.98</v>
      </c>
      <c r="DR26" s="228">
        <v>0.93</v>
      </c>
      <c r="DS26" s="228">
        <v>0.05</v>
      </c>
      <c r="DT26" s="229">
        <v>5.3800000000000001E-2</v>
      </c>
      <c r="DU26" s="228">
        <v>130</v>
      </c>
      <c r="DV26" s="228">
        <v>117.5</v>
      </c>
      <c r="DW26" s="228">
        <v>0.32</v>
      </c>
      <c r="DX26" s="228">
        <v>0.74</v>
      </c>
      <c r="DY26" s="228">
        <v>-0.42</v>
      </c>
      <c r="DZ26" s="229">
        <v>-0.56759999999999999</v>
      </c>
      <c r="EA26" s="229">
        <v>0.87570000000000003</v>
      </c>
      <c r="EB26" s="230">
        <v>46030400</v>
      </c>
      <c r="EC26" s="229">
        <v>7.7999999999999996E-3</v>
      </c>
      <c r="ED26" s="229">
        <v>0.87570000000000003</v>
      </c>
      <c r="EE26" s="228">
        <v>1.05</v>
      </c>
      <c r="EF26" s="229">
        <v>7.6E-3</v>
      </c>
      <c r="EG26" s="230">
        <v>13178159</v>
      </c>
      <c r="EH26" s="230">
        <v>4446290</v>
      </c>
      <c r="EI26" s="229">
        <v>1.9639</v>
      </c>
      <c r="EJ26" s="229">
        <v>0.46700000000000003</v>
      </c>
      <c r="EK26" s="231">
        <v>1272.3800000000001</v>
      </c>
      <c r="EL26" s="228">
        <v>394.58</v>
      </c>
      <c r="EM26" s="228">
        <v>831.86</v>
      </c>
      <c r="EN26" s="228">
        <v>77.63</v>
      </c>
      <c r="EO26" s="231">
        <v>2498.8200000000002</v>
      </c>
      <c r="EP26" s="231">
        <v>1416.17</v>
      </c>
      <c r="EQ26" s="231">
        <v>1082.6500000000001</v>
      </c>
      <c r="ER26" s="229">
        <v>0.76449999999999996</v>
      </c>
      <c r="ES26" s="228">
        <v>391.55</v>
      </c>
      <c r="ET26" s="228">
        <v>358.16</v>
      </c>
      <c r="EU26" s="228">
        <v>972.12</v>
      </c>
      <c r="EV26" s="231">
        <v>181770921</v>
      </c>
      <c r="EW26" s="231">
        <v>1721.83</v>
      </c>
      <c r="EX26" s="231">
        <v>1584.21</v>
      </c>
      <c r="EY26" s="228">
        <v>137.62</v>
      </c>
      <c r="EZ26" s="229">
        <v>8.6900000000000005E-2</v>
      </c>
      <c r="FA26" s="229">
        <v>0.69640000000000002</v>
      </c>
      <c r="FB26" s="227" t="s">
        <v>555</v>
      </c>
      <c r="FC26">
        <f t="shared" si="0"/>
        <v>845</v>
      </c>
    </row>
    <row r="27" spans="1:159" ht="17.25" thickBot="1" x14ac:dyDescent="0.3">
      <c r="A27" s="226">
        <v>45957</v>
      </c>
      <c r="B27" s="227" t="s">
        <v>181</v>
      </c>
      <c r="C27" s="227" t="s">
        <v>182</v>
      </c>
      <c r="D27" s="228">
        <v>35</v>
      </c>
      <c r="E27" s="228">
        <v>1</v>
      </c>
      <c r="F27" s="231">
        <v>58183.199999999997</v>
      </c>
      <c r="G27" s="231">
        <v>57703.199999999997</v>
      </c>
      <c r="H27" s="228">
        <v>480</v>
      </c>
      <c r="I27" s="229">
        <v>8.3000000000000001E-3</v>
      </c>
      <c r="J27" s="231">
        <v>58114.25</v>
      </c>
      <c r="K27" s="231">
        <v>57699.6</v>
      </c>
      <c r="L27" s="228">
        <v>414.65</v>
      </c>
      <c r="M27" s="229">
        <v>7.1999999999999998E-3</v>
      </c>
      <c r="N27" s="231">
        <v>58183.199999999997</v>
      </c>
      <c r="O27" s="231">
        <v>57703.199999999997</v>
      </c>
      <c r="P27" s="228">
        <v>480</v>
      </c>
      <c r="Q27" s="229">
        <v>8.3000000000000001E-3</v>
      </c>
      <c r="R27" s="231">
        <v>58501.599999999999</v>
      </c>
      <c r="S27" s="231">
        <v>58000.800000000003</v>
      </c>
      <c r="T27" s="228">
        <v>500.8</v>
      </c>
      <c r="U27" s="229">
        <v>8.6E-3</v>
      </c>
      <c r="V27" s="231">
        <v>58810.2</v>
      </c>
      <c r="W27" s="231">
        <v>58330.8</v>
      </c>
      <c r="X27" s="228">
        <v>479.4</v>
      </c>
      <c r="Y27" s="229">
        <v>8.2000000000000007E-3</v>
      </c>
      <c r="Z27" s="228">
        <v>68.95</v>
      </c>
      <c r="AA27" s="228">
        <v>3.6</v>
      </c>
      <c r="AB27" s="228">
        <v>65.349999999999994</v>
      </c>
      <c r="AC27" s="229">
        <v>1.1999999999999999E-3</v>
      </c>
      <c r="AD27" s="228">
        <v>68.95</v>
      </c>
      <c r="AE27" s="228">
        <v>3.6</v>
      </c>
      <c r="AF27" s="228">
        <v>65.349999999999994</v>
      </c>
      <c r="AG27" s="229">
        <v>1.1999999999999999E-3</v>
      </c>
      <c r="AH27" s="228">
        <v>387.35</v>
      </c>
      <c r="AI27" s="228">
        <v>301.2</v>
      </c>
      <c r="AJ27" s="228">
        <v>86.15</v>
      </c>
      <c r="AK27" s="229">
        <v>6.7000000000000002E-3</v>
      </c>
      <c r="AL27" s="228">
        <v>695.95</v>
      </c>
      <c r="AM27" s="228">
        <v>631.20000000000005</v>
      </c>
      <c r="AN27" s="228">
        <v>64.75</v>
      </c>
      <c r="AO27" s="229">
        <v>1.2E-2</v>
      </c>
      <c r="AP27" s="231">
        <v>58114.879999999997</v>
      </c>
      <c r="AQ27" s="231">
        <v>58412.09</v>
      </c>
      <c r="AR27" s="228">
        <v>0</v>
      </c>
      <c r="AS27" s="230">
        <v>13199</v>
      </c>
      <c r="AT27" s="230">
        <v>12095</v>
      </c>
      <c r="AU27" s="230">
        <v>1104</v>
      </c>
      <c r="AV27" s="229">
        <v>9.1300000000000006E-2</v>
      </c>
      <c r="AW27" s="230">
        <v>6886</v>
      </c>
      <c r="AX27" s="230">
        <v>6973</v>
      </c>
      <c r="AY27" s="228">
        <v>-88</v>
      </c>
      <c r="AZ27" s="229">
        <v>-1.26E-2</v>
      </c>
      <c r="BA27" s="230">
        <v>6013</v>
      </c>
      <c r="BB27" s="230">
        <v>4720</v>
      </c>
      <c r="BC27" s="230">
        <v>1293</v>
      </c>
      <c r="BD27" s="229">
        <v>0.27379999999999999</v>
      </c>
      <c r="BE27" s="228">
        <v>300</v>
      </c>
      <c r="BF27" s="228">
        <v>401</v>
      </c>
      <c r="BG27" s="228">
        <v>-101</v>
      </c>
      <c r="BH27" s="229">
        <v>-0.2515</v>
      </c>
      <c r="BI27" s="230">
        <v>1937128</v>
      </c>
      <c r="BJ27" s="230">
        <v>1358732</v>
      </c>
      <c r="BK27" s="230">
        <v>578396</v>
      </c>
      <c r="BL27" s="229">
        <v>0.42570000000000002</v>
      </c>
      <c r="BM27" s="230">
        <v>1769548</v>
      </c>
      <c r="BN27" s="230">
        <v>1403331</v>
      </c>
      <c r="BO27" s="230">
        <v>366217</v>
      </c>
      <c r="BP27" s="229">
        <v>0.26100000000000001</v>
      </c>
      <c r="BQ27" s="230">
        <v>3719874</v>
      </c>
      <c r="BR27" s="230">
        <v>2774158</v>
      </c>
      <c r="BS27" s="230">
        <v>945716</v>
      </c>
      <c r="BT27" s="229">
        <v>0.34089999999999998</v>
      </c>
      <c r="BU27" s="228">
        <v>0</v>
      </c>
      <c r="BV27" s="228">
        <v>0</v>
      </c>
      <c r="BW27" s="228">
        <v>0</v>
      </c>
      <c r="BX27" s="229">
        <v>0</v>
      </c>
      <c r="BY27" s="230">
        <v>14013</v>
      </c>
      <c r="BZ27" s="230">
        <v>13083</v>
      </c>
      <c r="CA27" s="228">
        <v>930</v>
      </c>
      <c r="CB27" s="229">
        <v>7.1099999999999997E-2</v>
      </c>
      <c r="CC27" s="230">
        <v>5378</v>
      </c>
      <c r="CD27" s="230">
        <v>7504</v>
      </c>
      <c r="CE27" s="230">
        <v>-2126</v>
      </c>
      <c r="CF27" s="229">
        <v>-0.2833</v>
      </c>
      <c r="CG27" s="230">
        <v>7890</v>
      </c>
      <c r="CH27" s="230">
        <v>4904</v>
      </c>
      <c r="CI27" s="230">
        <v>2986</v>
      </c>
      <c r="CJ27" s="229">
        <v>0.6089</v>
      </c>
      <c r="CK27" s="228">
        <v>745</v>
      </c>
      <c r="CL27" s="228">
        <v>675</v>
      </c>
      <c r="CM27" s="228">
        <v>70</v>
      </c>
      <c r="CN27" s="229">
        <v>0.1032</v>
      </c>
      <c r="CO27" s="230">
        <v>164401</v>
      </c>
      <c r="CP27" s="230">
        <v>181126</v>
      </c>
      <c r="CQ27" s="230">
        <v>-16725</v>
      </c>
      <c r="CR27" s="229">
        <v>-9.2299999999999993E-2</v>
      </c>
      <c r="CS27" s="230">
        <v>178208</v>
      </c>
      <c r="CT27" s="230">
        <v>160251</v>
      </c>
      <c r="CU27" s="230">
        <v>17958</v>
      </c>
      <c r="CV27" s="229">
        <v>0.11210000000000001</v>
      </c>
      <c r="CW27" s="230">
        <v>356622</v>
      </c>
      <c r="CX27" s="230">
        <v>354460</v>
      </c>
      <c r="CY27" s="230">
        <v>2163</v>
      </c>
      <c r="CZ27" s="229">
        <v>6.1000000000000004E-3</v>
      </c>
      <c r="DA27" s="228">
        <v>12.09</v>
      </c>
      <c r="DB27" s="228">
        <v>11.46</v>
      </c>
      <c r="DC27" s="228">
        <v>0.63</v>
      </c>
      <c r="DD27" s="228">
        <v>0.63</v>
      </c>
      <c r="DE27" s="228">
        <v>17.05</v>
      </c>
      <c r="DF27" s="228">
        <v>17.07</v>
      </c>
      <c r="DG27" s="228">
        <v>-4.96</v>
      </c>
      <c r="DH27" s="228">
        <v>-0.02</v>
      </c>
      <c r="DI27" s="228">
        <v>11.37</v>
      </c>
      <c r="DJ27" s="228">
        <v>11.06</v>
      </c>
      <c r="DK27" s="228">
        <v>0.31</v>
      </c>
      <c r="DL27" s="228">
        <v>0.31</v>
      </c>
      <c r="DM27" s="228">
        <v>12.83</v>
      </c>
      <c r="DN27" s="228">
        <v>11.85</v>
      </c>
      <c r="DO27" s="228">
        <v>0.98</v>
      </c>
      <c r="DP27" s="228">
        <v>0.98</v>
      </c>
      <c r="DQ27" s="228">
        <v>1.08</v>
      </c>
      <c r="DR27" s="228">
        <v>0.88</v>
      </c>
      <c r="DS27" s="228">
        <v>0.2</v>
      </c>
      <c r="DT27" s="229">
        <v>0.2273</v>
      </c>
      <c r="DU27" s="231">
        <v>59000</v>
      </c>
      <c r="DV27" s="231">
        <v>58000</v>
      </c>
      <c r="DW27" s="228">
        <v>0.91</v>
      </c>
      <c r="DX27" s="228">
        <v>1.03</v>
      </c>
      <c r="DY27" s="228">
        <v>-0.12</v>
      </c>
      <c r="DZ27" s="229">
        <v>-0.11650000000000001</v>
      </c>
      <c r="EA27" s="229">
        <v>0.61619999999999997</v>
      </c>
      <c r="EB27" s="230">
        <v>958895</v>
      </c>
      <c r="EC27" s="229">
        <v>5.4999999999999997E-3</v>
      </c>
      <c r="ED27" s="229">
        <v>0.61619999999999997</v>
      </c>
      <c r="EE27" s="228">
        <v>297.20999999999998</v>
      </c>
      <c r="EF27" s="229">
        <v>5.1000000000000004E-3</v>
      </c>
      <c r="EG27" s="228">
        <v>0</v>
      </c>
      <c r="EH27" s="228">
        <v>0</v>
      </c>
      <c r="EI27" s="229">
        <v>0</v>
      </c>
      <c r="EJ27" s="229">
        <v>0</v>
      </c>
      <c r="EK27" s="231">
        <v>1956454.46</v>
      </c>
      <c r="EL27" s="231">
        <v>1747029.08</v>
      </c>
      <c r="EM27" s="231">
        <v>13216.82</v>
      </c>
      <c r="EN27" s="228">
        <v>0</v>
      </c>
      <c r="EO27" s="231">
        <v>3716700.37</v>
      </c>
      <c r="EP27" s="231">
        <v>2764525.04</v>
      </c>
      <c r="EQ27" s="231">
        <v>952175.33</v>
      </c>
      <c r="ER27" s="229">
        <v>0.34439999999999998</v>
      </c>
      <c r="ES27" s="231">
        <v>165802.34</v>
      </c>
      <c r="ET27" s="231">
        <v>171518.51</v>
      </c>
      <c r="EU27" s="231">
        <v>14063.75</v>
      </c>
      <c r="EV27" s="228">
        <v>0</v>
      </c>
      <c r="EW27" s="231">
        <v>351384.61</v>
      </c>
      <c r="EX27" s="231">
        <v>348678.62</v>
      </c>
      <c r="EY27" s="231">
        <v>2705.99</v>
      </c>
      <c r="EZ27" s="229">
        <v>7.7999999999999996E-3</v>
      </c>
      <c r="FA27" s="229">
        <v>0</v>
      </c>
      <c r="FB27" s="227" t="s">
        <v>555</v>
      </c>
      <c r="FC27">
        <f t="shared" si="0"/>
        <v>8635</v>
      </c>
    </row>
    <row r="28" spans="1:159" ht="17.25" thickBot="1" x14ac:dyDescent="0.3">
      <c r="A28" s="226">
        <v>45957</v>
      </c>
      <c r="B28" s="227" t="s">
        <v>184</v>
      </c>
      <c r="C28" s="227" t="s">
        <v>672</v>
      </c>
      <c r="D28" s="228">
        <v>325</v>
      </c>
      <c r="E28" s="228">
        <v>1</v>
      </c>
      <c r="F28" s="231">
        <v>1537.8</v>
      </c>
      <c r="G28" s="231">
        <v>1542.3</v>
      </c>
      <c r="H28" s="228">
        <v>-4.5</v>
      </c>
      <c r="I28" s="229">
        <v>-2.8999999999999998E-3</v>
      </c>
      <c r="J28" s="231">
        <v>1537.8</v>
      </c>
      <c r="K28" s="231">
        <v>1544</v>
      </c>
      <c r="L28" s="228">
        <v>-6.2</v>
      </c>
      <c r="M28" s="229">
        <v>-4.0000000000000001E-3</v>
      </c>
      <c r="N28" s="231">
        <v>1537.8</v>
      </c>
      <c r="O28" s="231">
        <v>1542.3</v>
      </c>
      <c r="P28" s="228">
        <v>-4.5</v>
      </c>
      <c r="Q28" s="229">
        <v>-2.8999999999999998E-3</v>
      </c>
      <c r="R28" s="231">
        <v>1546.6</v>
      </c>
      <c r="S28" s="231">
        <v>1548.1</v>
      </c>
      <c r="T28" s="228">
        <v>-1.5</v>
      </c>
      <c r="U28" s="229">
        <v>-1E-3</v>
      </c>
      <c r="V28" s="231">
        <v>1557</v>
      </c>
      <c r="W28" s="231">
        <v>1557.5</v>
      </c>
      <c r="X28" s="228">
        <v>-0.5</v>
      </c>
      <c r="Y28" s="229">
        <v>-2.9999999999999997E-4</v>
      </c>
      <c r="Z28" s="228">
        <v>0</v>
      </c>
      <c r="AA28" s="228">
        <v>-1.7</v>
      </c>
      <c r="AB28" s="228">
        <v>1.7</v>
      </c>
      <c r="AC28" s="229">
        <v>0</v>
      </c>
      <c r="AD28" s="228">
        <v>0</v>
      </c>
      <c r="AE28" s="228">
        <v>-1.7</v>
      </c>
      <c r="AF28" s="228">
        <v>1.7</v>
      </c>
      <c r="AG28" s="229">
        <v>0</v>
      </c>
      <c r="AH28" s="228">
        <v>8.8000000000000007</v>
      </c>
      <c r="AI28" s="228">
        <v>4.0999999999999996</v>
      </c>
      <c r="AJ28" s="228">
        <v>4.7</v>
      </c>
      <c r="AK28" s="229">
        <v>5.7000000000000002E-3</v>
      </c>
      <c r="AL28" s="228">
        <v>19.2</v>
      </c>
      <c r="AM28" s="228">
        <v>13.5</v>
      </c>
      <c r="AN28" s="228">
        <v>5.7</v>
      </c>
      <c r="AO28" s="229">
        <v>1.2500000000000001E-2</v>
      </c>
      <c r="AP28" s="231">
        <v>1544.49</v>
      </c>
      <c r="AQ28" s="231">
        <v>1553.58</v>
      </c>
      <c r="AR28" s="228">
        <v>0</v>
      </c>
      <c r="AS28" s="228">
        <v>530</v>
      </c>
      <c r="AT28" s="228">
        <v>832</v>
      </c>
      <c r="AU28" s="228">
        <v>-303</v>
      </c>
      <c r="AV28" s="229">
        <v>-0.36380000000000001</v>
      </c>
      <c r="AW28" s="228">
        <v>240</v>
      </c>
      <c r="AX28" s="228">
        <v>407</v>
      </c>
      <c r="AY28" s="228">
        <v>-167</v>
      </c>
      <c r="AZ28" s="229">
        <v>-0.41070000000000001</v>
      </c>
      <c r="BA28" s="228">
        <v>284</v>
      </c>
      <c r="BB28" s="228">
        <v>418</v>
      </c>
      <c r="BC28" s="228">
        <v>-134</v>
      </c>
      <c r="BD28" s="229">
        <v>-0.3201</v>
      </c>
      <c r="BE28" s="228">
        <v>6</v>
      </c>
      <c r="BF28" s="228">
        <v>8</v>
      </c>
      <c r="BG28" s="228">
        <v>-2</v>
      </c>
      <c r="BH28" s="229">
        <v>-0.25769999999999998</v>
      </c>
      <c r="BI28" s="228">
        <v>811</v>
      </c>
      <c r="BJ28" s="230">
        <v>2466</v>
      </c>
      <c r="BK28" s="230">
        <v>-1655</v>
      </c>
      <c r="BL28" s="229">
        <v>-0.67130000000000001</v>
      </c>
      <c r="BM28" s="228">
        <v>405</v>
      </c>
      <c r="BN28" s="228">
        <v>556</v>
      </c>
      <c r="BO28" s="228">
        <v>-151</v>
      </c>
      <c r="BP28" s="229">
        <v>-0.2712</v>
      </c>
      <c r="BQ28" s="230">
        <v>1746</v>
      </c>
      <c r="BR28" s="230">
        <v>3854</v>
      </c>
      <c r="BS28" s="230">
        <v>-2109</v>
      </c>
      <c r="BT28" s="229">
        <v>-0.54710000000000003</v>
      </c>
      <c r="BU28" s="230">
        <v>776718</v>
      </c>
      <c r="BV28" s="230">
        <v>2785867</v>
      </c>
      <c r="BW28" s="230">
        <v>-2009149</v>
      </c>
      <c r="BX28" s="229">
        <v>-0.72119999999999995</v>
      </c>
      <c r="BY28" s="228">
        <v>688</v>
      </c>
      <c r="BZ28" s="228">
        <v>744</v>
      </c>
      <c r="CA28" s="228">
        <v>-56</v>
      </c>
      <c r="CB28" s="229">
        <v>-7.5899999999999995E-2</v>
      </c>
      <c r="CC28" s="228">
        <v>146</v>
      </c>
      <c r="CD28" s="228">
        <v>303</v>
      </c>
      <c r="CE28" s="228">
        <v>-157</v>
      </c>
      <c r="CF28" s="229">
        <v>-0.51800000000000002</v>
      </c>
      <c r="CG28" s="228">
        <v>524</v>
      </c>
      <c r="CH28" s="228">
        <v>426</v>
      </c>
      <c r="CI28" s="228">
        <v>98</v>
      </c>
      <c r="CJ28" s="229">
        <v>0.23</v>
      </c>
      <c r="CK28" s="228">
        <v>18</v>
      </c>
      <c r="CL28" s="228">
        <v>16</v>
      </c>
      <c r="CM28" s="228">
        <v>2</v>
      </c>
      <c r="CN28" s="229">
        <v>0.15340000000000001</v>
      </c>
      <c r="CO28" s="228">
        <v>472</v>
      </c>
      <c r="CP28" s="228">
        <v>580</v>
      </c>
      <c r="CQ28" s="228">
        <v>-108</v>
      </c>
      <c r="CR28" s="229">
        <v>-0.1855</v>
      </c>
      <c r="CS28" s="228">
        <v>331</v>
      </c>
      <c r="CT28" s="228">
        <v>352</v>
      </c>
      <c r="CU28" s="228">
        <v>-21</v>
      </c>
      <c r="CV28" s="229">
        <v>-5.8700000000000002E-2</v>
      </c>
      <c r="CW28" s="230">
        <v>1491</v>
      </c>
      <c r="CX28" s="230">
        <v>1676</v>
      </c>
      <c r="CY28" s="228">
        <v>-185</v>
      </c>
      <c r="CZ28" s="229">
        <v>-0.11020000000000001</v>
      </c>
      <c r="DA28" s="228">
        <v>36.74</v>
      </c>
      <c r="DB28" s="228">
        <v>37.159999999999997</v>
      </c>
      <c r="DC28" s="228">
        <v>-0.42</v>
      </c>
      <c r="DD28" s="228">
        <v>-0.42</v>
      </c>
      <c r="DE28" s="228">
        <v>52.27</v>
      </c>
      <c r="DF28" s="228">
        <v>52.4</v>
      </c>
      <c r="DG28" s="228">
        <v>-15.53</v>
      </c>
      <c r="DH28" s="228">
        <v>-0.13</v>
      </c>
      <c r="DI28" s="228">
        <v>37</v>
      </c>
      <c r="DJ28" s="228">
        <v>37.380000000000003</v>
      </c>
      <c r="DK28" s="228">
        <v>-0.38</v>
      </c>
      <c r="DL28" s="228">
        <v>-0.38</v>
      </c>
      <c r="DM28" s="228">
        <v>36.26</v>
      </c>
      <c r="DN28" s="228">
        <v>36.5</v>
      </c>
      <c r="DO28" s="228">
        <v>-0.24</v>
      </c>
      <c r="DP28" s="228">
        <v>-0.24</v>
      </c>
      <c r="DQ28" s="228">
        <v>0.7</v>
      </c>
      <c r="DR28" s="228">
        <v>0.61</v>
      </c>
      <c r="DS28" s="228">
        <v>0.09</v>
      </c>
      <c r="DT28" s="229">
        <v>0.14749999999999999</v>
      </c>
      <c r="DU28" s="231">
        <v>1600</v>
      </c>
      <c r="DV28" s="231">
        <v>1400</v>
      </c>
      <c r="DW28" s="228">
        <v>0.5</v>
      </c>
      <c r="DX28" s="228">
        <v>0.23</v>
      </c>
      <c r="DY28" s="228">
        <v>0.27</v>
      </c>
      <c r="DZ28" s="229">
        <v>1.1738999999999999</v>
      </c>
      <c r="EA28" s="229">
        <v>0.78779999999999994</v>
      </c>
      <c r="EB28" s="230">
        <v>2871375</v>
      </c>
      <c r="EC28" s="229">
        <v>5.7000000000000002E-3</v>
      </c>
      <c r="ED28" s="229">
        <v>0.78779999999999994</v>
      </c>
      <c r="EE28" s="228">
        <v>9.09</v>
      </c>
      <c r="EF28" s="229">
        <v>5.8999999999999999E-3</v>
      </c>
      <c r="EG28" s="230">
        <v>243568</v>
      </c>
      <c r="EH28" s="230">
        <v>586603</v>
      </c>
      <c r="EI28" s="229">
        <v>-0.58479999999999999</v>
      </c>
      <c r="EJ28" s="229">
        <v>0.31359999999999999</v>
      </c>
      <c r="EK28" s="228">
        <v>844.44</v>
      </c>
      <c r="EL28" s="228">
        <v>402.53</v>
      </c>
      <c r="EM28" s="228">
        <v>533.72</v>
      </c>
      <c r="EN28" s="228">
        <v>72.72</v>
      </c>
      <c r="EO28" s="231">
        <v>1780.69</v>
      </c>
      <c r="EP28" s="231">
        <v>3973.71</v>
      </c>
      <c r="EQ28" s="231">
        <v>-2193.02</v>
      </c>
      <c r="ER28" s="229">
        <v>-0.55189999999999995</v>
      </c>
      <c r="ES28" s="228">
        <v>494.44</v>
      </c>
      <c r="ET28" s="228">
        <v>325.95</v>
      </c>
      <c r="EU28" s="228">
        <v>691.08</v>
      </c>
      <c r="EV28" s="231">
        <v>13786716</v>
      </c>
      <c r="EW28" s="231">
        <v>1511.46</v>
      </c>
      <c r="EX28" s="231">
        <v>1701.29</v>
      </c>
      <c r="EY28" s="228">
        <v>-189.83</v>
      </c>
      <c r="EZ28" s="229">
        <v>-0.1116</v>
      </c>
      <c r="FA28" s="229">
        <v>0.70320000000000005</v>
      </c>
      <c r="FB28" s="227" t="s">
        <v>568</v>
      </c>
      <c r="FC28">
        <f t="shared" si="0"/>
        <v>542</v>
      </c>
    </row>
    <row r="29" spans="1:159" s="195" customFormat="1" ht="17.25" thickBot="1" x14ac:dyDescent="0.3">
      <c r="A29" s="226">
        <v>45957</v>
      </c>
      <c r="B29" s="227" t="s">
        <v>184</v>
      </c>
      <c r="C29" s="227" t="s">
        <v>185</v>
      </c>
      <c r="D29" s="228">
        <v>2850</v>
      </c>
      <c r="E29" s="228">
        <v>1</v>
      </c>
      <c r="F29" s="228">
        <v>414.85</v>
      </c>
      <c r="G29" s="228">
        <v>421.55</v>
      </c>
      <c r="H29" s="228">
        <v>-6.7</v>
      </c>
      <c r="I29" s="229">
        <v>-1.5900000000000001E-2</v>
      </c>
      <c r="J29" s="228">
        <v>415.15</v>
      </c>
      <c r="K29" s="228">
        <v>422.05</v>
      </c>
      <c r="L29" s="228">
        <v>-6.9</v>
      </c>
      <c r="M29" s="229">
        <v>-1.6299999999999999E-2</v>
      </c>
      <c r="N29" s="228">
        <v>414.85</v>
      </c>
      <c r="O29" s="228">
        <v>421.55</v>
      </c>
      <c r="P29" s="228">
        <v>-6.7</v>
      </c>
      <c r="Q29" s="229">
        <v>-1.5900000000000001E-2</v>
      </c>
      <c r="R29" s="228">
        <v>417.1</v>
      </c>
      <c r="S29" s="228">
        <v>423.8</v>
      </c>
      <c r="T29" s="228">
        <v>-6.7</v>
      </c>
      <c r="U29" s="229">
        <v>-1.5800000000000002E-2</v>
      </c>
      <c r="V29" s="228">
        <v>419.95</v>
      </c>
      <c r="W29" s="228">
        <v>426.7</v>
      </c>
      <c r="X29" s="228">
        <v>-6.75</v>
      </c>
      <c r="Y29" s="229">
        <v>-1.5800000000000002E-2</v>
      </c>
      <c r="Z29" s="228">
        <v>-0.3</v>
      </c>
      <c r="AA29" s="228">
        <v>-0.5</v>
      </c>
      <c r="AB29" s="228">
        <v>0.2</v>
      </c>
      <c r="AC29" s="229">
        <v>-6.9999999999999999E-4</v>
      </c>
      <c r="AD29" s="228">
        <v>-0.3</v>
      </c>
      <c r="AE29" s="228">
        <v>-0.5</v>
      </c>
      <c r="AF29" s="228">
        <v>0.2</v>
      </c>
      <c r="AG29" s="229">
        <v>-6.9999999999999999E-4</v>
      </c>
      <c r="AH29" s="228">
        <v>1.95</v>
      </c>
      <c r="AI29" s="228">
        <v>1.75</v>
      </c>
      <c r="AJ29" s="228">
        <v>0.2</v>
      </c>
      <c r="AK29" s="229">
        <v>4.7000000000000002E-3</v>
      </c>
      <c r="AL29" s="228">
        <v>4.8</v>
      </c>
      <c r="AM29" s="228">
        <v>4.6500000000000004</v>
      </c>
      <c r="AN29" s="228">
        <v>0.15</v>
      </c>
      <c r="AO29" s="229">
        <v>1.1599999999999999E-2</v>
      </c>
      <c r="AP29" s="228">
        <v>416.27</v>
      </c>
      <c r="AQ29" s="228">
        <v>418.61</v>
      </c>
      <c r="AR29" s="228">
        <v>0</v>
      </c>
      <c r="AS29" s="230">
        <v>3248</v>
      </c>
      <c r="AT29" s="230">
        <v>3293</v>
      </c>
      <c r="AU29" s="228">
        <v>-45</v>
      </c>
      <c r="AV29" s="229">
        <v>-1.37E-2</v>
      </c>
      <c r="AW29" s="230">
        <v>1415</v>
      </c>
      <c r="AX29" s="230">
        <v>1658</v>
      </c>
      <c r="AY29" s="228">
        <v>-243</v>
      </c>
      <c r="AZ29" s="229">
        <v>-0.1467</v>
      </c>
      <c r="BA29" s="230">
        <v>1766</v>
      </c>
      <c r="BB29" s="230">
        <v>1600</v>
      </c>
      <c r="BC29" s="228">
        <v>166</v>
      </c>
      <c r="BD29" s="229">
        <v>0.104</v>
      </c>
      <c r="BE29" s="228">
        <v>67</v>
      </c>
      <c r="BF29" s="228">
        <v>35</v>
      </c>
      <c r="BG29" s="228">
        <v>32</v>
      </c>
      <c r="BH29" s="229">
        <v>0.90910000000000002</v>
      </c>
      <c r="BI29" s="230">
        <v>4839</v>
      </c>
      <c r="BJ29" s="230">
        <v>5432</v>
      </c>
      <c r="BK29" s="228">
        <v>-593</v>
      </c>
      <c r="BL29" s="229">
        <v>-0.1091</v>
      </c>
      <c r="BM29" s="230">
        <v>2361</v>
      </c>
      <c r="BN29" s="230">
        <v>2270</v>
      </c>
      <c r="BO29" s="228">
        <v>91</v>
      </c>
      <c r="BP29" s="229">
        <v>4.0099999999999997E-2</v>
      </c>
      <c r="BQ29" s="230">
        <v>10448</v>
      </c>
      <c r="BR29" s="230">
        <v>10995</v>
      </c>
      <c r="BS29" s="228">
        <v>-547</v>
      </c>
      <c r="BT29" s="229">
        <v>-4.9700000000000001E-2</v>
      </c>
      <c r="BU29" s="230">
        <v>12923429</v>
      </c>
      <c r="BV29" s="230">
        <v>19481525</v>
      </c>
      <c r="BW29" s="230">
        <v>-6558096</v>
      </c>
      <c r="BX29" s="229">
        <v>-0.33660000000000001</v>
      </c>
      <c r="BY29" s="230">
        <v>4819</v>
      </c>
      <c r="BZ29" s="230">
        <v>4678</v>
      </c>
      <c r="CA29" s="228">
        <v>141</v>
      </c>
      <c r="CB29" s="229">
        <v>3.0200000000000001E-2</v>
      </c>
      <c r="CC29" s="228">
        <v>799</v>
      </c>
      <c r="CD29" s="230">
        <v>1901</v>
      </c>
      <c r="CE29" s="230">
        <v>-1103</v>
      </c>
      <c r="CF29" s="229">
        <v>-0.57999999999999996</v>
      </c>
      <c r="CG29" s="230">
        <v>3891</v>
      </c>
      <c r="CH29" s="230">
        <v>2689</v>
      </c>
      <c r="CI29" s="230">
        <v>1202</v>
      </c>
      <c r="CJ29" s="229">
        <v>0.44690000000000002</v>
      </c>
      <c r="CK29" s="228">
        <v>130</v>
      </c>
      <c r="CL29" s="228">
        <v>87</v>
      </c>
      <c r="CM29" s="228">
        <v>42</v>
      </c>
      <c r="CN29" s="229">
        <v>0.4824</v>
      </c>
      <c r="CO29" s="230">
        <v>2573</v>
      </c>
      <c r="CP29" s="230">
        <v>2662</v>
      </c>
      <c r="CQ29" s="228">
        <v>-89</v>
      </c>
      <c r="CR29" s="229">
        <v>-3.3399999999999999E-2</v>
      </c>
      <c r="CS29" s="230">
        <v>1825</v>
      </c>
      <c r="CT29" s="230">
        <v>1787</v>
      </c>
      <c r="CU29" s="228">
        <v>38</v>
      </c>
      <c r="CV29" s="229">
        <v>2.1499999999999998E-2</v>
      </c>
      <c r="CW29" s="230">
        <v>9217</v>
      </c>
      <c r="CX29" s="230">
        <v>9127</v>
      </c>
      <c r="CY29" s="228">
        <v>91</v>
      </c>
      <c r="CZ29" s="229">
        <v>9.9000000000000008E-3</v>
      </c>
      <c r="DA29" s="228">
        <v>29.33</v>
      </c>
      <c r="DB29" s="228">
        <v>28.28</v>
      </c>
      <c r="DC29" s="228">
        <v>1.05</v>
      </c>
      <c r="DD29" s="228">
        <v>1.05</v>
      </c>
      <c r="DE29" s="228">
        <v>37.200000000000003</v>
      </c>
      <c r="DF29" s="228">
        <v>37.22</v>
      </c>
      <c r="DG29" s="228">
        <v>-7.87</v>
      </c>
      <c r="DH29" s="228">
        <v>-0.02</v>
      </c>
      <c r="DI29" s="228">
        <v>29.83</v>
      </c>
      <c r="DJ29" s="228">
        <v>28.42</v>
      </c>
      <c r="DK29" s="228">
        <v>1.41</v>
      </c>
      <c r="DL29" s="228">
        <v>1.41</v>
      </c>
      <c r="DM29" s="228">
        <v>28.56</v>
      </c>
      <c r="DN29" s="228">
        <v>28.01</v>
      </c>
      <c r="DO29" s="228">
        <v>0.55000000000000004</v>
      </c>
      <c r="DP29" s="228">
        <v>0.55000000000000004</v>
      </c>
      <c r="DQ29" s="228">
        <v>0.71</v>
      </c>
      <c r="DR29" s="228">
        <v>0.67</v>
      </c>
      <c r="DS29" s="228">
        <v>0.04</v>
      </c>
      <c r="DT29" s="229">
        <v>5.9700000000000003E-2</v>
      </c>
      <c r="DU29" s="228">
        <v>420</v>
      </c>
      <c r="DV29" s="228">
        <v>400</v>
      </c>
      <c r="DW29" s="228">
        <v>0.49</v>
      </c>
      <c r="DX29" s="228">
        <v>0.42</v>
      </c>
      <c r="DY29" s="228">
        <v>7.0000000000000007E-2</v>
      </c>
      <c r="DZ29" s="229">
        <v>0.16669999999999999</v>
      </c>
      <c r="EA29" s="229">
        <v>0.83430000000000004</v>
      </c>
      <c r="EB29" s="230">
        <v>66926550</v>
      </c>
      <c r="EC29" s="229">
        <v>5.4000000000000003E-3</v>
      </c>
      <c r="ED29" s="229">
        <v>0.83430000000000004</v>
      </c>
      <c r="EE29" s="228">
        <v>2.34</v>
      </c>
      <c r="EF29" s="229">
        <v>5.5999999999999999E-3</v>
      </c>
      <c r="EG29" s="230">
        <v>7034566</v>
      </c>
      <c r="EH29" s="230">
        <v>11714521</v>
      </c>
      <c r="EI29" s="229">
        <v>-0.39950000000000002</v>
      </c>
      <c r="EJ29" s="229">
        <v>0.54430000000000001</v>
      </c>
      <c r="EK29" s="231">
        <v>5015.2299999999996</v>
      </c>
      <c r="EL29" s="231">
        <v>2366.06</v>
      </c>
      <c r="EM29" s="231">
        <v>3270.18</v>
      </c>
      <c r="EN29" s="228">
        <v>151.11000000000001</v>
      </c>
      <c r="EO29" s="231">
        <v>10651.47</v>
      </c>
      <c r="EP29" s="231">
        <v>11305.22</v>
      </c>
      <c r="EQ29" s="228">
        <v>-653.75</v>
      </c>
      <c r="ER29" s="229">
        <v>-5.7799999999999997E-2</v>
      </c>
      <c r="ES29" s="231">
        <v>2661.64</v>
      </c>
      <c r="ET29" s="231">
        <v>1762.68</v>
      </c>
      <c r="EU29" s="231">
        <v>4841.6099999999997</v>
      </c>
      <c r="EV29" s="231">
        <v>535778534</v>
      </c>
      <c r="EW29" s="231">
        <v>9265.92</v>
      </c>
      <c r="EX29" s="231">
        <v>9253.1299999999992</v>
      </c>
      <c r="EY29" s="228">
        <v>12.79</v>
      </c>
      <c r="EZ29" s="229">
        <v>1.4E-3</v>
      </c>
      <c r="FA29" s="229">
        <v>0.41470000000000001</v>
      </c>
      <c r="FB29" s="227" t="s">
        <v>567</v>
      </c>
      <c r="FC29" s="195">
        <f t="shared" si="0"/>
        <v>4020</v>
      </c>
    </row>
    <row r="30" spans="1:159" ht="17.25" thickBot="1" x14ac:dyDescent="0.3">
      <c r="A30" s="226">
        <v>45957</v>
      </c>
      <c r="B30" s="227" t="s">
        <v>162</v>
      </c>
      <c r="C30" s="227" t="s">
        <v>187</v>
      </c>
      <c r="D30" s="228">
        <v>500</v>
      </c>
      <c r="E30" s="228">
        <v>1</v>
      </c>
      <c r="F30" s="231">
        <v>1303.7</v>
      </c>
      <c r="G30" s="231">
        <v>1281.8</v>
      </c>
      <c r="H30" s="228">
        <v>21.9</v>
      </c>
      <c r="I30" s="229">
        <v>1.7100000000000001E-2</v>
      </c>
      <c r="J30" s="231">
        <v>1301.4000000000001</v>
      </c>
      <c r="K30" s="231">
        <v>1283.9000000000001</v>
      </c>
      <c r="L30" s="228">
        <v>17.5</v>
      </c>
      <c r="M30" s="229">
        <v>1.3599999999999999E-2</v>
      </c>
      <c r="N30" s="231">
        <v>1303.7</v>
      </c>
      <c r="O30" s="231">
        <v>1281.8</v>
      </c>
      <c r="P30" s="228">
        <v>21.9</v>
      </c>
      <c r="Q30" s="229">
        <v>1.7100000000000001E-2</v>
      </c>
      <c r="R30" s="231">
        <v>1295.2</v>
      </c>
      <c r="S30" s="231">
        <v>1273.5999999999999</v>
      </c>
      <c r="T30" s="228">
        <v>21.6</v>
      </c>
      <c r="U30" s="229">
        <v>1.7000000000000001E-2</v>
      </c>
      <c r="V30" s="231">
        <v>1289.7</v>
      </c>
      <c r="W30" s="231">
        <v>1270.9000000000001</v>
      </c>
      <c r="X30" s="228">
        <v>18.8</v>
      </c>
      <c r="Y30" s="229">
        <v>1.4800000000000001E-2</v>
      </c>
      <c r="Z30" s="228">
        <v>2.2999999999999998</v>
      </c>
      <c r="AA30" s="228">
        <v>-2.1</v>
      </c>
      <c r="AB30" s="228">
        <v>4.4000000000000004</v>
      </c>
      <c r="AC30" s="229">
        <v>1.8E-3</v>
      </c>
      <c r="AD30" s="228">
        <v>2.2999999999999998</v>
      </c>
      <c r="AE30" s="228">
        <v>-2.1</v>
      </c>
      <c r="AF30" s="228">
        <v>4.4000000000000004</v>
      </c>
      <c r="AG30" s="229">
        <v>1.8E-3</v>
      </c>
      <c r="AH30" s="228">
        <v>-6.2</v>
      </c>
      <c r="AI30" s="228">
        <v>-10.3</v>
      </c>
      <c r="AJ30" s="228">
        <v>4.0999999999999996</v>
      </c>
      <c r="AK30" s="229">
        <v>-4.7999999999999996E-3</v>
      </c>
      <c r="AL30" s="228">
        <v>-11.7</v>
      </c>
      <c r="AM30" s="228">
        <v>-13</v>
      </c>
      <c r="AN30" s="228">
        <v>1.3</v>
      </c>
      <c r="AO30" s="229">
        <v>-8.9999999999999993E-3</v>
      </c>
      <c r="AP30" s="231">
        <v>1301.3399999999999</v>
      </c>
      <c r="AQ30" s="231">
        <v>1295.81</v>
      </c>
      <c r="AR30" s="228">
        <v>0</v>
      </c>
      <c r="AS30" s="230">
        <v>1000</v>
      </c>
      <c r="AT30" s="230">
        <v>1172</v>
      </c>
      <c r="AU30" s="228">
        <v>-172</v>
      </c>
      <c r="AV30" s="229">
        <v>-0.1464</v>
      </c>
      <c r="AW30" s="228">
        <v>485</v>
      </c>
      <c r="AX30" s="228">
        <v>575</v>
      </c>
      <c r="AY30" s="228">
        <v>-90</v>
      </c>
      <c r="AZ30" s="229">
        <v>-0.15690000000000001</v>
      </c>
      <c r="BA30" s="228">
        <v>505</v>
      </c>
      <c r="BB30" s="228">
        <v>588</v>
      </c>
      <c r="BC30" s="228">
        <v>-83</v>
      </c>
      <c r="BD30" s="229">
        <v>-0.1411</v>
      </c>
      <c r="BE30" s="228">
        <v>11</v>
      </c>
      <c r="BF30" s="228">
        <v>9</v>
      </c>
      <c r="BG30" s="228">
        <v>2</v>
      </c>
      <c r="BH30" s="229">
        <v>0.1678</v>
      </c>
      <c r="BI30" s="228">
        <v>704</v>
      </c>
      <c r="BJ30" s="230">
        <v>1243</v>
      </c>
      <c r="BK30" s="228">
        <v>-539</v>
      </c>
      <c r="BL30" s="229">
        <v>-0.43369999999999997</v>
      </c>
      <c r="BM30" s="228">
        <v>365</v>
      </c>
      <c r="BN30" s="228">
        <v>785</v>
      </c>
      <c r="BO30" s="228">
        <v>-420</v>
      </c>
      <c r="BP30" s="229">
        <v>-0.53539999999999999</v>
      </c>
      <c r="BQ30" s="230">
        <v>2069</v>
      </c>
      <c r="BR30" s="230">
        <v>3200</v>
      </c>
      <c r="BS30" s="230">
        <v>-1131</v>
      </c>
      <c r="BT30" s="229">
        <v>-0.35339999999999999</v>
      </c>
      <c r="BU30" s="230">
        <v>649401</v>
      </c>
      <c r="BV30" s="230">
        <v>914937</v>
      </c>
      <c r="BW30" s="230">
        <v>-265536</v>
      </c>
      <c r="BX30" s="229">
        <v>-0.29020000000000001</v>
      </c>
      <c r="BY30" s="230">
        <v>1304</v>
      </c>
      <c r="BZ30" s="230">
        <v>1362</v>
      </c>
      <c r="CA30" s="228">
        <v>-57</v>
      </c>
      <c r="CB30" s="229">
        <v>-4.2000000000000003E-2</v>
      </c>
      <c r="CC30" s="228">
        <v>131</v>
      </c>
      <c r="CD30" s="228">
        <v>409</v>
      </c>
      <c r="CE30" s="228">
        <v>-279</v>
      </c>
      <c r="CF30" s="229">
        <v>-0.68089999999999995</v>
      </c>
      <c r="CG30" s="230">
        <v>1150</v>
      </c>
      <c r="CH30" s="228">
        <v>930</v>
      </c>
      <c r="CI30" s="228">
        <v>220</v>
      </c>
      <c r="CJ30" s="229">
        <v>0.2364</v>
      </c>
      <c r="CK30" s="228">
        <v>24</v>
      </c>
      <c r="CL30" s="228">
        <v>22</v>
      </c>
      <c r="CM30" s="228">
        <v>2</v>
      </c>
      <c r="CN30" s="229">
        <v>7.3999999999999996E-2</v>
      </c>
      <c r="CO30" s="228">
        <v>500</v>
      </c>
      <c r="CP30" s="228">
        <v>520</v>
      </c>
      <c r="CQ30" s="228">
        <v>-20</v>
      </c>
      <c r="CR30" s="229">
        <v>-3.8600000000000002E-2</v>
      </c>
      <c r="CS30" s="228">
        <v>367</v>
      </c>
      <c r="CT30" s="228">
        <v>373</v>
      </c>
      <c r="CU30" s="228">
        <v>-6</v>
      </c>
      <c r="CV30" s="229">
        <v>-1.54E-2</v>
      </c>
      <c r="CW30" s="230">
        <v>2171</v>
      </c>
      <c r="CX30" s="230">
        <v>2254</v>
      </c>
      <c r="CY30" s="228">
        <v>-83</v>
      </c>
      <c r="CZ30" s="229">
        <v>-3.6799999999999999E-2</v>
      </c>
      <c r="DA30" s="228">
        <v>32.93</v>
      </c>
      <c r="DB30" s="228">
        <v>32.83</v>
      </c>
      <c r="DC30" s="228">
        <v>0.1</v>
      </c>
      <c r="DD30" s="228">
        <v>0.1</v>
      </c>
      <c r="DE30" s="228">
        <v>38.76</v>
      </c>
      <c r="DF30" s="228">
        <v>38.79</v>
      </c>
      <c r="DG30" s="228">
        <v>-5.83</v>
      </c>
      <c r="DH30" s="228">
        <v>-0.03</v>
      </c>
      <c r="DI30" s="228">
        <v>33</v>
      </c>
      <c r="DJ30" s="228">
        <v>33.119999999999997</v>
      </c>
      <c r="DK30" s="228">
        <v>-0.12</v>
      </c>
      <c r="DL30" s="228">
        <v>-0.12</v>
      </c>
      <c r="DM30" s="228">
        <v>32.71</v>
      </c>
      <c r="DN30" s="228">
        <v>32.049999999999997</v>
      </c>
      <c r="DO30" s="228">
        <v>0.66</v>
      </c>
      <c r="DP30" s="228">
        <v>0.66</v>
      </c>
      <c r="DQ30" s="228">
        <v>0.73</v>
      </c>
      <c r="DR30" s="228">
        <v>0.72</v>
      </c>
      <c r="DS30" s="228">
        <v>0.01</v>
      </c>
      <c r="DT30" s="229">
        <v>1.3899999999999999E-2</v>
      </c>
      <c r="DU30" s="231">
        <v>1300</v>
      </c>
      <c r="DV30" s="231">
        <v>1300</v>
      </c>
      <c r="DW30" s="228">
        <v>0.52</v>
      </c>
      <c r="DX30" s="228">
        <v>0.63</v>
      </c>
      <c r="DY30" s="228">
        <v>-0.11</v>
      </c>
      <c r="DZ30" s="229">
        <v>-0.17460000000000001</v>
      </c>
      <c r="EA30" s="229">
        <v>0.89980000000000004</v>
      </c>
      <c r="EB30" s="230">
        <v>7303500</v>
      </c>
      <c r="EC30" s="229">
        <v>-6.4999999999999997E-3</v>
      </c>
      <c r="ED30" s="229">
        <v>0.89980000000000004</v>
      </c>
      <c r="EE30" s="228">
        <v>-5.53</v>
      </c>
      <c r="EF30" s="229">
        <v>-4.1999999999999997E-3</v>
      </c>
      <c r="EG30" s="230">
        <v>343905</v>
      </c>
      <c r="EH30" s="230">
        <v>338972</v>
      </c>
      <c r="EI30" s="229">
        <v>1.46E-2</v>
      </c>
      <c r="EJ30" s="229">
        <v>0.52959999999999996</v>
      </c>
      <c r="EK30" s="228">
        <v>724.89</v>
      </c>
      <c r="EL30" s="228">
        <v>353.95</v>
      </c>
      <c r="EM30" s="228">
        <v>996.1</v>
      </c>
      <c r="EN30" s="228">
        <v>126.89</v>
      </c>
      <c r="EO30" s="231">
        <v>2074.94</v>
      </c>
      <c r="EP30" s="231">
        <v>3203</v>
      </c>
      <c r="EQ30" s="231">
        <v>-1128.06</v>
      </c>
      <c r="ER30" s="229">
        <v>-0.35220000000000001</v>
      </c>
      <c r="ES30" s="228">
        <v>506.01</v>
      </c>
      <c r="ET30" s="228">
        <v>343.61</v>
      </c>
      <c r="EU30" s="231">
        <v>1296.53</v>
      </c>
      <c r="EV30" s="231">
        <v>35155737</v>
      </c>
      <c r="EW30" s="231">
        <v>2146.15</v>
      </c>
      <c r="EX30" s="231">
        <v>2204.54</v>
      </c>
      <c r="EY30" s="228">
        <v>-58.39</v>
      </c>
      <c r="EZ30" s="229">
        <v>-2.6499999999999999E-2</v>
      </c>
      <c r="FA30" s="229">
        <v>0.4738</v>
      </c>
      <c r="FB30" s="227" t="s">
        <v>556</v>
      </c>
      <c r="FC30">
        <f t="shared" si="0"/>
        <v>1173</v>
      </c>
    </row>
    <row r="31" spans="1:159" ht="17.25" thickBot="1" x14ac:dyDescent="0.3">
      <c r="A31" s="226">
        <v>45957</v>
      </c>
      <c r="B31" s="227" t="s">
        <v>188</v>
      </c>
      <c r="C31" s="227" t="s">
        <v>189</v>
      </c>
      <c r="D31" s="228">
        <v>475</v>
      </c>
      <c r="E31" s="228">
        <v>1</v>
      </c>
      <c r="F31" s="231">
        <v>2076.6</v>
      </c>
      <c r="G31" s="231">
        <v>2026.6</v>
      </c>
      <c r="H31" s="228">
        <v>50</v>
      </c>
      <c r="I31" s="229">
        <v>2.47E-2</v>
      </c>
      <c r="J31" s="231">
        <v>2080.1</v>
      </c>
      <c r="K31" s="231">
        <v>2029.3</v>
      </c>
      <c r="L31" s="228">
        <v>50.8</v>
      </c>
      <c r="M31" s="229">
        <v>2.5000000000000001E-2</v>
      </c>
      <c r="N31" s="231">
        <v>2076.6</v>
      </c>
      <c r="O31" s="231">
        <v>2026.6</v>
      </c>
      <c r="P31" s="228">
        <v>50</v>
      </c>
      <c r="Q31" s="229">
        <v>2.47E-2</v>
      </c>
      <c r="R31" s="231">
        <v>2088.6</v>
      </c>
      <c r="S31" s="231">
        <v>2038.5</v>
      </c>
      <c r="T31" s="228">
        <v>50.1</v>
      </c>
      <c r="U31" s="229">
        <v>2.46E-2</v>
      </c>
      <c r="V31" s="231">
        <v>2102.8000000000002</v>
      </c>
      <c r="W31" s="231">
        <v>2051.1999999999998</v>
      </c>
      <c r="X31" s="228">
        <v>51.6</v>
      </c>
      <c r="Y31" s="229">
        <v>2.52E-2</v>
      </c>
      <c r="Z31" s="228">
        <v>-3.5</v>
      </c>
      <c r="AA31" s="228">
        <v>-2.7</v>
      </c>
      <c r="AB31" s="228">
        <v>-0.8</v>
      </c>
      <c r="AC31" s="229">
        <v>-1.6999999999999999E-3</v>
      </c>
      <c r="AD31" s="228">
        <v>-3.5</v>
      </c>
      <c r="AE31" s="228">
        <v>-2.7</v>
      </c>
      <c r="AF31" s="228">
        <v>-0.8</v>
      </c>
      <c r="AG31" s="229">
        <v>-1.6999999999999999E-3</v>
      </c>
      <c r="AH31" s="228">
        <v>8.5</v>
      </c>
      <c r="AI31" s="228">
        <v>9.1999999999999993</v>
      </c>
      <c r="AJ31" s="228">
        <v>-0.7</v>
      </c>
      <c r="AK31" s="229">
        <v>4.1000000000000003E-3</v>
      </c>
      <c r="AL31" s="228">
        <v>22.7</v>
      </c>
      <c r="AM31" s="228">
        <v>21.9</v>
      </c>
      <c r="AN31" s="228">
        <v>0.8</v>
      </c>
      <c r="AO31" s="229">
        <v>1.09E-2</v>
      </c>
      <c r="AP31" s="231">
        <v>2075.02</v>
      </c>
      <c r="AQ31" s="231">
        <v>2087.02</v>
      </c>
      <c r="AR31" s="228">
        <v>0</v>
      </c>
      <c r="AS31" s="230">
        <v>6356</v>
      </c>
      <c r="AT31" s="230">
        <v>5655</v>
      </c>
      <c r="AU31" s="228">
        <v>700</v>
      </c>
      <c r="AV31" s="229">
        <v>0.12379999999999999</v>
      </c>
      <c r="AW31" s="230">
        <v>2963</v>
      </c>
      <c r="AX31" s="230">
        <v>2962</v>
      </c>
      <c r="AY31" s="228">
        <v>0</v>
      </c>
      <c r="AZ31" s="229">
        <v>1E-4</v>
      </c>
      <c r="BA31" s="230">
        <v>3357</v>
      </c>
      <c r="BB31" s="230">
        <v>2686</v>
      </c>
      <c r="BC31" s="228">
        <v>671</v>
      </c>
      <c r="BD31" s="229">
        <v>0.24979999999999999</v>
      </c>
      <c r="BE31" s="228">
        <v>36</v>
      </c>
      <c r="BF31" s="228">
        <v>7</v>
      </c>
      <c r="BG31" s="228">
        <v>29</v>
      </c>
      <c r="BH31" s="229">
        <v>4.1127000000000002</v>
      </c>
      <c r="BI31" s="230">
        <v>21167</v>
      </c>
      <c r="BJ31" s="230">
        <v>7245</v>
      </c>
      <c r="BK31" s="230">
        <v>13922</v>
      </c>
      <c r="BL31" s="229">
        <v>1.9215</v>
      </c>
      <c r="BM31" s="230">
        <v>7792</v>
      </c>
      <c r="BN31" s="230">
        <v>3615</v>
      </c>
      <c r="BO31" s="230">
        <v>4177</v>
      </c>
      <c r="BP31" s="229">
        <v>1.1555</v>
      </c>
      <c r="BQ31" s="230">
        <v>35315</v>
      </c>
      <c r="BR31" s="230">
        <v>16516</v>
      </c>
      <c r="BS31" s="230">
        <v>18799</v>
      </c>
      <c r="BT31" s="229">
        <v>1.1383000000000001</v>
      </c>
      <c r="BU31" s="230">
        <v>7215134</v>
      </c>
      <c r="BV31" s="230">
        <v>3292972</v>
      </c>
      <c r="BW31" s="230">
        <v>3922162</v>
      </c>
      <c r="BX31" s="229">
        <v>1.1911</v>
      </c>
      <c r="BY31" s="230">
        <v>10610</v>
      </c>
      <c r="BZ31" s="230">
        <v>10601</v>
      </c>
      <c r="CA31" s="228">
        <v>9</v>
      </c>
      <c r="CB31" s="229">
        <v>8.0000000000000004E-4</v>
      </c>
      <c r="CC31" s="230">
        <v>2585</v>
      </c>
      <c r="CD31" s="230">
        <v>4651</v>
      </c>
      <c r="CE31" s="230">
        <v>-2066</v>
      </c>
      <c r="CF31" s="229">
        <v>-0.44419999999999998</v>
      </c>
      <c r="CG31" s="230">
        <v>7436</v>
      </c>
      <c r="CH31" s="230">
        <v>5368</v>
      </c>
      <c r="CI31" s="230">
        <v>2068</v>
      </c>
      <c r="CJ31" s="229">
        <v>0.38519999999999999</v>
      </c>
      <c r="CK31" s="228">
        <v>589</v>
      </c>
      <c r="CL31" s="228">
        <v>582</v>
      </c>
      <c r="CM31" s="228">
        <v>7</v>
      </c>
      <c r="CN31" s="229">
        <v>1.1900000000000001E-2</v>
      </c>
      <c r="CO31" s="230">
        <v>3273</v>
      </c>
      <c r="CP31" s="230">
        <v>3293</v>
      </c>
      <c r="CQ31" s="228">
        <v>-20</v>
      </c>
      <c r="CR31" s="229">
        <v>-6.1000000000000004E-3</v>
      </c>
      <c r="CS31" s="230">
        <v>2430</v>
      </c>
      <c r="CT31" s="230">
        <v>2217</v>
      </c>
      <c r="CU31" s="228">
        <v>213</v>
      </c>
      <c r="CV31" s="229">
        <v>9.6199999999999994E-2</v>
      </c>
      <c r="CW31" s="230">
        <v>16313</v>
      </c>
      <c r="CX31" s="230">
        <v>16111</v>
      </c>
      <c r="CY31" s="228">
        <v>202</v>
      </c>
      <c r="CZ31" s="229">
        <v>1.26E-2</v>
      </c>
      <c r="DA31" s="228">
        <v>22.43</v>
      </c>
      <c r="DB31" s="228">
        <v>21.14</v>
      </c>
      <c r="DC31" s="228">
        <v>1.29</v>
      </c>
      <c r="DD31" s="228">
        <v>1.29</v>
      </c>
      <c r="DE31" s="228">
        <v>24.93</v>
      </c>
      <c r="DF31" s="228">
        <v>24.77</v>
      </c>
      <c r="DG31" s="228">
        <v>-2.5</v>
      </c>
      <c r="DH31" s="228">
        <v>0.16</v>
      </c>
      <c r="DI31" s="228">
        <v>22.3</v>
      </c>
      <c r="DJ31" s="228">
        <v>21.2</v>
      </c>
      <c r="DK31" s="228">
        <v>1.1000000000000001</v>
      </c>
      <c r="DL31" s="228">
        <v>1.1000000000000001</v>
      </c>
      <c r="DM31" s="228">
        <v>22.69</v>
      </c>
      <c r="DN31" s="228">
        <v>21.03</v>
      </c>
      <c r="DO31" s="228">
        <v>1.66</v>
      </c>
      <c r="DP31" s="228">
        <v>1.66</v>
      </c>
      <c r="DQ31" s="228">
        <v>0.74</v>
      </c>
      <c r="DR31" s="228">
        <v>0.67</v>
      </c>
      <c r="DS31" s="228">
        <v>7.0000000000000007E-2</v>
      </c>
      <c r="DT31" s="229">
        <v>0.1045</v>
      </c>
      <c r="DU31" s="231">
        <v>1960</v>
      </c>
      <c r="DV31" s="231">
        <v>1960</v>
      </c>
      <c r="DW31" s="228">
        <v>0.37</v>
      </c>
      <c r="DX31" s="228">
        <v>0.5</v>
      </c>
      <c r="DY31" s="228">
        <v>-0.13</v>
      </c>
      <c r="DZ31" s="229">
        <v>-0.26</v>
      </c>
      <c r="EA31" s="229">
        <v>0.75639999999999996</v>
      </c>
      <c r="EB31" s="230">
        <v>28652950</v>
      </c>
      <c r="EC31" s="229">
        <v>5.7999999999999996E-3</v>
      </c>
      <c r="ED31" s="229">
        <v>0.75639999999999996</v>
      </c>
      <c r="EE31" s="228">
        <v>12</v>
      </c>
      <c r="EF31" s="229">
        <v>5.7999999999999996E-3</v>
      </c>
      <c r="EG31" s="230">
        <v>4528761</v>
      </c>
      <c r="EH31" s="230">
        <v>1837718</v>
      </c>
      <c r="EI31" s="229">
        <v>1.4642999999999999</v>
      </c>
      <c r="EJ31" s="229">
        <v>0.62770000000000004</v>
      </c>
      <c r="EK31" s="231">
        <v>21566.22</v>
      </c>
      <c r="EL31" s="231">
        <v>7678.66</v>
      </c>
      <c r="EM31" s="231">
        <v>6370.57</v>
      </c>
      <c r="EN31" s="228">
        <v>339.26</v>
      </c>
      <c r="EO31" s="231">
        <v>35615.440000000002</v>
      </c>
      <c r="EP31" s="231">
        <v>16223.43</v>
      </c>
      <c r="EQ31" s="231">
        <v>19392.009999999998</v>
      </c>
      <c r="ER31" s="229">
        <v>1.1953</v>
      </c>
      <c r="ES31" s="231">
        <v>3198.35</v>
      </c>
      <c r="ET31" s="231">
        <v>2293.7199999999998</v>
      </c>
      <c r="EU31" s="231">
        <v>10660.45</v>
      </c>
      <c r="EV31" s="231">
        <v>314058656</v>
      </c>
      <c r="EW31" s="231">
        <v>16152.52</v>
      </c>
      <c r="EX31" s="231">
        <v>15651.38</v>
      </c>
      <c r="EY31" s="228">
        <v>501.14</v>
      </c>
      <c r="EZ31" s="229">
        <v>3.2000000000000001E-2</v>
      </c>
      <c r="FA31" s="229">
        <v>0.25009999999999999</v>
      </c>
      <c r="FB31" s="227" t="s">
        <v>555</v>
      </c>
      <c r="FC31">
        <f t="shared" si="0"/>
        <v>8025</v>
      </c>
    </row>
    <row r="32" spans="1:159" ht="17.25" thickBot="1" x14ac:dyDescent="0.3">
      <c r="A32" s="226">
        <v>45957</v>
      </c>
      <c r="B32" s="227" t="s">
        <v>184</v>
      </c>
      <c r="C32" s="227" t="s">
        <v>190</v>
      </c>
      <c r="D32" s="228">
        <v>2625</v>
      </c>
      <c r="E32" s="228">
        <v>1</v>
      </c>
      <c r="F32" s="228">
        <v>235.43</v>
      </c>
      <c r="G32" s="228">
        <v>230.79</v>
      </c>
      <c r="H32" s="228">
        <v>4.6399999999999997</v>
      </c>
      <c r="I32" s="229">
        <v>2.01E-2</v>
      </c>
      <c r="J32" s="228">
        <v>235</v>
      </c>
      <c r="K32" s="228">
        <v>230.94</v>
      </c>
      <c r="L32" s="228">
        <v>4.0599999999999996</v>
      </c>
      <c r="M32" s="229">
        <v>1.7600000000000001E-2</v>
      </c>
      <c r="N32" s="228">
        <v>235.43</v>
      </c>
      <c r="O32" s="228">
        <v>230.79</v>
      </c>
      <c r="P32" s="228">
        <v>4.6399999999999997</v>
      </c>
      <c r="Q32" s="229">
        <v>2.01E-2</v>
      </c>
      <c r="R32" s="228">
        <v>236.63</v>
      </c>
      <c r="S32" s="228">
        <v>231.98</v>
      </c>
      <c r="T32" s="228">
        <v>4.6500000000000004</v>
      </c>
      <c r="U32" s="229">
        <v>0.02</v>
      </c>
      <c r="V32" s="228">
        <v>238.55</v>
      </c>
      <c r="W32" s="228">
        <v>234.26</v>
      </c>
      <c r="X32" s="228">
        <v>4.29</v>
      </c>
      <c r="Y32" s="229">
        <v>1.83E-2</v>
      </c>
      <c r="Z32" s="228">
        <v>0.43</v>
      </c>
      <c r="AA32" s="228">
        <v>-0.15</v>
      </c>
      <c r="AB32" s="228">
        <v>0.57999999999999996</v>
      </c>
      <c r="AC32" s="229">
        <v>1.8E-3</v>
      </c>
      <c r="AD32" s="228">
        <v>0.43</v>
      </c>
      <c r="AE32" s="228">
        <v>-0.15</v>
      </c>
      <c r="AF32" s="228">
        <v>0.57999999999999996</v>
      </c>
      <c r="AG32" s="229">
        <v>1.8E-3</v>
      </c>
      <c r="AH32" s="228">
        <v>1.63</v>
      </c>
      <c r="AI32" s="228">
        <v>1.04</v>
      </c>
      <c r="AJ32" s="228">
        <v>0.59</v>
      </c>
      <c r="AK32" s="229">
        <v>6.8999999999999999E-3</v>
      </c>
      <c r="AL32" s="228">
        <v>3.55</v>
      </c>
      <c r="AM32" s="228">
        <v>3.32</v>
      </c>
      <c r="AN32" s="228">
        <v>0.23</v>
      </c>
      <c r="AO32" s="229">
        <v>1.5100000000000001E-2</v>
      </c>
      <c r="AP32" s="228">
        <v>235.48</v>
      </c>
      <c r="AQ32" s="228">
        <v>236.78</v>
      </c>
      <c r="AR32" s="228">
        <v>0</v>
      </c>
      <c r="AS32" s="230">
        <v>1066</v>
      </c>
      <c r="AT32" s="228">
        <v>980</v>
      </c>
      <c r="AU32" s="228">
        <v>86</v>
      </c>
      <c r="AV32" s="229">
        <v>8.7499999999999994E-2</v>
      </c>
      <c r="AW32" s="228">
        <v>491</v>
      </c>
      <c r="AX32" s="228">
        <v>499</v>
      </c>
      <c r="AY32" s="228">
        <v>-8</v>
      </c>
      <c r="AZ32" s="229">
        <v>-1.5699999999999999E-2</v>
      </c>
      <c r="BA32" s="228">
        <v>559</v>
      </c>
      <c r="BB32" s="228">
        <v>471</v>
      </c>
      <c r="BC32" s="228">
        <v>88</v>
      </c>
      <c r="BD32" s="229">
        <v>0.1875</v>
      </c>
      <c r="BE32" s="228">
        <v>16</v>
      </c>
      <c r="BF32" s="228">
        <v>10</v>
      </c>
      <c r="BG32" s="228">
        <v>5</v>
      </c>
      <c r="BH32" s="229">
        <v>0.5181</v>
      </c>
      <c r="BI32" s="230">
        <v>1307</v>
      </c>
      <c r="BJ32" s="228">
        <v>958</v>
      </c>
      <c r="BK32" s="228">
        <v>349</v>
      </c>
      <c r="BL32" s="229">
        <v>0.36480000000000001</v>
      </c>
      <c r="BM32" s="228">
        <v>639</v>
      </c>
      <c r="BN32" s="228">
        <v>489</v>
      </c>
      <c r="BO32" s="228">
        <v>150</v>
      </c>
      <c r="BP32" s="229">
        <v>0.30640000000000001</v>
      </c>
      <c r="BQ32" s="230">
        <v>3012</v>
      </c>
      <c r="BR32" s="230">
        <v>2427</v>
      </c>
      <c r="BS32" s="228">
        <v>585</v>
      </c>
      <c r="BT32" s="229">
        <v>0.24110000000000001</v>
      </c>
      <c r="BU32" s="230">
        <v>8549690</v>
      </c>
      <c r="BV32" s="230">
        <v>5492459</v>
      </c>
      <c r="BW32" s="230">
        <v>3057231</v>
      </c>
      <c r="BX32" s="229">
        <v>0.55659999999999998</v>
      </c>
      <c r="BY32" s="230">
        <v>1440</v>
      </c>
      <c r="BZ32" s="230">
        <v>1406</v>
      </c>
      <c r="CA32" s="228">
        <v>34</v>
      </c>
      <c r="CB32" s="229">
        <v>2.4400000000000002E-2</v>
      </c>
      <c r="CC32" s="228">
        <v>378</v>
      </c>
      <c r="CD32" s="228">
        <v>665</v>
      </c>
      <c r="CE32" s="228">
        <v>-287</v>
      </c>
      <c r="CF32" s="229">
        <v>-0.43190000000000001</v>
      </c>
      <c r="CG32" s="230">
        <v>1025</v>
      </c>
      <c r="CH32" s="228">
        <v>711</v>
      </c>
      <c r="CI32" s="228">
        <v>314</v>
      </c>
      <c r="CJ32" s="229">
        <v>0.44130000000000003</v>
      </c>
      <c r="CK32" s="228">
        <v>37</v>
      </c>
      <c r="CL32" s="228">
        <v>30</v>
      </c>
      <c r="CM32" s="228">
        <v>8</v>
      </c>
      <c r="CN32" s="229">
        <v>0.25209999999999999</v>
      </c>
      <c r="CO32" s="228">
        <v>681</v>
      </c>
      <c r="CP32" s="228">
        <v>729</v>
      </c>
      <c r="CQ32" s="228">
        <v>-48</v>
      </c>
      <c r="CR32" s="229">
        <v>-6.6000000000000003E-2</v>
      </c>
      <c r="CS32" s="228">
        <v>435</v>
      </c>
      <c r="CT32" s="228">
        <v>394</v>
      </c>
      <c r="CU32" s="228">
        <v>41</v>
      </c>
      <c r="CV32" s="229">
        <v>0.1031</v>
      </c>
      <c r="CW32" s="230">
        <v>2556</v>
      </c>
      <c r="CX32" s="230">
        <v>2529</v>
      </c>
      <c r="CY32" s="228">
        <v>27</v>
      </c>
      <c r="CZ32" s="229">
        <v>1.06E-2</v>
      </c>
      <c r="DA32" s="228">
        <v>34.130000000000003</v>
      </c>
      <c r="DB32" s="228">
        <v>34.25</v>
      </c>
      <c r="DC32" s="228">
        <v>-0.12</v>
      </c>
      <c r="DD32" s="228">
        <v>-0.12</v>
      </c>
      <c r="DE32" s="228">
        <v>45.33</v>
      </c>
      <c r="DF32" s="228">
        <v>45.37</v>
      </c>
      <c r="DG32" s="228">
        <v>-11.2</v>
      </c>
      <c r="DH32" s="228">
        <v>-0.04</v>
      </c>
      <c r="DI32" s="228">
        <v>34.19</v>
      </c>
      <c r="DJ32" s="228">
        <v>34.17</v>
      </c>
      <c r="DK32" s="228">
        <v>0.02</v>
      </c>
      <c r="DL32" s="228">
        <v>0.02</v>
      </c>
      <c r="DM32" s="228">
        <v>34.04</v>
      </c>
      <c r="DN32" s="228">
        <v>34.44</v>
      </c>
      <c r="DO32" s="228">
        <v>-0.4</v>
      </c>
      <c r="DP32" s="228">
        <v>-0.4</v>
      </c>
      <c r="DQ32" s="228">
        <v>0.64</v>
      </c>
      <c r="DR32" s="228">
        <v>0.54</v>
      </c>
      <c r="DS32" s="228">
        <v>0.1</v>
      </c>
      <c r="DT32" s="229">
        <v>0.1852</v>
      </c>
      <c r="DU32" s="228">
        <v>250</v>
      </c>
      <c r="DV32" s="228">
        <v>235</v>
      </c>
      <c r="DW32" s="228">
        <v>0.49</v>
      </c>
      <c r="DX32" s="228">
        <v>0.51</v>
      </c>
      <c r="DY32" s="228">
        <v>-0.02</v>
      </c>
      <c r="DZ32" s="229">
        <v>-3.9199999999999999E-2</v>
      </c>
      <c r="EA32" s="229">
        <v>0.73780000000000001</v>
      </c>
      <c r="EB32" s="230">
        <v>31473750</v>
      </c>
      <c r="EC32" s="229">
        <v>5.1000000000000004E-3</v>
      </c>
      <c r="ED32" s="229">
        <v>0.73780000000000001</v>
      </c>
      <c r="EE32" s="228">
        <v>1.3</v>
      </c>
      <c r="EF32" s="229">
        <v>5.4999999999999997E-3</v>
      </c>
      <c r="EG32" s="230">
        <v>3676984</v>
      </c>
      <c r="EH32" s="230">
        <v>1955848</v>
      </c>
      <c r="EI32" s="229">
        <v>0.88</v>
      </c>
      <c r="EJ32" s="229">
        <v>0.43009999999999998</v>
      </c>
      <c r="EK32" s="231">
        <v>1353.39</v>
      </c>
      <c r="EL32" s="228">
        <v>646.91</v>
      </c>
      <c r="EM32" s="231">
        <v>1069.3900000000001</v>
      </c>
      <c r="EN32" s="228">
        <v>87.63</v>
      </c>
      <c r="EO32" s="231">
        <v>3069.68</v>
      </c>
      <c r="EP32" s="231">
        <v>2455.11</v>
      </c>
      <c r="EQ32" s="228">
        <v>614.58000000000004</v>
      </c>
      <c r="ER32" s="229">
        <v>0.25030000000000002</v>
      </c>
      <c r="ES32" s="228">
        <v>716.23</v>
      </c>
      <c r="ET32" s="228">
        <v>430.23</v>
      </c>
      <c r="EU32" s="231">
        <v>1445.61</v>
      </c>
      <c r="EV32" s="231">
        <v>169029877</v>
      </c>
      <c r="EW32" s="231">
        <v>2592.0700000000002</v>
      </c>
      <c r="EX32" s="231">
        <v>2537.7399999999998</v>
      </c>
      <c r="EY32" s="228">
        <v>54.33</v>
      </c>
      <c r="EZ32" s="229">
        <v>2.1399999999999999E-2</v>
      </c>
      <c r="FA32" s="229">
        <v>0.64219999999999999</v>
      </c>
      <c r="FB32" s="227" t="s">
        <v>555</v>
      </c>
      <c r="FC32">
        <f t="shared" si="0"/>
        <v>1062</v>
      </c>
    </row>
    <row r="33" spans="1:159" ht="17.25" thickBot="1" x14ac:dyDescent="0.3">
      <c r="A33" s="226">
        <v>45957</v>
      </c>
      <c r="B33" s="227" t="s">
        <v>170</v>
      </c>
      <c r="C33" s="227" t="s">
        <v>191</v>
      </c>
      <c r="D33" s="228">
        <v>2500</v>
      </c>
      <c r="E33" s="228">
        <v>1</v>
      </c>
      <c r="F33" s="228">
        <v>360.25</v>
      </c>
      <c r="G33" s="228">
        <v>359.35</v>
      </c>
      <c r="H33" s="228">
        <v>0.9</v>
      </c>
      <c r="I33" s="229">
        <v>2.5000000000000001E-3</v>
      </c>
      <c r="J33" s="228">
        <v>360.45</v>
      </c>
      <c r="K33" s="228">
        <v>359.5</v>
      </c>
      <c r="L33" s="228">
        <v>0.95</v>
      </c>
      <c r="M33" s="229">
        <v>2.5999999999999999E-3</v>
      </c>
      <c r="N33" s="228">
        <v>360.25</v>
      </c>
      <c r="O33" s="228">
        <v>359.35</v>
      </c>
      <c r="P33" s="228">
        <v>0.9</v>
      </c>
      <c r="Q33" s="229">
        <v>2.5000000000000001E-3</v>
      </c>
      <c r="R33" s="228">
        <v>362.1</v>
      </c>
      <c r="S33" s="228">
        <v>361.4</v>
      </c>
      <c r="T33" s="228">
        <v>0.7</v>
      </c>
      <c r="U33" s="229">
        <v>1.9E-3</v>
      </c>
      <c r="V33" s="228">
        <v>364.7</v>
      </c>
      <c r="W33" s="228">
        <v>365</v>
      </c>
      <c r="X33" s="228">
        <v>-0.3</v>
      </c>
      <c r="Y33" s="229">
        <v>-8.0000000000000004E-4</v>
      </c>
      <c r="Z33" s="228">
        <v>-0.2</v>
      </c>
      <c r="AA33" s="228">
        <v>-0.15</v>
      </c>
      <c r="AB33" s="228">
        <v>-0.05</v>
      </c>
      <c r="AC33" s="229">
        <v>-5.9999999999999995E-4</v>
      </c>
      <c r="AD33" s="228">
        <v>-0.2</v>
      </c>
      <c r="AE33" s="228">
        <v>-0.15</v>
      </c>
      <c r="AF33" s="228">
        <v>-0.05</v>
      </c>
      <c r="AG33" s="229">
        <v>-5.9999999999999995E-4</v>
      </c>
      <c r="AH33" s="228">
        <v>1.65</v>
      </c>
      <c r="AI33" s="228">
        <v>1.9</v>
      </c>
      <c r="AJ33" s="228">
        <v>-0.25</v>
      </c>
      <c r="AK33" s="229">
        <v>4.5999999999999999E-3</v>
      </c>
      <c r="AL33" s="228">
        <v>4.25</v>
      </c>
      <c r="AM33" s="228">
        <v>5.5</v>
      </c>
      <c r="AN33" s="228">
        <v>-1.25</v>
      </c>
      <c r="AO33" s="229">
        <v>1.18E-2</v>
      </c>
      <c r="AP33" s="228">
        <v>360.34</v>
      </c>
      <c r="AQ33" s="228">
        <v>362.29</v>
      </c>
      <c r="AR33" s="228">
        <v>0</v>
      </c>
      <c r="AS33" s="230">
        <v>1173</v>
      </c>
      <c r="AT33" s="228">
        <v>826</v>
      </c>
      <c r="AU33" s="228">
        <v>347</v>
      </c>
      <c r="AV33" s="229">
        <v>0.42070000000000002</v>
      </c>
      <c r="AW33" s="228">
        <v>583</v>
      </c>
      <c r="AX33" s="228">
        <v>417</v>
      </c>
      <c r="AY33" s="228">
        <v>166</v>
      </c>
      <c r="AZ33" s="229">
        <v>0.39700000000000002</v>
      </c>
      <c r="BA33" s="228">
        <v>584</v>
      </c>
      <c r="BB33" s="228">
        <v>406</v>
      </c>
      <c r="BC33" s="228">
        <v>179</v>
      </c>
      <c r="BD33" s="229">
        <v>0.4405</v>
      </c>
      <c r="BE33" s="228">
        <v>6</v>
      </c>
      <c r="BF33" s="228">
        <v>3</v>
      </c>
      <c r="BG33" s="228">
        <v>3</v>
      </c>
      <c r="BH33" s="229">
        <v>1.0294000000000001</v>
      </c>
      <c r="BI33" s="228">
        <v>335</v>
      </c>
      <c r="BJ33" s="228">
        <v>498</v>
      </c>
      <c r="BK33" s="228">
        <v>-163</v>
      </c>
      <c r="BL33" s="229">
        <v>-0.32719999999999999</v>
      </c>
      <c r="BM33" s="228">
        <v>239</v>
      </c>
      <c r="BN33" s="228">
        <v>325</v>
      </c>
      <c r="BO33" s="228">
        <v>-85</v>
      </c>
      <c r="BP33" s="229">
        <v>-0.26279999999999998</v>
      </c>
      <c r="BQ33" s="230">
        <v>1748</v>
      </c>
      <c r="BR33" s="230">
        <v>1649</v>
      </c>
      <c r="BS33" s="228">
        <v>99</v>
      </c>
      <c r="BT33" s="229">
        <v>6.0100000000000001E-2</v>
      </c>
      <c r="BU33" s="230">
        <v>1295091</v>
      </c>
      <c r="BV33" s="230">
        <v>1042377</v>
      </c>
      <c r="BW33" s="230">
        <v>252714</v>
      </c>
      <c r="BX33" s="229">
        <v>0.2424</v>
      </c>
      <c r="BY33" s="230">
        <v>1489</v>
      </c>
      <c r="BZ33" s="230">
        <v>1537</v>
      </c>
      <c r="CA33" s="228">
        <v>-48</v>
      </c>
      <c r="CB33" s="229">
        <v>-3.15E-2</v>
      </c>
      <c r="CC33" s="228">
        <v>307</v>
      </c>
      <c r="CD33" s="228">
        <v>771</v>
      </c>
      <c r="CE33" s="228">
        <v>-463</v>
      </c>
      <c r="CF33" s="229">
        <v>-0.60119999999999996</v>
      </c>
      <c r="CG33" s="230">
        <v>1168</v>
      </c>
      <c r="CH33" s="228">
        <v>755</v>
      </c>
      <c r="CI33" s="228">
        <v>413</v>
      </c>
      <c r="CJ33" s="229">
        <v>0.54659999999999997</v>
      </c>
      <c r="CK33" s="228">
        <v>14</v>
      </c>
      <c r="CL33" s="228">
        <v>11</v>
      </c>
      <c r="CM33" s="228">
        <v>2</v>
      </c>
      <c r="CN33" s="229">
        <v>0.19689999999999999</v>
      </c>
      <c r="CO33" s="228">
        <v>537</v>
      </c>
      <c r="CP33" s="228">
        <v>558</v>
      </c>
      <c r="CQ33" s="228">
        <v>-21</v>
      </c>
      <c r="CR33" s="229">
        <v>-3.7600000000000001E-2</v>
      </c>
      <c r="CS33" s="228">
        <v>367</v>
      </c>
      <c r="CT33" s="228">
        <v>381</v>
      </c>
      <c r="CU33" s="228">
        <v>-13</v>
      </c>
      <c r="CV33" s="229">
        <v>-3.4799999999999998E-2</v>
      </c>
      <c r="CW33" s="230">
        <v>2394</v>
      </c>
      <c r="CX33" s="230">
        <v>2476</v>
      </c>
      <c r="CY33" s="228">
        <v>-83</v>
      </c>
      <c r="CZ33" s="229">
        <v>-3.3399999999999999E-2</v>
      </c>
      <c r="DA33" s="228">
        <v>28.66</v>
      </c>
      <c r="DB33" s="228">
        <v>28.4</v>
      </c>
      <c r="DC33" s="228">
        <v>0.26</v>
      </c>
      <c r="DD33" s="228">
        <v>0.26</v>
      </c>
      <c r="DE33" s="228">
        <v>38.82</v>
      </c>
      <c r="DF33" s="228">
        <v>38.92</v>
      </c>
      <c r="DG33" s="228">
        <v>-10.16</v>
      </c>
      <c r="DH33" s="228">
        <v>-0.1</v>
      </c>
      <c r="DI33" s="228">
        <v>28.8</v>
      </c>
      <c r="DJ33" s="228">
        <v>28.77</v>
      </c>
      <c r="DK33" s="228">
        <v>0.03</v>
      </c>
      <c r="DL33" s="228">
        <v>0.03</v>
      </c>
      <c r="DM33" s="228">
        <v>28.39</v>
      </c>
      <c r="DN33" s="228">
        <v>27.81</v>
      </c>
      <c r="DO33" s="228">
        <v>0.57999999999999996</v>
      </c>
      <c r="DP33" s="228">
        <v>0.57999999999999996</v>
      </c>
      <c r="DQ33" s="228">
        <v>0.68</v>
      </c>
      <c r="DR33" s="228">
        <v>0.68</v>
      </c>
      <c r="DS33" s="228">
        <v>0</v>
      </c>
      <c r="DT33" s="229">
        <v>0</v>
      </c>
      <c r="DU33" s="228">
        <v>370</v>
      </c>
      <c r="DV33" s="228">
        <v>350</v>
      </c>
      <c r="DW33" s="228">
        <v>0.71</v>
      </c>
      <c r="DX33" s="228">
        <v>0.65</v>
      </c>
      <c r="DY33" s="228">
        <v>0.06</v>
      </c>
      <c r="DZ33" s="229">
        <v>9.2299999999999993E-2</v>
      </c>
      <c r="EA33" s="229">
        <v>0.79349999999999998</v>
      </c>
      <c r="EB33" s="230">
        <v>21272500</v>
      </c>
      <c r="EC33" s="229">
        <v>5.1000000000000004E-3</v>
      </c>
      <c r="ED33" s="229">
        <v>0.79349999999999998</v>
      </c>
      <c r="EE33" s="228">
        <v>1.95</v>
      </c>
      <c r="EF33" s="229">
        <v>5.4000000000000003E-3</v>
      </c>
      <c r="EG33" s="230">
        <v>645772</v>
      </c>
      <c r="EH33" s="230">
        <v>483213</v>
      </c>
      <c r="EI33" s="229">
        <v>0.33639999999999998</v>
      </c>
      <c r="EJ33" s="229">
        <v>0.49859999999999999</v>
      </c>
      <c r="EK33" s="228">
        <v>349.1</v>
      </c>
      <c r="EL33" s="228">
        <v>236.51</v>
      </c>
      <c r="EM33" s="231">
        <v>1176.5999999999999</v>
      </c>
      <c r="EN33" s="228">
        <v>66.73</v>
      </c>
      <c r="EO33" s="231">
        <v>1762.21</v>
      </c>
      <c r="EP33" s="231">
        <v>1668.45</v>
      </c>
      <c r="EQ33" s="228">
        <v>93.76</v>
      </c>
      <c r="ER33" s="229">
        <v>5.62E-2</v>
      </c>
      <c r="ES33" s="228">
        <v>561.16</v>
      </c>
      <c r="ET33" s="228">
        <v>351.16</v>
      </c>
      <c r="EU33" s="231">
        <v>1494.81</v>
      </c>
      <c r="EV33" s="231">
        <v>90981174</v>
      </c>
      <c r="EW33" s="231">
        <v>2407.12</v>
      </c>
      <c r="EX33" s="231">
        <v>2483.31</v>
      </c>
      <c r="EY33" s="228">
        <v>-76.19</v>
      </c>
      <c r="EZ33" s="229">
        <v>-3.0700000000000002E-2</v>
      </c>
      <c r="FA33" s="229">
        <v>0.73029999999999995</v>
      </c>
      <c r="FB33" s="227" t="s">
        <v>556</v>
      </c>
      <c r="FC33">
        <f t="shared" si="0"/>
        <v>1182</v>
      </c>
    </row>
    <row r="34" spans="1:159" ht="17.25" thickBot="1" x14ac:dyDescent="0.3">
      <c r="A34" s="226">
        <v>45957</v>
      </c>
      <c r="B34" s="227" t="s">
        <v>184</v>
      </c>
      <c r="C34" s="227" t="s">
        <v>680</v>
      </c>
      <c r="D34" s="228">
        <v>325</v>
      </c>
      <c r="E34" s="228">
        <v>1</v>
      </c>
      <c r="F34" s="231">
        <v>1984.2</v>
      </c>
      <c r="G34" s="231">
        <v>2007.6</v>
      </c>
      <c r="H34" s="228">
        <v>-23.4</v>
      </c>
      <c r="I34" s="229">
        <v>-1.17E-2</v>
      </c>
      <c r="J34" s="231">
        <v>1979.6</v>
      </c>
      <c r="K34" s="231">
        <v>2006</v>
      </c>
      <c r="L34" s="228">
        <v>-26.4</v>
      </c>
      <c r="M34" s="229">
        <v>-1.32E-2</v>
      </c>
      <c r="N34" s="231">
        <v>1984.2</v>
      </c>
      <c r="O34" s="231">
        <v>2007.6</v>
      </c>
      <c r="P34" s="228">
        <v>-23.4</v>
      </c>
      <c r="Q34" s="229">
        <v>-1.17E-2</v>
      </c>
      <c r="R34" s="231">
        <v>1988.5</v>
      </c>
      <c r="S34" s="231">
        <v>2008.5</v>
      </c>
      <c r="T34" s="228">
        <v>-20</v>
      </c>
      <c r="U34" s="229">
        <v>-0.01</v>
      </c>
      <c r="V34" s="231">
        <v>1996</v>
      </c>
      <c r="W34" s="231">
        <v>2006.9</v>
      </c>
      <c r="X34" s="228">
        <v>-10.9</v>
      </c>
      <c r="Y34" s="229">
        <v>-5.4000000000000003E-3</v>
      </c>
      <c r="Z34" s="228">
        <v>4.5999999999999996</v>
      </c>
      <c r="AA34" s="228">
        <v>1.6</v>
      </c>
      <c r="AB34" s="228">
        <v>3</v>
      </c>
      <c r="AC34" s="229">
        <v>2.3E-3</v>
      </c>
      <c r="AD34" s="228">
        <v>4.5999999999999996</v>
      </c>
      <c r="AE34" s="228">
        <v>1.6</v>
      </c>
      <c r="AF34" s="228">
        <v>3</v>
      </c>
      <c r="AG34" s="229">
        <v>2.3E-3</v>
      </c>
      <c r="AH34" s="228">
        <v>8.9</v>
      </c>
      <c r="AI34" s="228">
        <v>2.5</v>
      </c>
      <c r="AJ34" s="228">
        <v>6.4</v>
      </c>
      <c r="AK34" s="229">
        <v>4.4999999999999997E-3</v>
      </c>
      <c r="AL34" s="228">
        <v>16.399999999999999</v>
      </c>
      <c r="AM34" s="228">
        <v>0.9</v>
      </c>
      <c r="AN34" s="228">
        <v>15.5</v>
      </c>
      <c r="AO34" s="229">
        <v>8.3000000000000001E-3</v>
      </c>
      <c r="AP34" s="231">
        <v>1997.06</v>
      </c>
      <c r="AQ34" s="231">
        <v>1999.62</v>
      </c>
      <c r="AR34" s="228">
        <v>0</v>
      </c>
      <c r="AS34" s="228">
        <v>339</v>
      </c>
      <c r="AT34" s="228">
        <v>441</v>
      </c>
      <c r="AU34" s="228">
        <v>-102</v>
      </c>
      <c r="AV34" s="229">
        <v>-0.2303</v>
      </c>
      <c r="AW34" s="228">
        <v>155</v>
      </c>
      <c r="AX34" s="228">
        <v>225</v>
      </c>
      <c r="AY34" s="228">
        <v>-69</v>
      </c>
      <c r="AZ34" s="229">
        <v>-0.30809999999999998</v>
      </c>
      <c r="BA34" s="228">
        <v>183</v>
      </c>
      <c r="BB34" s="228">
        <v>215</v>
      </c>
      <c r="BC34" s="228">
        <v>-32</v>
      </c>
      <c r="BD34" s="229">
        <v>-0.14910000000000001</v>
      </c>
      <c r="BE34" s="228">
        <v>1</v>
      </c>
      <c r="BF34" s="228">
        <v>1</v>
      </c>
      <c r="BG34" s="228">
        <v>0</v>
      </c>
      <c r="BH34" s="229">
        <v>-0.23080000000000001</v>
      </c>
      <c r="BI34" s="228">
        <v>417</v>
      </c>
      <c r="BJ34" s="230">
        <v>1053</v>
      </c>
      <c r="BK34" s="228">
        <v>-636</v>
      </c>
      <c r="BL34" s="229">
        <v>-0.60399999999999998</v>
      </c>
      <c r="BM34" s="228">
        <v>150</v>
      </c>
      <c r="BN34" s="228">
        <v>294</v>
      </c>
      <c r="BO34" s="228">
        <v>-144</v>
      </c>
      <c r="BP34" s="229">
        <v>-0.48949999999999999</v>
      </c>
      <c r="BQ34" s="228">
        <v>906</v>
      </c>
      <c r="BR34" s="230">
        <v>1788</v>
      </c>
      <c r="BS34" s="228">
        <v>-882</v>
      </c>
      <c r="BT34" s="229">
        <v>-0.49299999999999999</v>
      </c>
      <c r="BU34" s="230">
        <v>271774</v>
      </c>
      <c r="BV34" s="230">
        <v>771230</v>
      </c>
      <c r="BW34" s="230">
        <v>-499456</v>
      </c>
      <c r="BX34" s="229">
        <v>-0.64759999999999995</v>
      </c>
      <c r="BY34" s="228">
        <v>350</v>
      </c>
      <c r="BZ34" s="228">
        <v>368</v>
      </c>
      <c r="CA34" s="228">
        <v>-18</v>
      </c>
      <c r="CB34" s="229">
        <v>-4.8399999999999999E-2</v>
      </c>
      <c r="CC34" s="228">
        <v>69</v>
      </c>
      <c r="CD34" s="228">
        <v>145</v>
      </c>
      <c r="CE34" s="228">
        <v>-76</v>
      </c>
      <c r="CF34" s="229">
        <v>-0.52239999999999998</v>
      </c>
      <c r="CG34" s="228">
        <v>279</v>
      </c>
      <c r="CH34" s="228">
        <v>222</v>
      </c>
      <c r="CI34" s="228">
        <v>58</v>
      </c>
      <c r="CJ34" s="229">
        <v>0.26019999999999999</v>
      </c>
      <c r="CK34" s="228">
        <v>2</v>
      </c>
      <c r="CL34" s="228">
        <v>1</v>
      </c>
      <c r="CM34" s="228">
        <v>0</v>
      </c>
      <c r="CN34" s="229">
        <v>0.36840000000000001</v>
      </c>
      <c r="CO34" s="228">
        <v>176</v>
      </c>
      <c r="CP34" s="228">
        <v>198</v>
      </c>
      <c r="CQ34" s="228">
        <v>-23</v>
      </c>
      <c r="CR34" s="229">
        <v>-0.114</v>
      </c>
      <c r="CS34" s="228">
        <v>86</v>
      </c>
      <c r="CT34" s="228">
        <v>102</v>
      </c>
      <c r="CU34" s="228">
        <v>-16</v>
      </c>
      <c r="CV34" s="229">
        <v>-0.16089999999999999</v>
      </c>
      <c r="CW34" s="228">
        <v>612</v>
      </c>
      <c r="CX34" s="228">
        <v>669</v>
      </c>
      <c r="CY34" s="228">
        <v>-57</v>
      </c>
      <c r="CZ34" s="229">
        <v>-8.5000000000000006E-2</v>
      </c>
      <c r="DA34" s="228">
        <v>32.32</v>
      </c>
      <c r="DB34" s="228">
        <v>31.3</v>
      </c>
      <c r="DC34" s="228">
        <v>1.02</v>
      </c>
      <c r="DD34" s="228">
        <v>1.02</v>
      </c>
      <c r="DE34" s="228">
        <v>41.57</v>
      </c>
      <c r="DF34" s="228">
        <v>41.63</v>
      </c>
      <c r="DG34" s="228">
        <v>-9.25</v>
      </c>
      <c r="DH34" s="228">
        <v>-0.06</v>
      </c>
      <c r="DI34" s="228">
        <v>32.409999999999997</v>
      </c>
      <c r="DJ34" s="228">
        <v>31.24</v>
      </c>
      <c r="DK34" s="228">
        <v>1.17</v>
      </c>
      <c r="DL34" s="228">
        <v>1.17</v>
      </c>
      <c r="DM34" s="228">
        <v>31.99</v>
      </c>
      <c r="DN34" s="228">
        <v>31.67</v>
      </c>
      <c r="DO34" s="228">
        <v>0.32</v>
      </c>
      <c r="DP34" s="228">
        <v>0.32</v>
      </c>
      <c r="DQ34" s="228">
        <v>0.49</v>
      </c>
      <c r="DR34" s="228">
        <v>0.51</v>
      </c>
      <c r="DS34" s="228">
        <v>-0.02</v>
      </c>
      <c r="DT34" s="229">
        <v>-3.9199999999999999E-2</v>
      </c>
      <c r="DU34" s="231">
        <v>2060</v>
      </c>
      <c r="DV34" s="231">
        <v>1900</v>
      </c>
      <c r="DW34" s="228">
        <v>0.36</v>
      </c>
      <c r="DX34" s="228">
        <v>0.28000000000000003</v>
      </c>
      <c r="DY34" s="228">
        <v>0.08</v>
      </c>
      <c r="DZ34" s="229">
        <v>0.28570000000000001</v>
      </c>
      <c r="EA34" s="229">
        <v>0.80189999999999995</v>
      </c>
      <c r="EB34" s="230">
        <v>1122875</v>
      </c>
      <c r="EC34" s="229">
        <v>2.2000000000000001E-3</v>
      </c>
      <c r="ED34" s="229">
        <v>0.80189999999999995</v>
      </c>
      <c r="EE34" s="228">
        <v>2.56</v>
      </c>
      <c r="EF34" s="229">
        <v>1.2999999999999999E-3</v>
      </c>
      <c r="EG34" s="230">
        <v>115189</v>
      </c>
      <c r="EH34" s="230">
        <v>351480</v>
      </c>
      <c r="EI34" s="229">
        <v>-0.67230000000000001</v>
      </c>
      <c r="EJ34" s="229">
        <v>0.42380000000000001</v>
      </c>
      <c r="EK34" s="228">
        <v>433.08</v>
      </c>
      <c r="EL34" s="228">
        <v>148.56</v>
      </c>
      <c r="EM34" s="228">
        <v>341.77</v>
      </c>
      <c r="EN34" s="228">
        <v>32</v>
      </c>
      <c r="EO34" s="228">
        <v>923.41</v>
      </c>
      <c r="EP34" s="231">
        <v>1834.61</v>
      </c>
      <c r="EQ34" s="228">
        <v>-911.2</v>
      </c>
      <c r="ER34" s="229">
        <v>-0.49669999999999997</v>
      </c>
      <c r="ES34" s="228">
        <v>180.72</v>
      </c>
      <c r="ET34" s="228">
        <v>81.55</v>
      </c>
      <c r="EU34" s="228">
        <v>350.91</v>
      </c>
      <c r="EV34" s="231">
        <v>19584741</v>
      </c>
      <c r="EW34" s="228">
        <v>613.16999999999996</v>
      </c>
      <c r="EX34" s="228">
        <v>675.16</v>
      </c>
      <c r="EY34" s="228">
        <v>-61.99</v>
      </c>
      <c r="EZ34" s="229">
        <v>-9.1800000000000007E-2</v>
      </c>
      <c r="FA34" s="229">
        <v>0.1575</v>
      </c>
      <c r="FB34" s="227" t="s">
        <v>568</v>
      </c>
      <c r="FC34">
        <f t="shared" si="0"/>
        <v>281</v>
      </c>
    </row>
    <row r="35" spans="1:159" ht="17.25" thickBot="1" x14ac:dyDescent="0.3">
      <c r="A35" s="226">
        <v>45957</v>
      </c>
      <c r="B35" s="227" t="s">
        <v>162</v>
      </c>
      <c r="C35" s="227" t="s">
        <v>192</v>
      </c>
      <c r="D35" s="228">
        <v>25</v>
      </c>
      <c r="E35" s="228">
        <v>1</v>
      </c>
      <c r="F35" s="231">
        <v>38965</v>
      </c>
      <c r="G35" s="231">
        <v>38550</v>
      </c>
      <c r="H35" s="228">
        <v>415</v>
      </c>
      <c r="I35" s="229">
        <v>1.0800000000000001E-2</v>
      </c>
      <c r="J35" s="231">
        <v>39005</v>
      </c>
      <c r="K35" s="231">
        <v>38585</v>
      </c>
      <c r="L35" s="228">
        <v>420</v>
      </c>
      <c r="M35" s="229">
        <v>1.09E-2</v>
      </c>
      <c r="N35" s="231">
        <v>38965</v>
      </c>
      <c r="O35" s="231">
        <v>38550</v>
      </c>
      <c r="P35" s="228">
        <v>415</v>
      </c>
      <c r="Q35" s="229">
        <v>1.0800000000000001E-2</v>
      </c>
      <c r="R35" s="231">
        <v>39185</v>
      </c>
      <c r="S35" s="231">
        <v>38760</v>
      </c>
      <c r="T35" s="228">
        <v>425</v>
      </c>
      <c r="U35" s="229">
        <v>1.0999999999999999E-2</v>
      </c>
      <c r="V35" s="231">
        <v>39480</v>
      </c>
      <c r="W35" s="231">
        <v>38965</v>
      </c>
      <c r="X35" s="228">
        <v>515</v>
      </c>
      <c r="Y35" s="229">
        <v>1.32E-2</v>
      </c>
      <c r="Z35" s="228">
        <v>-40</v>
      </c>
      <c r="AA35" s="228">
        <v>-35</v>
      </c>
      <c r="AB35" s="228">
        <v>-5</v>
      </c>
      <c r="AC35" s="229">
        <v>-1E-3</v>
      </c>
      <c r="AD35" s="228">
        <v>-40</v>
      </c>
      <c r="AE35" s="228">
        <v>-35</v>
      </c>
      <c r="AF35" s="228">
        <v>-5</v>
      </c>
      <c r="AG35" s="229">
        <v>-1E-3</v>
      </c>
      <c r="AH35" s="228">
        <v>180</v>
      </c>
      <c r="AI35" s="228">
        <v>175</v>
      </c>
      <c r="AJ35" s="228">
        <v>5</v>
      </c>
      <c r="AK35" s="229">
        <v>4.5999999999999999E-3</v>
      </c>
      <c r="AL35" s="228">
        <v>475</v>
      </c>
      <c r="AM35" s="228">
        <v>380</v>
      </c>
      <c r="AN35" s="228">
        <v>95</v>
      </c>
      <c r="AO35" s="229">
        <v>1.2200000000000001E-2</v>
      </c>
      <c r="AP35" s="231">
        <v>38729.15</v>
      </c>
      <c r="AQ35" s="231">
        <v>38958.870000000003</v>
      </c>
      <c r="AR35" s="228">
        <v>0</v>
      </c>
      <c r="AS35" s="228">
        <v>537</v>
      </c>
      <c r="AT35" s="228">
        <v>751</v>
      </c>
      <c r="AU35" s="228">
        <v>-214</v>
      </c>
      <c r="AV35" s="229">
        <v>-0.28499999999999998</v>
      </c>
      <c r="AW35" s="228">
        <v>268</v>
      </c>
      <c r="AX35" s="228">
        <v>377</v>
      </c>
      <c r="AY35" s="228">
        <v>-109</v>
      </c>
      <c r="AZ35" s="229">
        <v>-0.28960000000000002</v>
      </c>
      <c r="BA35" s="228">
        <v>266</v>
      </c>
      <c r="BB35" s="228">
        <v>370</v>
      </c>
      <c r="BC35" s="228">
        <v>-104</v>
      </c>
      <c r="BD35" s="229">
        <v>-0.28060000000000002</v>
      </c>
      <c r="BE35" s="228">
        <v>2</v>
      </c>
      <c r="BF35" s="228">
        <v>3</v>
      </c>
      <c r="BG35" s="228">
        <v>-1</v>
      </c>
      <c r="BH35" s="229">
        <v>-0.25</v>
      </c>
      <c r="BI35" s="228">
        <v>510</v>
      </c>
      <c r="BJ35" s="228">
        <v>582</v>
      </c>
      <c r="BK35" s="228">
        <v>-72</v>
      </c>
      <c r="BL35" s="229">
        <v>-0.1236</v>
      </c>
      <c r="BM35" s="228">
        <v>131</v>
      </c>
      <c r="BN35" s="228">
        <v>230</v>
      </c>
      <c r="BO35" s="228">
        <v>-99</v>
      </c>
      <c r="BP35" s="229">
        <v>-0.42859999999999998</v>
      </c>
      <c r="BQ35" s="230">
        <v>1178</v>
      </c>
      <c r="BR35" s="230">
        <v>1562</v>
      </c>
      <c r="BS35" s="228">
        <v>-384</v>
      </c>
      <c r="BT35" s="229">
        <v>-0.24610000000000001</v>
      </c>
      <c r="BU35" s="230">
        <v>9954</v>
      </c>
      <c r="BV35" s="230">
        <v>13033</v>
      </c>
      <c r="BW35" s="230">
        <v>-3079</v>
      </c>
      <c r="BX35" s="229">
        <v>-0.23619999999999999</v>
      </c>
      <c r="BY35" s="228">
        <v>894</v>
      </c>
      <c r="BZ35" s="228">
        <v>900</v>
      </c>
      <c r="CA35" s="228">
        <v>-6</v>
      </c>
      <c r="CB35" s="229">
        <v>-6.4999999999999997E-3</v>
      </c>
      <c r="CC35" s="228">
        <v>150</v>
      </c>
      <c r="CD35" s="228">
        <v>348</v>
      </c>
      <c r="CE35" s="228">
        <v>-198</v>
      </c>
      <c r="CF35" s="229">
        <v>-0.56899999999999995</v>
      </c>
      <c r="CG35" s="228">
        <v>739</v>
      </c>
      <c r="CH35" s="228">
        <v>547</v>
      </c>
      <c r="CI35" s="228">
        <v>192</v>
      </c>
      <c r="CJ35" s="229">
        <v>0.35</v>
      </c>
      <c r="CK35" s="228">
        <v>5</v>
      </c>
      <c r="CL35" s="228">
        <v>5</v>
      </c>
      <c r="CM35" s="228">
        <v>0</v>
      </c>
      <c r="CN35" s="229">
        <v>0.1042</v>
      </c>
      <c r="CO35" s="228">
        <v>302</v>
      </c>
      <c r="CP35" s="228">
        <v>294</v>
      </c>
      <c r="CQ35" s="228">
        <v>9</v>
      </c>
      <c r="CR35" s="229">
        <v>2.92E-2</v>
      </c>
      <c r="CS35" s="228">
        <v>177</v>
      </c>
      <c r="CT35" s="228">
        <v>187</v>
      </c>
      <c r="CU35" s="228">
        <v>-10</v>
      </c>
      <c r="CV35" s="229">
        <v>-5.21E-2</v>
      </c>
      <c r="CW35" s="230">
        <v>1374</v>
      </c>
      <c r="CX35" s="230">
        <v>1381</v>
      </c>
      <c r="CY35" s="228">
        <v>-7</v>
      </c>
      <c r="CZ35" s="229">
        <v>-5.1000000000000004E-3</v>
      </c>
      <c r="DA35" s="228">
        <v>21.76</v>
      </c>
      <c r="DB35" s="228">
        <v>22.36</v>
      </c>
      <c r="DC35" s="228">
        <v>-0.6</v>
      </c>
      <c r="DD35" s="228">
        <v>-0.6</v>
      </c>
      <c r="DE35" s="228">
        <v>28.61</v>
      </c>
      <c r="DF35" s="228">
        <v>28.64</v>
      </c>
      <c r="DG35" s="228">
        <v>-6.85</v>
      </c>
      <c r="DH35" s="228">
        <v>-0.03</v>
      </c>
      <c r="DI35" s="228">
        <v>21.36</v>
      </c>
      <c r="DJ35" s="228">
        <v>22.35</v>
      </c>
      <c r="DK35" s="228">
        <v>-0.99</v>
      </c>
      <c r="DL35" s="228">
        <v>-0.99</v>
      </c>
      <c r="DM35" s="228">
        <v>23.21</v>
      </c>
      <c r="DN35" s="228">
        <v>22.4</v>
      </c>
      <c r="DO35" s="228">
        <v>0.81</v>
      </c>
      <c r="DP35" s="228">
        <v>0.81</v>
      </c>
      <c r="DQ35" s="228">
        <v>0.59</v>
      </c>
      <c r="DR35" s="228">
        <v>0.64</v>
      </c>
      <c r="DS35" s="228">
        <v>-0.05</v>
      </c>
      <c r="DT35" s="229">
        <v>-7.8100000000000003E-2</v>
      </c>
      <c r="DU35" s="231">
        <v>40000</v>
      </c>
      <c r="DV35" s="231">
        <v>39000</v>
      </c>
      <c r="DW35" s="228">
        <v>0.26</v>
      </c>
      <c r="DX35" s="228">
        <v>0.4</v>
      </c>
      <c r="DY35" s="228">
        <v>-0.14000000000000001</v>
      </c>
      <c r="DZ35" s="229">
        <v>-0.35</v>
      </c>
      <c r="EA35" s="229">
        <v>0.83230000000000004</v>
      </c>
      <c r="EB35" s="230">
        <v>141700</v>
      </c>
      <c r="EC35" s="229">
        <v>5.5999999999999999E-3</v>
      </c>
      <c r="ED35" s="229">
        <v>0.83230000000000004</v>
      </c>
      <c r="EE35" s="228">
        <v>229.72</v>
      </c>
      <c r="EF35" s="229">
        <v>5.8999999999999999E-3</v>
      </c>
      <c r="EG35" s="230">
        <v>3804</v>
      </c>
      <c r="EH35" s="230">
        <v>5700</v>
      </c>
      <c r="EI35" s="229">
        <v>-0.33260000000000001</v>
      </c>
      <c r="EJ35" s="229">
        <v>0.38219999999999998</v>
      </c>
      <c r="EK35" s="228">
        <v>526.54999999999995</v>
      </c>
      <c r="EL35" s="228">
        <v>128.25</v>
      </c>
      <c r="EM35" s="228">
        <v>534.99</v>
      </c>
      <c r="EN35" s="228">
        <v>38.700000000000003</v>
      </c>
      <c r="EO35" s="231">
        <v>1189.8</v>
      </c>
      <c r="EP35" s="231">
        <v>1580.39</v>
      </c>
      <c r="EQ35" s="228">
        <v>-390.59</v>
      </c>
      <c r="ER35" s="229">
        <v>-0.24709999999999999</v>
      </c>
      <c r="ES35" s="228">
        <v>310.60000000000002</v>
      </c>
      <c r="ET35" s="228">
        <v>171.82</v>
      </c>
      <c r="EU35" s="228">
        <v>898.39</v>
      </c>
      <c r="EV35" s="231">
        <v>982526</v>
      </c>
      <c r="EW35" s="231">
        <v>1380.81</v>
      </c>
      <c r="EX35" s="231">
        <v>1376.16</v>
      </c>
      <c r="EY35" s="228">
        <v>4.6500000000000004</v>
      </c>
      <c r="EZ35" s="229">
        <v>3.3999999999999998E-3</v>
      </c>
      <c r="FA35" s="229">
        <v>0.3589</v>
      </c>
      <c r="FB35" s="227" t="s">
        <v>556</v>
      </c>
      <c r="FC35">
        <f t="shared" si="0"/>
        <v>744</v>
      </c>
    </row>
    <row r="36" spans="1:159" ht="17.25" thickBot="1" x14ac:dyDescent="0.3">
      <c r="A36" s="226">
        <v>45957</v>
      </c>
      <c r="B36" s="227" t="s">
        <v>193</v>
      </c>
      <c r="C36" s="227" t="s">
        <v>194</v>
      </c>
      <c r="D36" s="228">
        <v>1975</v>
      </c>
      <c r="E36" s="228">
        <v>1</v>
      </c>
      <c r="F36" s="228">
        <v>342.75</v>
      </c>
      <c r="G36" s="228">
        <v>330.65</v>
      </c>
      <c r="H36" s="228">
        <v>12.1</v>
      </c>
      <c r="I36" s="229">
        <v>3.6600000000000001E-2</v>
      </c>
      <c r="J36" s="228">
        <v>343</v>
      </c>
      <c r="K36" s="228">
        <v>330.45</v>
      </c>
      <c r="L36" s="228">
        <v>12.55</v>
      </c>
      <c r="M36" s="229">
        <v>3.7999999999999999E-2</v>
      </c>
      <c r="N36" s="228">
        <v>342.75</v>
      </c>
      <c r="O36" s="228">
        <v>330.65</v>
      </c>
      <c r="P36" s="228">
        <v>12.1</v>
      </c>
      <c r="Q36" s="229">
        <v>3.6600000000000001E-2</v>
      </c>
      <c r="R36" s="228">
        <v>343</v>
      </c>
      <c r="S36" s="228">
        <v>331.55</v>
      </c>
      <c r="T36" s="228">
        <v>11.45</v>
      </c>
      <c r="U36" s="229">
        <v>3.4500000000000003E-2</v>
      </c>
      <c r="V36" s="228">
        <v>343.45</v>
      </c>
      <c r="W36" s="228">
        <v>332.65</v>
      </c>
      <c r="X36" s="228">
        <v>10.8</v>
      </c>
      <c r="Y36" s="229">
        <v>3.2500000000000001E-2</v>
      </c>
      <c r="Z36" s="228">
        <v>-0.25</v>
      </c>
      <c r="AA36" s="228">
        <v>0.2</v>
      </c>
      <c r="AB36" s="228">
        <v>-0.45</v>
      </c>
      <c r="AC36" s="229">
        <v>-6.9999999999999999E-4</v>
      </c>
      <c r="AD36" s="228">
        <v>-0.25</v>
      </c>
      <c r="AE36" s="228">
        <v>0.2</v>
      </c>
      <c r="AF36" s="228">
        <v>-0.45</v>
      </c>
      <c r="AG36" s="229">
        <v>-6.9999999999999999E-4</v>
      </c>
      <c r="AH36" s="228">
        <v>0</v>
      </c>
      <c r="AI36" s="228">
        <v>1.1000000000000001</v>
      </c>
      <c r="AJ36" s="228">
        <v>-1.1000000000000001</v>
      </c>
      <c r="AK36" s="229">
        <v>0</v>
      </c>
      <c r="AL36" s="228">
        <v>0.45</v>
      </c>
      <c r="AM36" s="228">
        <v>2.2000000000000002</v>
      </c>
      <c r="AN36" s="228">
        <v>-1.75</v>
      </c>
      <c r="AO36" s="229">
        <v>1.2999999999999999E-3</v>
      </c>
      <c r="AP36" s="228">
        <v>339.37</v>
      </c>
      <c r="AQ36" s="228">
        <v>340.14</v>
      </c>
      <c r="AR36" s="228">
        <v>0</v>
      </c>
      <c r="AS36" s="228">
        <v>867</v>
      </c>
      <c r="AT36" s="228">
        <v>791</v>
      </c>
      <c r="AU36" s="228">
        <v>75</v>
      </c>
      <c r="AV36" s="229">
        <v>9.5200000000000007E-2</v>
      </c>
      <c r="AW36" s="228">
        <v>399</v>
      </c>
      <c r="AX36" s="228">
        <v>395</v>
      </c>
      <c r="AY36" s="228">
        <v>4</v>
      </c>
      <c r="AZ36" s="229">
        <v>9.4000000000000004E-3</v>
      </c>
      <c r="BA36" s="228">
        <v>458</v>
      </c>
      <c r="BB36" s="228">
        <v>391</v>
      </c>
      <c r="BC36" s="228">
        <v>66</v>
      </c>
      <c r="BD36" s="229">
        <v>0.16950000000000001</v>
      </c>
      <c r="BE36" s="228">
        <v>10</v>
      </c>
      <c r="BF36" s="228">
        <v>5</v>
      </c>
      <c r="BG36" s="228">
        <v>5</v>
      </c>
      <c r="BH36" s="229">
        <v>1.1143000000000001</v>
      </c>
      <c r="BI36" s="230">
        <v>1977</v>
      </c>
      <c r="BJ36" s="230">
        <v>1182</v>
      </c>
      <c r="BK36" s="228">
        <v>795</v>
      </c>
      <c r="BL36" s="229">
        <v>0.67230000000000001</v>
      </c>
      <c r="BM36" s="228">
        <v>894</v>
      </c>
      <c r="BN36" s="228">
        <v>668</v>
      </c>
      <c r="BO36" s="228">
        <v>226</v>
      </c>
      <c r="BP36" s="229">
        <v>0.33860000000000001</v>
      </c>
      <c r="BQ36" s="230">
        <v>3738</v>
      </c>
      <c r="BR36" s="230">
        <v>2642</v>
      </c>
      <c r="BS36" s="230">
        <v>1096</v>
      </c>
      <c r="BT36" s="229">
        <v>0.41499999999999998</v>
      </c>
      <c r="BU36" s="230">
        <v>12620738</v>
      </c>
      <c r="BV36" s="230">
        <v>9129520</v>
      </c>
      <c r="BW36" s="230">
        <v>3491218</v>
      </c>
      <c r="BX36" s="229">
        <v>0.38240000000000002</v>
      </c>
      <c r="BY36" s="230">
        <v>1654</v>
      </c>
      <c r="BZ36" s="230">
        <v>1713</v>
      </c>
      <c r="CA36" s="228">
        <v>-58</v>
      </c>
      <c r="CB36" s="229">
        <v>-3.4000000000000002E-2</v>
      </c>
      <c r="CC36" s="228">
        <v>774</v>
      </c>
      <c r="CD36" s="230">
        <v>1020</v>
      </c>
      <c r="CE36" s="228">
        <v>-246</v>
      </c>
      <c r="CF36" s="229">
        <v>-0.2412</v>
      </c>
      <c r="CG36" s="228">
        <v>868</v>
      </c>
      <c r="CH36" s="228">
        <v>682</v>
      </c>
      <c r="CI36" s="228">
        <v>186</v>
      </c>
      <c r="CJ36" s="229">
        <v>0.27329999999999999</v>
      </c>
      <c r="CK36" s="228">
        <v>12</v>
      </c>
      <c r="CL36" s="228">
        <v>10</v>
      </c>
      <c r="CM36" s="228">
        <v>1</v>
      </c>
      <c r="CN36" s="229">
        <v>0.14380000000000001</v>
      </c>
      <c r="CO36" s="228">
        <v>505</v>
      </c>
      <c r="CP36" s="228">
        <v>543</v>
      </c>
      <c r="CQ36" s="228">
        <v>-38</v>
      </c>
      <c r="CR36" s="229">
        <v>-6.9800000000000001E-2</v>
      </c>
      <c r="CS36" s="228">
        <v>383</v>
      </c>
      <c r="CT36" s="228">
        <v>349</v>
      </c>
      <c r="CU36" s="228">
        <v>34</v>
      </c>
      <c r="CV36" s="229">
        <v>9.7100000000000006E-2</v>
      </c>
      <c r="CW36" s="230">
        <v>2542</v>
      </c>
      <c r="CX36" s="230">
        <v>2605</v>
      </c>
      <c r="CY36" s="228">
        <v>-62</v>
      </c>
      <c r="CZ36" s="229">
        <v>-2.3900000000000001E-2</v>
      </c>
      <c r="DA36" s="228">
        <v>29.21</v>
      </c>
      <c r="DB36" s="228">
        <v>27.22</v>
      </c>
      <c r="DC36" s="228">
        <v>1.99</v>
      </c>
      <c r="DD36" s="228">
        <v>1.99</v>
      </c>
      <c r="DE36" s="228">
        <v>33.46</v>
      </c>
      <c r="DF36" s="228">
        <v>33.19</v>
      </c>
      <c r="DG36" s="228">
        <v>-4.25</v>
      </c>
      <c r="DH36" s="228">
        <v>0.27</v>
      </c>
      <c r="DI36" s="228">
        <v>29.13</v>
      </c>
      <c r="DJ36" s="228">
        <v>27.4</v>
      </c>
      <c r="DK36" s="228">
        <v>1.73</v>
      </c>
      <c r="DL36" s="228">
        <v>1.73</v>
      </c>
      <c r="DM36" s="228">
        <v>29.42</v>
      </c>
      <c r="DN36" s="228">
        <v>26.88</v>
      </c>
      <c r="DO36" s="228">
        <v>2.54</v>
      </c>
      <c r="DP36" s="228">
        <v>2.54</v>
      </c>
      <c r="DQ36" s="228">
        <v>0.76</v>
      </c>
      <c r="DR36" s="228">
        <v>0.64</v>
      </c>
      <c r="DS36" s="228">
        <v>0.12</v>
      </c>
      <c r="DT36" s="229">
        <v>0.1875</v>
      </c>
      <c r="DU36" s="228">
        <v>350</v>
      </c>
      <c r="DV36" s="228">
        <v>340</v>
      </c>
      <c r="DW36" s="228">
        <v>0.45</v>
      </c>
      <c r="DX36" s="228">
        <v>0.56000000000000005</v>
      </c>
      <c r="DY36" s="228">
        <v>-0.11</v>
      </c>
      <c r="DZ36" s="229">
        <v>-0.19639999999999999</v>
      </c>
      <c r="EA36" s="229">
        <v>0.53200000000000003</v>
      </c>
      <c r="EB36" s="230">
        <v>20200300</v>
      </c>
      <c r="EC36" s="229">
        <v>6.9999999999999999E-4</v>
      </c>
      <c r="ED36" s="229">
        <v>0.53200000000000003</v>
      </c>
      <c r="EE36" s="228">
        <v>0.77</v>
      </c>
      <c r="EF36" s="229">
        <v>2.3E-3</v>
      </c>
      <c r="EG36" s="230">
        <v>6003889</v>
      </c>
      <c r="EH36" s="230">
        <v>5082657</v>
      </c>
      <c r="EI36" s="229">
        <v>0.18129999999999999</v>
      </c>
      <c r="EJ36" s="229">
        <v>0.47570000000000001</v>
      </c>
      <c r="EK36" s="231">
        <v>2010.02</v>
      </c>
      <c r="EL36" s="228">
        <v>878.64</v>
      </c>
      <c r="EM36" s="228">
        <v>859.31</v>
      </c>
      <c r="EN36" s="228">
        <v>79.34</v>
      </c>
      <c r="EO36" s="231">
        <v>3747.97</v>
      </c>
      <c r="EP36" s="231">
        <v>2596.62</v>
      </c>
      <c r="EQ36" s="231">
        <v>1151.3499999999999</v>
      </c>
      <c r="ER36" s="229">
        <v>0.44340000000000002</v>
      </c>
      <c r="ES36" s="228">
        <v>519.20000000000005</v>
      </c>
      <c r="ET36" s="228">
        <v>365.43</v>
      </c>
      <c r="EU36" s="231">
        <v>1655.15</v>
      </c>
      <c r="EV36" s="231">
        <v>281577339</v>
      </c>
      <c r="EW36" s="231">
        <v>2539.77</v>
      </c>
      <c r="EX36" s="231">
        <v>2539.7199999999998</v>
      </c>
      <c r="EY36" s="228">
        <v>0.05</v>
      </c>
      <c r="EZ36" s="229">
        <v>0</v>
      </c>
      <c r="FA36" s="229">
        <v>0.26340000000000002</v>
      </c>
      <c r="FB36" s="227" t="s">
        <v>556</v>
      </c>
      <c r="FC36">
        <f t="shared" si="0"/>
        <v>880</v>
      </c>
    </row>
    <row r="37" spans="1:159" ht="17.25" thickBot="1" x14ac:dyDescent="0.3">
      <c r="A37" s="226">
        <v>45957</v>
      </c>
      <c r="B37" s="227" t="s">
        <v>168</v>
      </c>
      <c r="C37" s="227" t="s">
        <v>195</v>
      </c>
      <c r="D37" s="228">
        <v>125</v>
      </c>
      <c r="E37" s="228">
        <v>1</v>
      </c>
      <c r="F37" s="231">
        <v>5910.5</v>
      </c>
      <c r="G37" s="231">
        <v>6052</v>
      </c>
      <c r="H37" s="228">
        <v>-141.5</v>
      </c>
      <c r="I37" s="229">
        <v>-2.3400000000000001E-2</v>
      </c>
      <c r="J37" s="231">
        <v>5912</v>
      </c>
      <c r="K37" s="231">
        <v>6053</v>
      </c>
      <c r="L37" s="228">
        <v>-141</v>
      </c>
      <c r="M37" s="229">
        <v>-2.3300000000000001E-2</v>
      </c>
      <c r="N37" s="231">
        <v>5910.5</v>
      </c>
      <c r="O37" s="231">
        <v>6052</v>
      </c>
      <c r="P37" s="228">
        <v>-141.5</v>
      </c>
      <c r="Q37" s="229">
        <v>-2.3400000000000001E-2</v>
      </c>
      <c r="R37" s="231">
        <v>5944</v>
      </c>
      <c r="S37" s="231">
        <v>6086.5</v>
      </c>
      <c r="T37" s="228">
        <v>-142.5</v>
      </c>
      <c r="U37" s="229">
        <v>-2.3400000000000001E-2</v>
      </c>
      <c r="V37" s="231">
        <v>5983</v>
      </c>
      <c r="W37" s="231">
        <v>6112</v>
      </c>
      <c r="X37" s="228">
        <v>-129</v>
      </c>
      <c r="Y37" s="229">
        <v>-2.1100000000000001E-2</v>
      </c>
      <c r="Z37" s="228">
        <v>-1.5</v>
      </c>
      <c r="AA37" s="228">
        <v>-1</v>
      </c>
      <c r="AB37" s="228">
        <v>-0.5</v>
      </c>
      <c r="AC37" s="229">
        <v>-2.9999999999999997E-4</v>
      </c>
      <c r="AD37" s="228">
        <v>-1.5</v>
      </c>
      <c r="AE37" s="228">
        <v>-1</v>
      </c>
      <c r="AF37" s="228">
        <v>-0.5</v>
      </c>
      <c r="AG37" s="229">
        <v>-2.9999999999999997E-4</v>
      </c>
      <c r="AH37" s="228">
        <v>32</v>
      </c>
      <c r="AI37" s="228">
        <v>33.5</v>
      </c>
      <c r="AJ37" s="228">
        <v>-1.5</v>
      </c>
      <c r="AK37" s="229">
        <v>5.4000000000000003E-3</v>
      </c>
      <c r="AL37" s="228">
        <v>71</v>
      </c>
      <c r="AM37" s="228">
        <v>59</v>
      </c>
      <c r="AN37" s="228">
        <v>12</v>
      </c>
      <c r="AO37" s="229">
        <v>1.2E-2</v>
      </c>
      <c r="AP37" s="231">
        <v>5936.62</v>
      </c>
      <c r="AQ37" s="231">
        <v>5962.91</v>
      </c>
      <c r="AR37" s="228">
        <v>0</v>
      </c>
      <c r="AS37" s="230">
        <v>1574</v>
      </c>
      <c r="AT37" s="230">
        <v>1657</v>
      </c>
      <c r="AU37" s="228">
        <v>-82</v>
      </c>
      <c r="AV37" s="229">
        <v>-4.9599999999999998E-2</v>
      </c>
      <c r="AW37" s="228">
        <v>673</v>
      </c>
      <c r="AX37" s="228">
        <v>833</v>
      </c>
      <c r="AY37" s="228">
        <v>-160</v>
      </c>
      <c r="AZ37" s="229">
        <v>-0.19239999999999999</v>
      </c>
      <c r="BA37" s="228">
        <v>898</v>
      </c>
      <c r="BB37" s="228">
        <v>822</v>
      </c>
      <c r="BC37" s="228">
        <v>75</v>
      </c>
      <c r="BD37" s="229">
        <v>9.1700000000000004E-2</v>
      </c>
      <c r="BE37" s="228">
        <v>4</v>
      </c>
      <c r="BF37" s="228">
        <v>1</v>
      </c>
      <c r="BG37" s="228">
        <v>3</v>
      </c>
      <c r="BH37" s="229">
        <v>1.9443999999999999</v>
      </c>
      <c r="BI37" s="230">
        <v>1489</v>
      </c>
      <c r="BJ37" s="228">
        <v>485</v>
      </c>
      <c r="BK37" s="230">
        <v>1004</v>
      </c>
      <c r="BL37" s="229">
        <v>2.0720999999999998</v>
      </c>
      <c r="BM37" s="230">
        <v>1504</v>
      </c>
      <c r="BN37" s="228">
        <v>435</v>
      </c>
      <c r="BO37" s="230">
        <v>1069</v>
      </c>
      <c r="BP37" s="229">
        <v>2.4569999999999999</v>
      </c>
      <c r="BQ37" s="230">
        <v>4568</v>
      </c>
      <c r="BR37" s="230">
        <v>2576</v>
      </c>
      <c r="BS37" s="230">
        <v>1991</v>
      </c>
      <c r="BT37" s="229">
        <v>0.77290000000000003</v>
      </c>
      <c r="BU37" s="230">
        <v>441465</v>
      </c>
      <c r="BV37" s="230">
        <v>84296</v>
      </c>
      <c r="BW37" s="230">
        <v>357169</v>
      </c>
      <c r="BX37" s="229">
        <v>4.2370999999999999</v>
      </c>
      <c r="BY37" s="230">
        <v>2075</v>
      </c>
      <c r="BZ37" s="230">
        <v>2143</v>
      </c>
      <c r="CA37" s="228">
        <v>-68</v>
      </c>
      <c r="CB37" s="229">
        <v>-3.1600000000000003E-2</v>
      </c>
      <c r="CC37" s="228">
        <v>421</v>
      </c>
      <c r="CD37" s="228">
        <v>974</v>
      </c>
      <c r="CE37" s="228">
        <v>-553</v>
      </c>
      <c r="CF37" s="229">
        <v>-0.5675</v>
      </c>
      <c r="CG37" s="230">
        <v>1647</v>
      </c>
      <c r="CH37" s="230">
        <v>1165</v>
      </c>
      <c r="CI37" s="228">
        <v>483</v>
      </c>
      <c r="CJ37" s="229">
        <v>0.41460000000000002</v>
      </c>
      <c r="CK37" s="228">
        <v>6</v>
      </c>
      <c r="CL37" s="228">
        <v>4</v>
      </c>
      <c r="CM37" s="228">
        <v>2</v>
      </c>
      <c r="CN37" s="229">
        <v>0.46550000000000002</v>
      </c>
      <c r="CO37" s="228">
        <v>537</v>
      </c>
      <c r="CP37" s="228">
        <v>490</v>
      </c>
      <c r="CQ37" s="228">
        <v>47</v>
      </c>
      <c r="CR37" s="229">
        <v>9.5600000000000004E-2</v>
      </c>
      <c r="CS37" s="228">
        <v>405</v>
      </c>
      <c r="CT37" s="228">
        <v>380</v>
      </c>
      <c r="CU37" s="228">
        <v>26</v>
      </c>
      <c r="CV37" s="229">
        <v>6.7400000000000002E-2</v>
      </c>
      <c r="CW37" s="230">
        <v>3017</v>
      </c>
      <c r="CX37" s="230">
        <v>3012</v>
      </c>
      <c r="CY37" s="228">
        <v>5</v>
      </c>
      <c r="CZ37" s="229">
        <v>1.5E-3</v>
      </c>
      <c r="DA37" s="228">
        <v>22.95</v>
      </c>
      <c r="DB37" s="228">
        <v>21.84</v>
      </c>
      <c r="DC37" s="228">
        <v>1.1100000000000001</v>
      </c>
      <c r="DD37" s="228">
        <v>1.1100000000000001</v>
      </c>
      <c r="DE37" s="228">
        <v>24.76</v>
      </c>
      <c r="DF37" s="228">
        <v>24.61</v>
      </c>
      <c r="DG37" s="228">
        <v>-1.81</v>
      </c>
      <c r="DH37" s="228">
        <v>0.15</v>
      </c>
      <c r="DI37" s="228">
        <v>22.91</v>
      </c>
      <c r="DJ37" s="228">
        <v>21.55</v>
      </c>
      <c r="DK37" s="228">
        <v>1.36</v>
      </c>
      <c r="DL37" s="228">
        <v>1.36</v>
      </c>
      <c r="DM37" s="228">
        <v>23.01</v>
      </c>
      <c r="DN37" s="228">
        <v>22.19</v>
      </c>
      <c r="DO37" s="228">
        <v>0.82</v>
      </c>
      <c r="DP37" s="228">
        <v>0.82</v>
      </c>
      <c r="DQ37" s="228">
        <v>0.75</v>
      </c>
      <c r="DR37" s="228">
        <v>0.77</v>
      </c>
      <c r="DS37" s="228">
        <v>-0.02</v>
      </c>
      <c r="DT37" s="229">
        <v>-2.5999999999999999E-2</v>
      </c>
      <c r="DU37" s="231">
        <v>6600</v>
      </c>
      <c r="DV37" s="231">
        <v>5500</v>
      </c>
      <c r="DW37" s="228">
        <v>1.01</v>
      </c>
      <c r="DX37" s="228">
        <v>0.9</v>
      </c>
      <c r="DY37" s="228">
        <v>0.11</v>
      </c>
      <c r="DZ37" s="229">
        <v>0.1222</v>
      </c>
      <c r="EA37" s="229">
        <v>0.79700000000000004</v>
      </c>
      <c r="EB37" s="230">
        <v>1977625</v>
      </c>
      <c r="EC37" s="229">
        <v>5.7000000000000002E-3</v>
      </c>
      <c r="ED37" s="229">
        <v>0.79700000000000004</v>
      </c>
      <c r="EE37" s="228">
        <v>26.29</v>
      </c>
      <c r="EF37" s="229">
        <v>4.4000000000000003E-3</v>
      </c>
      <c r="EG37" s="230">
        <v>250702</v>
      </c>
      <c r="EH37" s="230">
        <v>43275</v>
      </c>
      <c r="EI37" s="229">
        <v>4.7931999999999997</v>
      </c>
      <c r="EJ37" s="229">
        <v>0.56789999999999996</v>
      </c>
      <c r="EK37" s="231">
        <v>1533.34</v>
      </c>
      <c r="EL37" s="231">
        <v>1490.27</v>
      </c>
      <c r="EM37" s="231">
        <v>1585.33</v>
      </c>
      <c r="EN37" s="228">
        <v>97.27</v>
      </c>
      <c r="EO37" s="231">
        <v>4608.9399999999996</v>
      </c>
      <c r="EP37" s="231">
        <v>2640.67</v>
      </c>
      <c r="EQ37" s="231">
        <v>1968.27</v>
      </c>
      <c r="ER37" s="229">
        <v>0.74539999999999995</v>
      </c>
      <c r="ES37" s="228">
        <v>569.44000000000005</v>
      </c>
      <c r="ET37" s="228">
        <v>393.71</v>
      </c>
      <c r="EU37" s="231">
        <v>2084.3000000000002</v>
      </c>
      <c r="EV37" s="231">
        <v>13082978</v>
      </c>
      <c r="EW37" s="231">
        <v>3047.45</v>
      </c>
      <c r="EX37" s="231">
        <v>3094.09</v>
      </c>
      <c r="EY37" s="228">
        <v>-46.64</v>
      </c>
      <c r="EZ37" s="229">
        <v>-1.5100000000000001E-2</v>
      </c>
      <c r="FA37" s="229">
        <v>0.3901</v>
      </c>
      <c r="FB37" s="227" t="s">
        <v>568</v>
      </c>
      <c r="FC37">
        <f t="shared" si="0"/>
        <v>1654</v>
      </c>
    </row>
    <row r="38" spans="1:159" ht="17.25" thickBot="1" x14ac:dyDescent="0.3">
      <c r="A38" s="226">
        <v>45957</v>
      </c>
      <c r="B38" s="227" t="s">
        <v>175</v>
      </c>
      <c r="C38" s="227" t="s">
        <v>584</v>
      </c>
      <c r="D38" s="228">
        <v>375</v>
      </c>
      <c r="E38" s="228">
        <v>1</v>
      </c>
      <c r="F38" s="231">
        <v>2511.4</v>
      </c>
      <c r="G38" s="231">
        <v>2476.3000000000002</v>
      </c>
      <c r="H38" s="228">
        <v>35.1</v>
      </c>
      <c r="I38" s="229">
        <v>1.4200000000000001E-2</v>
      </c>
      <c r="J38" s="231">
        <v>2510.1999999999998</v>
      </c>
      <c r="K38" s="231">
        <v>2475</v>
      </c>
      <c r="L38" s="228">
        <v>35.200000000000003</v>
      </c>
      <c r="M38" s="229">
        <v>1.4200000000000001E-2</v>
      </c>
      <c r="N38" s="231">
        <v>2511.4</v>
      </c>
      <c r="O38" s="231">
        <v>2476.3000000000002</v>
      </c>
      <c r="P38" s="228">
        <v>35.1</v>
      </c>
      <c r="Q38" s="229">
        <v>1.4200000000000001E-2</v>
      </c>
      <c r="R38" s="231">
        <v>2526.3000000000002</v>
      </c>
      <c r="S38" s="231">
        <v>2489.8000000000002</v>
      </c>
      <c r="T38" s="228">
        <v>36.5</v>
      </c>
      <c r="U38" s="229">
        <v>1.47E-2</v>
      </c>
      <c r="V38" s="231">
        <v>2540</v>
      </c>
      <c r="W38" s="231">
        <v>2501.1999999999998</v>
      </c>
      <c r="X38" s="228">
        <v>38.799999999999997</v>
      </c>
      <c r="Y38" s="229">
        <v>1.55E-2</v>
      </c>
      <c r="Z38" s="228">
        <v>1.2</v>
      </c>
      <c r="AA38" s="228">
        <v>1.3</v>
      </c>
      <c r="AB38" s="228">
        <v>-0.1</v>
      </c>
      <c r="AC38" s="229">
        <v>5.0000000000000001E-4</v>
      </c>
      <c r="AD38" s="228">
        <v>1.2</v>
      </c>
      <c r="AE38" s="228">
        <v>1.3</v>
      </c>
      <c r="AF38" s="228">
        <v>-0.1</v>
      </c>
      <c r="AG38" s="229">
        <v>5.0000000000000001E-4</v>
      </c>
      <c r="AH38" s="228">
        <v>16.100000000000001</v>
      </c>
      <c r="AI38" s="228">
        <v>14.8</v>
      </c>
      <c r="AJ38" s="228">
        <v>1.3</v>
      </c>
      <c r="AK38" s="229">
        <v>6.4000000000000003E-3</v>
      </c>
      <c r="AL38" s="228">
        <v>29.8</v>
      </c>
      <c r="AM38" s="228">
        <v>26.2</v>
      </c>
      <c r="AN38" s="228">
        <v>3.6</v>
      </c>
      <c r="AO38" s="229">
        <v>1.1900000000000001E-2</v>
      </c>
      <c r="AP38" s="231">
        <v>2500.2399999999998</v>
      </c>
      <c r="AQ38" s="231">
        <v>2514.8200000000002</v>
      </c>
      <c r="AR38" s="228">
        <v>0</v>
      </c>
      <c r="AS38" s="230">
        <v>2347</v>
      </c>
      <c r="AT38" s="230">
        <v>1969</v>
      </c>
      <c r="AU38" s="228">
        <v>378</v>
      </c>
      <c r="AV38" s="229">
        <v>0.19220000000000001</v>
      </c>
      <c r="AW38" s="230">
        <v>1127</v>
      </c>
      <c r="AX38" s="230">
        <v>1024</v>
      </c>
      <c r="AY38" s="228">
        <v>102</v>
      </c>
      <c r="AZ38" s="229">
        <v>9.98E-2</v>
      </c>
      <c r="BA38" s="230">
        <v>1189</v>
      </c>
      <c r="BB38" s="228">
        <v>917</v>
      </c>
      <c r="BC38" s="228">
        <v>272</v>
      </c>
      <c r="BD38" s="229">
        <v>0.29649999999999999</v>
      </c>
      <c r="BE38" s="228">
        <v>32</v>
      </c>
      <c r="BF38" s="228">
        <v>28</v>
      </c>
      <c r="BG38" s="228">
        <v>4</v>
      </c>
      <c r="BH38" s="229">
        <v>0.15359999999999999</v>
      </c>
      <c r="BI38" s="230">
        <v>4720</v>
      </c>
      <c r="BJ38" s="230">
        <v>3457</v>
      </c>
      <c r="BK38" s="230">
        <v>1262</v>
      </c>
      <c r="BL38" s="229">
        <v>0.36509999999999998</v>
      </c>
      <c r="BM38" s="230">
        <v>2779</v>
      </c>
      <c r="BN38" s="230">
        <v>2622</v>
      </c>
      <c r="BO38" s="228">
        <v>156</v>
      </c>
      <c r="BP38" s="229">
        <v>5.9499999999999997E-2</v>
      </c>
      <c r="BQ38" s="230">
        <v>9845</v>
      </c>
      <c r="BR38" s="230">
        <v>8049</v>
      </c>
      <c r="BS38" s="230">
        <v>1797</v>
      </c>
      <c r="BT38" s="229">
        <v>0.22320000000000001</v>
      </c>
      <c r="BU38" s="230">
        <v>2544807</v>
      </c>
      <c r="BV38" s="230">
        <v>2121602</v>
      </c>
      <c r="BW38" s="230">
        <v>423205</v>
      </c>
      <c r="BX38" s="229">
        <v>0.19950000000000001</v>
      </c>
      <c r="BY38" s="230">
        <v>3305</v>
      </c>
      <c r="BZ38" s="230">
        <v>3285</v>
      </c>
      <c r="CA38" s="228">
        <v>20</v>
      </c>
      <c r="CB38" s="229">
        <v>6.1000000000000004E-3</v>
      </c>
      <c r="CC38" s="228">
        <v>920</v>
      </c>
      <c r="CD38" s="230">
        <v>1729</v>
      </c>
      <c r="CE38" s="228">
        <v>-809</v>
      </c>
      <c r="CF38" s="229">
        <v>-0.46800000000000003</v>
      </c>
      <c r="CG38" s="230">
        <v>2292</v>
      </c>
      <c r="CH38" s="230">
        <v>1474</v>
      </c>
      <c r="CI38" s="228">
        <v>818</v>
      </c>
      <c r="CJ38" s="229">
        <v>0.5554</v>
      </c>
      <c r="CK38" s="228">
        <v>93</v>
      </c>
      <c r="CL38" s="228">
        <v>82</v>
      </c>
      <c r="CM38" s="228">
        <v>11</v>
      </c>
      <c r="CN38" s="229">
        <v>0.13170000000000001</v>
      </c>
      <c r="CO38" s="230">
        <v>2145</v>
      </c>
      <c r="CP38" s="230">
        <v>2326</v>
      </c>
      <c r="CQ38" s="228">
        <v>-182</v>
      </c>
      <c r="CR38" s="229">
        <v>-7.8100000000000003E-2</v>
      </c>
      <c r="CS38" s="230">
        <v>1661</v>
      </c>
      <c r="CT38" s="230">
        <v>1786</v>
      </c>
      <c r="CU38" s="228">
        <v>-125</v>
      </c>
      <c r="CV38" s="229">
        <v>-6.9800000000000001E-2</v>
      </c>
      <c r="CW38" s="230">
        <v>7111</v>
      </c>
      <c r="CX38" s="230">
        <v>7398</v>
      </c>
      <c r="CY38" s="228">
        <v>-286</v>
      </c>
      <c r="CZ38" s="229">
        <v>-3.8699999999999998E-2</v>
      </c>
      <c r="DA38" s="228">
        <v>42.82</v>
      </c>
      <c r="DB38" s="228">
        <v>41.37</v>
      </c>
      <c r="DC38" s="228">
        <v>1.45</v>
      </c>
      <c r="DD38" s="228">
        <v>1.45</v>
      </c>
      <c r="DE38" s="228">
        <v>62.53</v>
      </c>
      <c r="DF38" s="228">
        <v>62.66</v>
      </c>
      <c r="DG38" s="228">
        <v>-19.71</v>
      </c>
      <c r="DH38" s="228">
        <v>-0.13</v>
      </c>
      <c r="DI38" s="228">
        <v>42.6</v>
      </c>
      <c r="DJ38" s="228">
        <v>41.03</v>
      </c>
      <c r="DK38" s="228">
        <v>1.57</v>
      </c>
      <c r="DL38" s="228">
        <v>1.57</v>
      </c>
      <c r="DM38" s="228">
        <v>43.27</v>
      </c>
      <c r="DN38" s="228">
        <v>41.71</v>
      </c>
      <c r="DO38" s="228">
        <v>1.56</v>
      </c>
      <c r="DP38" s="228">
        <v>1.56</v>
      </c>
      <c r="DQ38" s="228">
        <v>0.77</v>
      </c>
      <c r="DR38" s="228">
        <v>0.77</v>
      </c>
      <c r="DS38" s="228">
        <v>0</v>
      </c>
      <c r="DT38" s="229">
        <v>0</v>
      </c>
      <c r="DU38" s="231">
        <v>2500</v>
      </c>
      <c r="DV38" s="231">
        <v>2500</v>
      </c>
      <c r="DW38" s="228">
        <v>0.59</v>
      </c>
      <c r="DX38" s="228">
        <v>0.76</v>
      </c>
      <c r="DY38" s="228">
        <v>-0.17</v>
      </c>
      <c r="DZ38" s="229">
        <v>-0.22370000000000001</v>
      </c>
      <c r="EA38" s="229">
        <v>0.72170000000000001</v>
      </c>
      <c r="EB38" s="230">
        <v>6195000</v>
      </c>
      <c r="EC38" s="229">
        <v>5.8999999999999999E-3</v>
      </c>
      <c r="ED38" s="229">
        <v>0.72170000000000001</v>
      </c>
      <c r="EE38" s="228">
        <v>14.58</v>
      </c>
      <c r="EF38" s="229">
        <v>5.7999999999999996E-3</v>
      </c>
      <c r="EG38" s="230">
        <v>996128</v>
      </c>
      <c r="EH38" s="230">
        <v>594914</v>
      </c>
      <c r="EI38" s="229">
        <v>0.6744</v>
      </c>
      <c r="EJ38" s="229">
        <v>0.39140000000000003</v>
      </c>
      <c r="EK38" s="231">
        <v>4910.08</v>
      </c>
      <c r="EL38" s="231">
        <v>2658.23</v>
      </c>
      <c r="EM38" s="231">
        <v>2344.1799999999998</v>
      </c>
      <c r="EN38" s="228">
        <v>127.61</v>
      </c>
      <c r="EO38" s="231">
        <v>9912.49</v>
      </c>
      <c r="EP38" s="231">
        <v>8050.43</v>
      </c>
      <c r="EQ38" s="231">
        <v>1862.06</v>
      </c>
      <c r="ER38" s="229">
        <v>0.23130000000000001</v>
      </c>
      <c r="ES38" s="231">
        <v>2158.7199999999998</v>
      </c>
      <c r="ET38" s="231">
        <v>1499.43</v>
      </c>
      <c r="EU38" s="231">
        <v>3319.53</v>
      </c>
      <c r="EV38" s="231">
        <v>48385387</v>
      </c>
      <c r="EW38" s="231">
        <v>6977.69</v>
      </c>
      <c r="EX38" s="231">
        <v>7197.62</v>
      </c>
      <c r="EY38" s="228">
        <v>-219.93</v>
      </c>
      <c r="EZ38" s="229">
        <v>-3.0599999999999999E-2</v>
      </c>
      <c r="FA38" s="229">
        <v>0.58520000000000005</v>
      </c>
      <c r="FB38" s="227" t="s">
        <v>555</v>
      </c>
      <c r="FC38">
        <f t="shared" si="0"/>
        <v>2385</v>
      </c>
    </row>
    <row r="39" spans="1:159" ht="17.25" thickBot="1" x14ac:dyDescent="0.3">
      <c r="A39" s="226">
        <v>45957</v>
      </c>
      <c r="B39" s="227" t="s">
        <v>175</v>
      </c>
      <c r="C39" s="227" t="s">
        <v>611</v>
      </c>
      <c r="D39" s="228">
        <v>150</v>
      </c>
      <c r="E39" s="228">
        <v>1</v>
      </c>
      <c r="F39" s="231">
        <v>3973.9</v>
      </c>
      <c r="G39" s="231">
        <v>3880.9</v>
      </c>
      <c r="H39" s="228">
        <v>93</v>
      </c>
      <c r="I39" s="229">
        <v>2.4E-2</v>
      </c>
      <c r="J39" s="231">
        <v>3965.4</v>
      </c>
      <c r="K39" s="231">
        <v>3880.2</v>
      </c>
      <c r="L39" s="228">
        <v>85.2</v>
      </c>
      <c r="M39" s="229">
        <v>2.1999999999999999E-2</v>
      </c>
      <c r="N39" s="231">
        <v>3973.9</v>
      </c>
      <c r="O39" s="231">
        <v>3880.9</v>
      </c>
      <c r="P39" s="228">
        <v>93</v>
      </c>
      <c r="Q39" s="229">
        <v>2.4E-2</v>
      </c>
      <c r="R39" s="231">
        <v>3978.6</v>
      </c>
      <c r="S39" s="231">
        <v>3879.4</v>
      </c>
      <c r="T39" s="228">
        <v>99.2</v>
      </c>
      <c r="U39" s="229">
        <v>2.5600000000000001E-2</v>
      </c>
      <c r="V39" s="231">
        <v>3998.2</v>
      </c>
      <c r="W39" s="231">
        <v>3901.5</v>
      </c>
      <c r="X39" s="228">
        <v>96.7</v>
      </c>
      <c r="Y39" s="229">
        <v>2.4799999999999999E-2</v>
      </c>
      <c r="Z39" s="228">
        <v>8.5</v>
      </c>
      <c r="AA39" s="228">
        <v>0.7</v>
      </c>
      <c r="AB39" s="228">
        <v>7.8</v>
      </c>
      <c r="AC39" s="229">
        <v>2.0999999999999999E-3</v>
      </c>
      <c r="AD39" s="228">
        <v>8.5</v>
      </c>
      <c r="AE39" s="228">
        <v>0.7</v>
      </c>
      <c r="AF39" s="228">
        <v>7.8</v>
      </c>
      <c r="AG39" s="229">
        <v>2.0999999999999999E-3</v>
      </c>
      <c r="AH39" s="228">
        <v>13.2</v>
      </c>
      <c r="AI39" s="228">
        <v>-0.8</v>
      </c>
      <c r="AJ39" s="228">
        <v>14</v>
      </c>
      <c r="AK39" s="229">
        <v>3.3E-3</v>
      </c>
      <c r="AL39" s="228">
        <v>32.799999999999997</v>
      </c>
      <c r="AM39" s="228">
        <v>21.3</v>
      </c>
      <c r="AN39" s="228">
        <v>11.5</v>
      </c>
      <c r="AO39" s="229">
        <v>8.3000000000000001E-3</v>
      </c>
      <c r="AP39" s="231">
        <v>3957.76</v>
      </c>
      <c r="AQ39" s="231">
        <v>3964.15</v>
      </c>
      <c r="AR39" s="228">
        <v>0</v>
      </c>
      <c r="AS39" s="228">
        <v>840</v>
      </c>
      <c r="AT39" s="228">
        <v>706</v>
      </c>
      <c r="AU39" s="228">
        <v>134</v>
      </c>
      <c r="AV39" s="229">
        <v>0.18990000000000001</v>
      </c>
      <c r="AW39" s="228">
        <v>334</v>
      </c>
      <c r="AX39" s="228">
        <v>338</v>
      </c>
      <c r="AY39" s="228">
        <v>-4</v>
      </c>
      <c r="AZ39" s="229">
        <v>-1.04E-2</v>
      </c>
      <c r="BA39" s="228">
        <v>491</v>
      </c>
      <c r="BB39" s="228">
        <v>365</v>
      </c>
      <c r="BC39" s="228">
        <v>127</v>
      </c>
      <c r="BD39" s="229">
        <v>0.34699999999999998</v>
      </c>
      <c r="BE39" s="228">
        <v>15</v>
      </c>
      <c r="BF39" s="228">
        <v>4</v>
      </c>
      <c r="BG39" s="228">
        <v>11</v>
      </c>
      <c r="BH39" s="229">
        <v>2.9839000000000002</v>
      </c>
      <c r="BI39" s="230">
        <v>1510</v>
      </c>
      <c r="BJ39" s="228">
        <v>494</v>
      </c>
      <c r="BK39" s="230">
        <v>1017</v>
      </c>
      <c r="BL39" s="229">
        <v>2.06</v>
      </c>
      <c r="BM39" s="228">
        <v>489</v>
      </c>
      <c r="BN39" s="228">
        <v>242</v>
      </c>
      <c r="BO39" s="228">
        <v>248</v>
      </c>
      <c r="BP39" s="229">
        <v>1.0242</v>
      </c>
      <c r="BQ39" s="230">
        <v>2840</v>
      </c>
      <c r="BR39" s="230">
        <v>1441</v>
      </c>
      <c r="BS39" s="230">
        <v>1398</v>
      </c>
      <c r="BT39" s="229">
        <v>0.97019999999999995</v>
      </c>
      <c r="BU39" s="230">
        <v>535575</v>
      </c>
      <c r="BV39" s="230">
        <v>523892</v>
      </c>
      <c r="BW39" s="230">
        <v>11683</v>
      </c>
      <c r="BX39" s="229">
        <v>2.23E-2</v>
      </c>
      <c r="BY39" s="228">
        <v>818</v>
      </c>
      <c r="BZ39" s="228">
        <v>866</v>
      </c>
      <c r="CA39" s="228">
        <v>-47</v>
      </c>
      <c r="CB39" s="229">
        <v>-5.4699999999999999E-2</v>
      </c>
      <c r="CC39" s="228">
        <v>179</v>
      </c>
      <c r="CD39" s="228">
        <v>375</v>
      </c>
      <c r="CE39" s="228">
        <v>-196</v>
      </c>
      <c r="CF39" s="229">
        <v>-0.52239999999999998</v>
      </c>
      <c r="CG39" s="228">
        <v>625</v>
      </c>
      <c r="CH39" s="228">
        <v>478</v>
      </c>
      <c r="CI39" s="228">
        <v>147</v>
      </c>
      <c r="CJ39" s="229">
        <v>0.30630000000000002</v>
      </c>
      <c r="CK39" s="228">
        <v>14</v>
      </c>
      <c r="CL39" s="228">
        <v>12</v>
      </c>
      <c r="CM39" s="228">
        <v>2</v>
      </c>
      <c r="CN39" s="229">
        <v>0.18229999999999999</v>
      </c>
      <c r="CO39" s="228">
        <v>384</v>
      </c>
      <c r="CP39" s="228">
        <v>450</v>
      </c>
      <c r="CQ39" s="228">
        <v>-66</v>
      </c>
      <c r="CR39" s="229">
        <v>-0.14680000000000001</v>
      </c>
      <c r="CS39" s="228">
        <v>298</v>
      </c>
      <c r="CT39" s="228">
        <v>294</v>
      </c>
      <c r="CU39" s="228">
        <v>4</v>
      </c>
      <c r="CV39" s="229">
        <v>1.32E-2</v>
      </c>
      <c r="CW39" s="230">
        <v>1500</v>
      </c>
      <c r="CX39" s="230">
        <v>1609</v>
      </c>
      <c r="CY39" s="228">
        <v>-109</v>
      </c>
      <c r="CZ39" s="229">
        <v>-6.8000000000000005E-2</v>
      </c>
      <c r="DA39" s="228">
        <v>31.7</v>
      </c>
      <c r="DB39" s="228">
        <v>30.08</v>
      </c>
      <c r="DC39" s="228">
        <v>1.62</v>
      </c>
      <c r="DD39" s="228">
        <v>1.62</v>
      </c>
      <c r="DE39" s="228">
        <v>42.04</v>
      </c>
      <c r="DF39" s="228">
        <v>42.04</v>
      </c>
      <c r="DG39" s="228">
        <v>-10.34</v>
      </c>
      <c r="DH39" s="228">
        <v>0</v>
      </c>
      <c r="DI39" s="228">
        <v>31.79</v>
      </c>
      <c r="DJ39" s="228">
        <v>30.34</v>
      </c>
      <c r="DK39" s="228">
        <v>1.45</v>
      </c>
      <c r="DL39" s="228">
        <v>1.45</v>
      </c>
      <c r="DM39" s="228">
        <v>31.4</v>
      </c>
      <c r="DN39" s="228">
        <v>29.7</v>
      </c>
      <c r="DO39" s="228">
        <v>1.7</v>
      </c>
      <c r="DP39" s="228">
        <v>1.7</v>
      </c>
      <c r="DQ39" s="228">
        <v>0.78</v>
      </c>
      <c r="DR39" s="228">
        <v>0.65</v>
      </c>
      <c r="DS39" s="228">
        <v>0.13</v>
      </c>
      <c r="DT39" s="229">
        <v>0.2</v>
      </c>
      <c r="DU39" s="231">
        <v>4000</v>
      </c>
      <c r="DV39" s="231">
        <v>3800</v>
      </c>
      <c r="DW39" s="228">
        <v>0.32</v>
      </c>
      <c r="DX39" s="228">
        <v>0.49</v>
      </c>
      <c r="DY39" s="228">
        <v>-0.17</v>
      </c>
      <c r="DZ39" s="229">
        <v>-0.34689999999999999</v>
      </c>
      <c r="EA39" s="229">
        <v>0.78100000000000003</v>
      </c>
      <c r="EB39" s="230">
        <v>1234350</v>
      </c>
      <c r="EC39" s="229">
        <v>1.1999999999999999E-3</v>
      </c>
      <c r="ED39" s="229">
        <v>0.78100000000000003</v>
      </c>
      <c r="EE39" s="228">
        <v>6.39</v>
      </c>
      <c r="EF39" s="229">
        <v>1.6000000000000001E-3</v>
      </c>
      <c r="EG39" s="230">
        <v>255837</v>
      </c>
      <c r="EH39" s="230">
        <v>290677</v>
      </c>
      <c r="EI39" s="229">
        <v>-0.11990000000000001</v>
      </c>
      <c r="EJ39" s="229">
        <v>0.47770000000000001</v>
      </c>
      <c r="EK39" s="231">
        <v>1556.85</v>
      </c>
      <c r="EL39" s="228">
        <v>477.95</v>
      </c>
      <c r="EM39" s="228">
        <v>837.61</v>
      </c>
      <c r="EN39" s="228">
        <v>66.53</v>
      </c>
      <c r="EO39" s="231">
        <v>2872.41</v>
      </c>
      <c r="EP39" s="231">
        <v>1427.22</v>
      </c>
      <c r="EQ39" s="231">
        <v>1445.19</v>
      </c>
      <c r="ER39" s="229">
        <v>1.0125999999999999</v>
      </c>
      <c r="ES39" s="228">
        <v>391.29</v>
      </c>
      <c r="ET39" s="228">
        <v>286.56</v>
      </c>
      <c r="EU39" s="228">
        <v>819.31</v>
      </c>
      <c r="EV39" s="231">
        <v>7421215</v>
      </c>
      <c r="EW39" s="231">
        <v>1497.16</v>
      </c>
      <c r="EX39" s="231">
        <v>1581.31</v>
      </c>
      <c r="EY39" s="228">
        <v>-84.15</v>
      </c>
      <c r="EZ39" s="229">
        <v>-5.3199999999999997E-2</v>
      </c>
      <c r="FA39" s="229">
        <v>0.50849999999999995</v>
      </c>
      <c r="FB39" s="227" t="s">
        <v>556</v>
      </c>
      <c r="FC39">
        <f t="shared" si="0"/>
        <v>639</v>
      </c>
    </row>
    <row r="40" spans="1:159" ht="17.25" thickBot="1" x14ac:dyDescent="0.3">
      <c r="A40" s="226">
        <v>45957</v>
      </c>
      <c r="B40" s="227" t="s">
        <v>172</v>
      </c>
      <c r="C40" s="227" t="s">
        <v>196</v>
      </c>
      <c r="D40" s="228">
        <v>6750</v>
      </c>
      <c r="E40" s="228">
        <v>1</v>
      </c>
      <c r="F40" s="228">
        <v>129.22999999999999</v>
      </c>
      <c r="G40" s="228">
        <v>125.54</v>
      </c>
      <c r="H40" s="228">
        <v>3.69</v>
      </c>
      <c r="I40" s="229">
        <v>2.9399999999999999E-2</v>
      </c>
      <c r="J40" s="228">
        <v>129.13</v>
      </c>
      <c r="K40" s="228">
        <v>125.7</v>
      </c>
      <c r="L40" s="228">
        <v>3.43</v>
      </c>
      <c r="M40" s="229">
        <v>2.7300000000000001E-2</v>
      </c>
      <c r="N40" s="228">
        <v>129.22999999999999</v>
      </c>
      <c r="O40" s="228">
        <v>125.54</v>
      </c>
      <c r="P40" s="228">
        <v>3.69</v>
      </c>
      <c r="Q40" s="229">
        <v>2.9399999999999999E-2</v>
      </c>
      <c r="R40" s="228">
        <v>130.13999999999999</v>
      </c>
      <c r="S40" s="228">
        <v>126.22</v>
      </c>
      <c r="T40" s="228">
        <v>3.92</v>
      </c>
      <c r="U40" s="229">
        <v>3.1099999999999999E-2</v>
      </c>
      <c r="V40" s="228">
        <v>130.88999999999999</v>
      </c>
      <c r="W40" s="228">
        <v>127.08</v>
      </c>
      <c r="X40" s="228">
        <v>3.81</v>
      </c>
      <c r="Y40" s="229">
        <v>0.03</v>
      </c>
      <c r="Z40" s="228">
        <v>0.1</v>
      </c>
      <c r="AA40" s="228">
        <v>-0.16</v>
      </c>
      <c r="AB40" s="228">
        <v>0.26</v>
      </c>
      <c r="AC40" s="229">
        <v>8.0000000000000004E-4</v>
      </c>
      <c r="AD40" s="228">
        <v>0.1</v>
      </c>
      <c r="AE40" s="228">
        <v>-0.16</v>
      </c>
      <c r="AF40" s="228">
        <v>0.26</v>
      </c>
      <c r="AG40" s="229">
        <v>8.0000000000000004E-4</v>
      </c>
      <c r="AH40" s="228">
        <v>1.01</v>
      </c>
      <c r="AI40" s="228">
        <v>0.52</v>
      </c>
      <c r="AJ40" s="228">
        <v>0.49</v>
      </c>
      <c r="AK40" s="229">
        <v>7.7999999999999996E-3</v>
      </c>
      <c r="AL40" s="228">
        <v>1.76</v>
      </c>
      <c r="AM40" s="228">
        <v>1.38</v>
      </c>
      <c r="AN40" s="228">
        <v>0.38</v>
      </c>
      <c r="AO40" s="229">
        <v>1.3599999999999999E-2</v>
      </c>
      <c r="AP40" s="228">
        <v>128.16</v>
      </c>
      <c r="AQ40" s="228">
        <v>128.99</v>
      </c>
      <c r="AR40" s="228">
        <v>0</v>
      </c>
      <c r="AS40" s="230">
        <v>2779</v>
      </c>
      <c r="AT40" s="230">
        <v>1908</v>
      </c>
      <c r="AU40" s="228">
        <v>871</v>
      </c>
      <c r="AV40" s="229">
        <v>0.45679999999999998</v>
      </c>
      <c r="AW40" s="230">
        <v>1296</v>
      </c>
      <c r="AX40" s="230">
        <v>1010</v>
      </c>
      <c r="AY40" s="228">
        <v>286</v>
      </c>
      <c r="AZ40" s="229">
        <v>0.28310000000000002</v>
      </c>
      <c r="BA40" s="230">
        <v>1454</v>
      </c>
      <c r="BB40" s="228">
        <v>881</v>
      </c>
      <c r="BC40" s="228">
        <v>572</v>
      </c>
      <c r="BD40" s="229">
        <v>0.6492</v>
      </c>
      <c r="BE40" s="228">
        <v>30</v>
      </c>
      <c r="BF40" s="228">
        <v>16</v>
      </c>
      <c r="BG40" s="228">
        <v>13</v>
      </c>
      <c r="BH40" s="229">
        <v>0.81820000000000004</v>
      </c>
      <c r="BI40" s="230">
        <v>2843</v>
      </c>
      <c r="BJ40" s="230">
        <v>1857</v>
      </c>
      <c r="BK40" s="228">
        <v>986</v>
      </c>
      <c r="BL40" s="229">
        <v>0.53110000000000002</v>
      </c>
      <c r="BM40" s="230">
        <v>1115</v>
      </c>
      <c r="BN40" s="228">
        <v>872</v>
      </c>
      <c r="BO40" s="228">
        <v>244</v>
      </c>
      <c r="BP40" s="229">
        <v>0.27960000000000002</v>
      </c>
      <c r="BQ40" s="230">
        <v>6737</v>
      </c>
      <c r="BR40" s="230">
        <v>4636</v>
      </c>
      <c r="BS40" s="230">
        <v>2101</v>
      </c>
      <c r="BT40" s="229">
        <v>0.45319999999999999</v>
      </c>
      <c r="BU40" s="230">
        <v>33796751</v>
      </c>
      <c r="BV40" s="230">
        <v>18760993</v>
      </c>
      <c r="BW40" s="230">
        <v>15035758</v>
      </c>
      <c r="BX40" s="229">
        <v>0.8014</v>
      </c>
      <c r="BY40" s="230">
        <v>3322</v>
      </c>
      <c r="BZ40" s="230">
        <v>3415</v>
      </c>
      <c r="CA40" s="228">
        <v>-93</v>
      </c>
      <c r="CB40" s="229">
        <v>-2.7300000000000001E-2</v>
      </c>
      <c r="CC40" s="228">
        <v>607</v>
      </c>
      <c r="CD40" s="230">
        <v>1523</v>
      </c>
      <c r="CE40" s="228">
        <v>-916</v>
      </c>
      <c r="CF40" s="229">
        <v>-0.60140000000000005</v>
      </c>
      <c r="CG40" s="230">
        <v>2662</v>
      </c>
      <c r="CH40" s="230">
        <v>1846</v>
      </c>
      <c r="CI40" s="228">
        <v>816</v>
      </c>
      <c r="CJ40" s="229">
        <v>0.44240000000000002</v>
      </c>
      <c r="CK40" s="228">
        <v>53</v>
      </c>
      <c r="CL40" s="228">
        <v>46</v>
      </c>
      <c r="CM40" s="228">
        <v>7</v>
      </c>
      <c r="CN40" s="229">
        <v>0.1431</v>
      </c>
      <c r="CO40" s="230">
        <v>1421</v>
      </c>
      <c r="CP40" s="230">
        <v>1591</v>
      </c>
      <c r="CQ40" s="228">
        <v>-170</v>
      </c>
      <c r="CR40" s="229">
        <v>-0.1066</v>
      </c>
      <c r="CS40" s="230">
        <v>1305</v>
      </c>
      <c r="CT40" s="230">
        <v>1231</v>
      </c>
      <c r="CU40" s="228">
        <v>74</v>
      </c>
      <c r="CV40" s="229">
        <v>5.9700000000000003E-2</v>
      </c>
      <c r="CW40" s="230">
        <v>6048</v>
      </c>
      <c r="CX40" s="230">
        <v>6237</v>
      </c>
      <c r="CY40" s="228">
        <v>-189</v>
      </c>
      <c r="CZ40" s="229">
        <v>-3.0300000000000001E-2</v>
      </c>
      <c r="DA40" s="228">
        <v>32.44</v>
      </c>
      <c r="DB40" s="228">
        <v>30.99</v>
      </c>
      <c r="DC40" s="228">
        <v>1.45</v>
      </c>
      <c r="DD40" s="228">
        <v>1.45</v>
      </c>
      <c r="DE40" s="228">
        <v>37.35</v>
      </c>
      <c r="DF40" s="228">
        <v>37.24</v>
      </c>
      <c r="DG40" s="228">
        <v>-4.91</v>
      </c>
      <c r="DH40" s="228">
        <v>0.11</v>
      </c>
      <c r="DI40" s="228">
        <v>32.270000000000003</v>
      </c>
      <c r="DJ40" s="228">
        <v>31.35</v>
      </c>
      <c r="DK40" s="228">
        <v>0.92</v>
      </c>
      <c r="DL40" s="228">
        <v>0.92</v>
      </c>
      <c r="DM40" s="228">
        <v>32.82</v>
      </c>
      <c r="DN40" s="228">
        <v>30.35</v>
      </c>
      <c r="DO40" s="228">
        <v>2.4700000000000002</v>
      </c>
      <c r="DP40" s="228">
        <v>2.4700000000000002</v>
      </c>
      <c r="DQ40" s="228">
        <v>0.92</v>
      </c>
      <c r="DR40" s="228">
        <v>0.77</v>
      </c>
      <c r="DS40" s="228">
        <v>0.15</v>
      </c>
      <c r="DT40" s="229">
        <v>0.1948</v>
      </c>
      <c r="DU40" s="228">
        <v>130</v>
      </c>
      <c r="DV40" s="228">
        <v>115</v>
      </c>
      <c r="DW40" s="228">
        <v>0.39</v>
      </c>
      <c r="DX40" s="228">
        <v>0.47</v>
      </c>
      <c r="DY40" s="228">
        <v>-0.08</v>
      </c>
      <c r="DZ40" s="229">
        <v>-0.17019999999999999</v>
      </c>
      <c r="EA40" s="229">
        <v>0.81730000000000003</v>
      </c>
      <c r="EB40" s="230">
        <v>146407500</v>
      </c>
      <c r="EC40" s="229">
        <v>7.0000000000000001E-3</v>
      </c>
      <c r="ED40" s="229">
        <v>0.81730000000000003</v>
      </c>
      <c r="EE40" s="228">
        <v>0.83</v>
      </c>
      <c r="EF40" s="229">
        <v>6.4999999999999997E-3</v>
      </c>
      <c r="EG40" s="230">
        <v>18609238</v>
      </c>
      <c r="EH40" s="230">
        <v>9011928</v>
      </c>
      <c r="EI40" s="229">
        <v>1.0649999999999999</v>
      </c>
      <c r="EJ40" s="229">
        <v>0.55059999999999998</v>
      </c>
      <c r="EK40" s="231">
        <v>2902.3</v>
      </c>
      <c r="EL40" s="231">
        <v>1098.0899999999999</v>
      </c>
      <c r="EM40" s="231">
        <v>2765.71</v>
      </c>
      <c r="EN40" s="228">
        <v>163.93</v>
      </c>
      <c r="EO40" s="231">
        <v>6766.09</v>
      </c>
      <c r="EP40" s="231">
        <v>4590.55</v>
      </c>
      <c r="EQ40" s="231">
        <v>2175.54</v>
      </c>
      <c r="ER40" s="229">
        <v>0.47389999999999999</v>
      </c>
      <c r="ES40" s="231">
        <v>1430.77</v>
      </c>
      <c r="ET40" s="231">
        <v>1220.78</v>
      </c>
      <c r="EU40" s="231">
        <v>3341.68</v>
      </c>
      <c r="EV40" s="231">
        <v>504315430</v>
      </c>
      <c r="EW40" s="231">
        <v>5993.24</v>
      </c>
      <c r="EX40" s="231">
        <v>6072.91</v>
      </c>
      <c r="EY40" s="228">
        <v>-79.67</v>
      </c>
      <c r="EZ40" s="229">
        <v>-1.3100000000000001E-2</v>
      </c>
      <c r="FA40" s="229">
        <v>0.92800000000000005</v>
      </c>
      <c r="FB40" s="227" t="s">
        <v>556</v>
      </c>
      <c r="FC40">
        <f t="shared" si="0"/>
        <v>2715</v>
      </c>
    </row>
    <row r="41" spans="1:159" ht="17.25" thickBot="1" x14ac:dyDescent="0.3">
      <c r="A41" s="226">
        <v>45957</v>
      </c>
      <c r="B41" s="227" t="s">
        <v>175</v>
      </c>
      <c r="C41" s="227" t="s">
        <v>597</v>
      </c>
      <c r="D41" s="228">
        <v>475</v>
      </c>
      <c r="E41" s="228">
        <v>1</v>
      </c>
      <c r="F41" s="231">
        <v>1639.4</v>
      </c>
      <c r="G41" s="231">
        <v>1591.1</v>
      </c>
      <c r="H41" s="228">
        <v>48.3</v>
      </c>
      <c r="I41" s="229">
        <v>3.04E-2</v>
      </c>
      <c r="J41" s="231">
        <v>1636.5</v>
      </c>
      <c r="K41" s="231">
        <v>1590.2</v>
      </c>
      <c r="L41" s="228">
        <v>46.3</v>
      </c>
      <c r="M41" s="229">
        <v>2.9100000000000001E-2</v>
      </c>
      <c r="N41" s="231">
        <v>1639.4</v>
      </c>
      <c r="O41" s="231">
        <v>1591.1</v>
      </c>
      <c r="P41" s="228">
        <v>48.3</v>
      </c>
      <c r="Q41" s="229">
        <v>3.04E-2</v>
      </c>
      <c r="R41" s="231">
        <v>1648.2</v>
      </c>
      <c r="S41" s="231">
        <v>1593.5</v>
      </c>
      <c r="T41" s="228">
        <v>54.7</v>
      </c>
      <c r="U41" s="229">
        <v>3.4299999999999997E-2</v>
      </c>
      <c r="V41" s="231">
        <v>1653.3</v>
      </c>
      <c r="W41" s="231">
        <v>1599.4</v>
      </c>
      <c r="X41" s="228">
        <v>53.9</v>
      </c>
      <c r="Y41" s="229">
        <v>3.3700000000000001E-2</v>
      </c>
      <c r="Z41" s="228">
        <v>2.9</v>
      </c>
      <c r="AA41" s="228">
        <v>0.9</v>
      </c>
      <c r="AB41" s="228">
        <v>2</v>
      </c>
      <c r="AC41" s="229">
        <v>1.8E-3</v>
      </c>
      <c r="AD41" s="228">
        <v>2.9</v>
      </c>
      <c r="AE41" s="228">
        <v>0.9</v>
      </c>
      <c r="AF41" s="228">
        <v>2</v>
      </c>
      <c r="AG41" s="229">
        <v>1.8E-3</v>
      </c>
      <c r="AH41" s="228">
        <v>11.7</v>
      </c>
      <c r="AI41" s="228">
        <v>3.3</v>
      </c>
      <c r="AJ41" s="228">
        <v>8.4</v>
      </c>
      <c r="AK41" s="229">
        <v>7.1000000000000004E-3</v>
      </c>
      <c r="AL41" s="228">
        <v>16.8</v>
      </c>
      <c r="AM41" s="228">
        <v>9.1999999999999993</v>
      </c>
      <c r="AN41" s="228">
        <v>7.6</v>
      </c>
      <c r="AO41" s="229">
        <v>1.03E-2</v>
      </c>
      <c r="AP41" s="231">
        <v>1625.35</v>
      </c>
      <c r="AQ41" s="231">
        <v>1633.74</v>
      </c>
      <c r="AR41" s="228">
        <v>0</v>
      </c>
      <c r="AS41" s="230">
        <v>1578</v>
      </c>
      <c r="AT41" s="230">
        <v>1353</v>
      </c>
      <c r="AU41" s="228">
        <v>225</v>
      </c>
      <c r="AV41" s="229">
        <v>0.1663</v>
      </c>
      <c r="AW41" s="228">
        <v>608</v>
      </c>
      <c r="AX41" s="228">
        <v>676</v>
      </c>
      <c r="AY41" s="228">
        <v>-68</v>
      </c>
      <c r="AZ41" s="229">
        <v>-0.10100000000000001</v>
      </c>
      <c r="BA41" s="228">
        <v>947</v>
      </c>
      <c r="BB41" s="228">
        <v>664</v>
      </c>
      <c r="BC41" s="228">
        <v>284</v>
      </c>
      <c r="BD41" s="229">
        <v>0.4279</v>
      </c>
      <c r="BE41" s="228">
        <v>23</v>
      </c>
      <c r="BF41" s="228">
        <v>14</v>
      </c>
      <c r="BG41" s="228">
        <v>9</v>
      </c>
      <c r="BH41" s="229">
        <v>0.6875</v>
      </c>
      <c r="BI41" s="230">
        <v>3285</v>
      </c>
      <c r="BJ41" s="230">
        <v>1994</v>
      </c>
      <c r="BK41" s="230">
        <v>1291</v>
      </c>
      <c r="BL41" s="229">
        <v>0.64759999999999995</v>
      </c>
      <c r="BM41" s="230">
        <v>1500</v>
      </c>
      <c r="BN41" s="230">
        <v>1158</v>
      </c>
      <c r="BO41" s="228">
        <v>342</v>
      </c>
      <c r="BP41" s="229">
        <v>0.29509999999999997</v>
      </c>
      <c r="BQ41" s="230">
        <v>6363</v>
      </c>
      <c r="BR41" s="230">
        <v>4505</v>
      </c>
      <c r="BS41" s="230">
        <v>1858</v>
      </c>
      <c r="BT41" s="229">
        <v>0.41239999999999999</v>
      </c>
      <c r="BU41" s="230">
        <v>2697487</v>
      </c>
      <c r="BV41" s="230">
        <v>1230930</v>
      </c>
      <c r="BW41" s="230">
        <v>1466557</v>
      </c>
      <c r="BX41" s="229">
        <v>1.1914</v>
      </c>
      <c r="BY41" s="230">
        <v>1455</v>
      </c>
      <c r="BZ41" s="230">
        <v>1469</v>
      </c>
      <c r="CA41" s="228">
        <v>-15</v>
      </c>
      <c r="CB41" s="229">
        <v>-0.01</v>
      </c>
      <c r="CC41" s="228">
        <v>340</v>
      </c>
      <c r="CD41" s="228">
        <v>600</v>
      </c>
      <c r="CE41" s="228">
        <v>-259</v>
      </c>
      <c r="CF41" s="229">
        <v>-0.43240000000000001</v>
      </c>
      <c r="CG41" s="230">
        <v>1078</v>
      </c>
      <c r="CH41" s="228">
        <v>833</v>
      </c>
      <c r="CI41" s="228">
        <v>245</v>
      </c>
      <c r="CJ41" s="229">
        <v>0.29430000000000001</v>
      </c>
      <c r="CK41" s="228">
        <v>36</v>
      </c>
      <c r="CL41" s="228">
        <v>37</v>
      </c>
      <c r="CM41" s="228">
        <v>-1</v>
      </c>
      <c r="CN41" s="229">
        <v>-1.4800000000000001E-2</v>
      </c>
      <c r="CO41" s="228">
        <v>909</v>
      </c>
      <c r="CP41" s="230">
        <v>1055</v>
      </c>
      <c r="CQ41" s="228">
        <v>-146</v>
      </c>
      <c r="CR41" s="229">
        <v>-0.1381</v>
      </c>
      <c r="CS41" s="228">
        <v>722</v>
      </c>
      <c r="CT41" s="228">
        <v>714</v>
      </c>
      <c r="CU41" s="228">
        <v>8</v>
      </c>
      <c r="CV41" s="229">
        <v>1.18E-2</v>
      </c>
      <c r="CW41" s="230">
        <v>3086</v>
      </c>
      <c r="CX41" s="230">
        <v>3238</v>
      </c>
      <c r="CY41" s="228">
        <v>-152</v>
      </c>
      <c r="CZ41" s="229">
        <v>-4.6899999999999997E-2</v>
      </c>
      <c r="DA41" s="228">
        <v>32.19</v>
      </c>
      <c r="DB41" s="228">
        <v>30.42</v>
      </c>
      <c r="DC41" s="228">
        <v>1.77</v>
      </c>
      <c r="DD41" s="228">
        <v>1.77</v>
      </c>
      <c r="DE41" s="228">
        <v>47.14</v>
      </c>
      <c r="DF41" s="228">
        <v>47.08</v>
      </c>
      <c r="DG41" s="228">
        <v>-14.95</v>
      </c>
      <c r="DH41" s="228">
        <v>0.06</v>
      </c>
      <c r="DI41" s="228">
        <v>32.08</v>
      </c>
      <c r="DJ41" s="228">
        <v>30.51</v>
      </c>
      <c r="DK41" s="228">
        <v>1.57</v>
      </c>
      <c r="DL41" s="228">
        <v>1.57</v>
      </c>
      <c r="DM41" s="228">
        <v>32.47</v>
      </c>
      <c r="DN41" s="228">
        <v>30.24</v>
      </c>
      <c r="DO41" s="228">
        <v>2.23</v>
      </c>
      <c r="DP41" s="228">
        <v>2.23</v>
      </c>
      <c r="DQ41" s="228">
        <v>0.79</v>
      </c>
      <c r="DR41" s="228">
        <v>0.68</v>
      </c>
      <c r="DS41" s="228">
        <v>0.11</v>
      </c>
      <c r="DT41" s="229">
        <v>0.1618</v>
      </c>
      <c r="DU41" s="231">
        <v>1700</v>
      </c>
      <c r="DV41" s="231">
        <v>1600</v>
      </c>
      <c r="DW41" s="228">
        <v>0.46</v>
      </c>
      <c r="DX41" s="228">
        <v>0.57999999999999996</v>
      </c>
      <c r="DY41" s="228">
        <v>-0.12</v>
      </c>
      <c r="DZ41" s="229">
        <v>-0.2069</v>
      </c>
      <c r="EA41" s="229">
        <v>0.76600000000000001</v>
      </c>
      <c r="EB41" s="230">
        <v>5304325</v>
      </c>
      <c r="EC41" s="229">
        <v>5.4000000000000003E-3</v>
      </c>
      <c r="ED41" s="229">
        <v>0.76600000000000001</v>
      </c>
      <c r="EE41" s="228">
        <v>8.39</v>
      </c>
      <c r="EF41" s="229">
        <v>5.1999999999999998E-3</v>
      </c>
      <c r="EG41" s="230">
        <v>1220677</v>
      </c>
      <c r="EH41" s="230">
        <v>387463</v>
      </c>
      <c r="EI41" s="229">
        <v>2.1503999999999999</v>
      </c>
      <c r="EJ41" s="229">
        <v>0.45250000000000001</v>
      </c>
      <c r="EK41" s="231">
        <v>3349.37</v>
      </c>
      <c r="EL41" s="231">
        <v>1456.98</v>
      </c>
      <c r="EM41" s="231">
        <v>1569.96</v>
      </c>
      <c r="EN41" s="228">
        <v>87.68</v>
      </c>
      <c r="EO41" s="231">
        <v>6376.31</v>
      </c>
      <c r="EP41" s="231">
        <v>4460.0200000000004</v>
      </c>
      <c r="EQ41" s="231">
        <v>1916.29</v>
      </c>
      <c r="ER41" s="229">
        <v>0.42970000000000003</v>
      </c>
      <c r="ES41" s="228">
        <v>918.33</v>
      </c>
      <c r="ET41" s="228">
        <v>683.55</v>
      </c>
      <c r="EU41" s="231">
        <v>1460.66</v>
      </c>
      <c r="EV41" s="231">
        <v>26647500</v>
      </c>
      <c r="EW41" s="231">
        <v>3062.54</v>
      </c>
      <c r="EX41" s="231">
        <v>3158.25</v>
      </c>
      <c r="EY41" s="228">
        <v>-95.71</v>
      </c>
      <c r="EZ41" s="229">
        <v>-3.0300000000000001E-2</v>
      </c>
      <c r="FA41" s="229">
        <v>0.70640000000000003</v>
      </c>
      <c r="FB41" s="227" t="s">
        <v>556</v>
      </c>
      <c r="FC41">
        <f t="shared" si="0"/>
        <v>1115</v>
      </c>
    </row>
    <row r="42" spans="1:159" ht="17.25" thickBot="1" x14ac:dyDescent="0.3">
      <c r="A42" s="226">
        <v>45957</v>
      </c>
      <c r="B42" s="227" t="s">
        <v>161</v>
      </c>
      <c r="C42" s="227" t="s">
        <v>612</v>
      </c>
      <c r="D42" s="228">
        <v>850</v>
      </c>
      <c r="E42" s="228">
        <v>1</v>
      </c>
      <c r="F42" s="228">
        <v>727.65</v>
      </c>
      <c r="G42" s="228">
        <v>723.15</v>
      </c>
      <c r="H42" s="228">
        <v>4.5</v>
      </c>
      <c r="I42" s="229">
        <v>6.1999999999999998E-3</v>
      </c>
      <c r="J42" s="228">
        <v>728.35</v>
      </c>
      <c r="K42" s="228">
        <v>723.85</v>
      </c>
      <c r="L42" s="228">
        <v>4.5</v>
      </c>
      <c r="M42" s="229">
        <v>6.1999999999999998E-3</v>
      </c>
      <c r="N42" s="228">
        <v>727.65</v>
      </c>
      <c r="O42" s="228">
        <v>723.15</v>
      </c>
      <c r="P42" s="228">
        <v>4.5</v>
      </c>
      <c r="Q42" s="229">
        <v>6.1999999999999998E-3</v>
      </c>
      <c r="R42" s="228">
        <v>731.25</v>
      </c>
      <c r="S42" s="228">
        <v>726.55</v>
      </c>
      <c r="T42" s="228">
        <v>4.7</v>
      </c>
      <c r="U42" s="229">
        <v>6.4999999999999997E-3</v>
      </c>
      <c r="V42" s="228">
        <v>736.05</v>
      </c>
      <c r="W42" s="228">
        <v>731.3</v>
      </c>
      <c r="X42" s="228">
        <v>4.75</v>
      </c>
      <c r="Y42" s="229">
        <v>6.4999999999999997E-3</v>
      </c>
      <c r="Z42" s="228">
        <v>-0.7</v>
      </c>
      <c r="AA42" s="228">
        <v>-0.7</v>
      </c>
      <c r="AB42" s="228">
        <v>0</v>
      </c>
      <c r="AC42" s="229">
        <v>-1E-3</v>
      </c>
      <c r="AD42" s="228">
        <v>-0.7</v>
      </c>
      <c r="AE42" s="228">
        <v>-0.7</v>
      </c>
      <c r="AF42" s="228">
        <v>0</v>
      </c>
      <c r="AG42" s="229">
        <v>-1E-3</v>
      </c>
      <c r="AH42" s="228">
        <v>2.9</v>
      </c>
      <c r="AI42" s="228">
        <v>2.7</v>
      </c>
      <c r="AJ42" s="228">
        <v>0.2</v>
      </c>
      <c r="AK42" s="229">
        <v>4.0000000000000001E-3</v>
      </c>
      <c r="AL42" s="228">
        <v>7.7</v>
      </c>
      <c r="AM42" s="228">
        <v>7.45</v>
      </c>
      <c r="AN42" s="228">
        <v>0.25</v>
      </c>
      <c r="AO42" s="229">
        <v>1.06E-2</v>
      </c>
      <c r="AP42" s="228">
        <v>726.59</v>
      </c>
      <c r="AQ42" s="228">
        <v>730.49</v>
      </c>
      <c r="AR42" s="228">
        <v>0</v>
      </c>
      <c r="AS42" s="228">
        <v>839</v>
      </c>
      <c r="AT42" s="230">
        <v>1066</v>
      </c>
      <c r="AU42" s="228">
        <v>-227</v>
      </c>
      <c r="AV42" s="229">
        <v>-0.21279999999999999</v>
      </c>
      <c r="AW42" s="228">
        <v>396</v>
      </c>
      <c r="AX42" s="228">
        <v>526</v>
      </c>
      <c r="AY42" s="228">
        <v>-131</v>
      </c>
      <c r="AZ42" s="229">
        <v>-0.24859999999999999</v>
      </c>
      <c r="BA42" s="228">
        <v>440</v>
      </c>
      <c r="BB42" s="228">
        <v>535</v>
      </c>
      <c r="BC42" s="228">
        <v>-95</v>
      </c>
      <c r="BD42" s="229">
        <v>-0.17760000000000001</v>
      </c>
      <c r="BE42" s="228">
        <v>4</v>
      </c>
      <c r="BF42" s="228">
        <v>5</v>
      </c>
      <c r="BG42" s="228">
        <v>-1</v>
      </c>
      <c r="BH42" s="229">
        <v>-0.22220000000000001</v>
      </c>
      <c r="BI42" s="228">
        <v>365</v>
      </c>
      <c r="BJ42" s="228">
        <v>684</v>
      </c>
      <c r="BK42" s="228">
        <v>-318</v>
      </c>
      <c r="BL42" s="229">
        <v>-0.46539999999999998</v>
      </c>
      <c r="BM42" s="228">
        <v>242</v>
      </c>
      <c r="BN42" s="228">
        <v>307</v>
      </c>
      <c r="BO42" s="228">
        <v>-65</v>
      </c>
      <c r="BP42" s="229">
        <v>-0.21229999999999999</v>
      </c>
      <c r="BQ42" s="230">
        <v>1447</v>
      </c>
      <c r="BR42" s="230">
        <v>2057</v>
      </c>
      <c r="BS42" s="228">
        <v>-610</v>
      </c>
      <c r="BT42" s="229">
        <v>-0.29670000000000002</v>
      </c>
      <c r="BU42" s="230">
        <v>1664655</v>
      </c>
      <c r="BV42" s="230">
        <v>3610754</v>
      </c>
      <c r="BW42" s="230">
        <v>-1946099</v>
      </c>
      <c r="BX42" s="229">
        <v>-0.53900000000000003</v>
      </c>
      <c r="BY42" s="230">
        <v>1099</v>
      </c>
      <c r="BZ42" s="230">
        <v>1148</v>
      </c>
      <c r="CA42" s="228">
        <v>-49</v>
      </c>
      <c r="CB42" s="229">
        <v>-4.2700000000000002E-2</v>
      </c>
      <c r="CC42" s="228">
        <v>182</v>
      </c>
      <c r="CD42" s="228">
        <v>471</v>
      </c>
      <c r="CE42" s="228">
        <v>-290</v>
      </c>
      <c r="CF42" s="229">
        <v>-0.61439999999999995</v>
      </c>
      <c r="CG42" s="228">
        <v>907</v>
      </c>
      <c r="CH42" s="228">
        <v>668</v>
      </c>
      <c r="CI42" s="228">
        <v>239</v>
      </c>
      <c r="CJ42" s="229">
        <v>0.3574</v>
      </c>
      <c r="CK42" s="228">
        <v>11</v>
      </c>
      <c r="CL42" s="228">
        <v>9</v>
      </c>
      <c r="CM42" s="228">
        <v>2</v>
      </c>
      <c r="CN42" s="229">
        <v>0.20419999999999999</v>
      </c>
      <c r="CO42" s="228">
        <v>409</v>
      </c>
      <c r="CP42" s="228">
        <v>460</v>
      </c>
      <c r="CQ42" s="228">
        <v>-50</v>
      </c>
      <c r="CR42" s="229">
        <v>-0.10979999999999999</v>
      </c>
      <c r="CS42" s="228">
        <v>275</v>
      </c>
      <c r="CT42" s="228">
        <v>287</v>
      </c>
      <c r="CU42" s="228">
        <v>-12</v>
      </c>
      <c r="CV42" s="229">
        <v>-4.1399999999999999E-2</v>
      </c>
      <c r="CW42" s="230">
        <v>1784</v>
      </c>
      <c r="CX42" s="230">
        <v>1895</v>
      </c>
      <c r="CY42" s="228">
        <v>-111</v>
      </c>
      <c r="CZ42" s="229">
        <v>-5.8700000000000002E-2</v>
      </c>
      <c r="DA42" s="228">
        <v>34.06</v>
      </c>
      <c r="DB42" s="228">
        <v>33.11</v>
      </c>
      <c r="DC42" s="228">
        <v>0.95</v>
      </c>
      <c r="DD42" s="228">
        <v>0.95</v>
      </c>
      <c r="DE42" s="228">
        <v>41.15</v>
      </c>
      <c r="DF42" s="228">
        <v>41.25</v>
      </c>
      <c r="DG42" s="228">
        <v>-7.09</v>
      </c>
      <c r="DH42" s="228">
        <v>-0.1</v>
      </c>
      <c r="DI42" s="228">
        <v>34.299999999999997</v>
      </c>
      <c r="DJ42" s="228">
        <v>33.08</v>
      </c>
      <c r="DK42" s="228">
        <v>1.22</v>
      </c>
      <c r="DL42" s="228">
        <v>1.22</v>
      </c>
      <c r="DM42" s="228">
        <v>33.74</v>
      </c>
      <c r="DN42" s="228">
        <v>33.17</v>
      </c>
      <c r="DO42" s="228">
        <v>0.56999999999999995</v>
      </c>
      <c r="DP42" s="228">
        <v>0.56999999999999995</v>
      </c>
      <c r="DQ42" s="228">
        <v>0.67</v>
      </c>
      <c r="DR42" s="228">
        <v>0.62</v>
      </c>
      <c r="DS42" s="228">
        <v>0.05</v>
      </c>
      <c r="DT42" s="229">
        <v>8.0600000000000005E-2</v>
      </c>
      <c r="DU42" s="228">
        <v>840</v>
      </c>
      <c r="DV42" s="228">
        <v>710</v>
      </c>
      <c r="DW42" s="228">
        <v>0.66</v>
      </c>
      <c r="DX42" s="228">
        <v>0.45</v>
      </c>
      <c r="DY42" s="228">
        <v>0.21</v>
      </c>
      <c r="DZ42" s="229">
        <v>0.4667</v>
      </c>
      <c r="EA42" s="229">
        <v>0.8347</v>
      </c>
      <c r="EB42" s="230">
        <v>9304100</v>
      </c>
      <c r="EC42" s="229">
        <v>4.8999999999999998E-3</v>
      </c>
      <c r="ED42" s="229">
        <v>0.8347</v>
      </c>
      <c r="EE42" s="228">
        <v>3.9</v>
      </c>
      <c r="EF42" s="229">
        <v>5.4000000000000003E-3</v>
      </c>
      <c r="EG42" s="230">
        <v>1046169</v>
      </c>
      <c r="EH42" s="230">
        <v>2361580</v>
      </c>
      <c r="EI42" s="229">
        <v>-0.55700000000000005</v>
      </c>
      <c r="EJ42" s="229">
        <v>0.62849999999999995</v>
      </c>
      <c r="EK42" s="228">
        <v>384.02</v>
      </c>
      <c r="EL42" s="228">
        <v>241.2</v>
      </c>
      <c r="EM42" s="228">
        <v>840.42</v>
      </c>
      <c r="EN42" s="228">
        <v>106.25</v>
      </c>
      <c r="EO42" s="231">
        <v>1465.64</v>
      </c>
      <c r="EP42" s="231">
        <v>2100.2800000000002</v>
      </c>
      <c r="EQ42" s="228">
        <v>-634.64</v>
      </c>
      <c r="ER42" s="229">
        <v>-0.30220000000000002</v>
      </c>
      <c r="ES42" s="228">
        <v>439.94</v>
      </c>
      <c r="ET42" s="228">
        <v>274.33</v>
      </c>
      <c r="EU42" s="231">
        <v>1104</v>
      </c>
      <c r="EV42" s="231">
        <v>100245792</v>
      </c>
      <c r="EW42" s="231">
        <v>1818.26</v>
      </c>
      <c r="EX42" s="231">
        <v>1926.25</v>
      </c>
      <c r="EY42" s="228">
        <v>-107.99</v>
      </c>
      <c r="EZ42" s="229">
        <v>-5.6099999999999997E-2</v>
      </c>
      <c r="FA42" s="229">
        <v>0.2445</v>
      </c>
      <c r="FB42" s="227" t="s">
        <v>556</v>
      </c>
      <c r="FC42">
        <f t="shared" si="0"/>
        <v>917</v>
      </c>
    </row>
    <row r="43" spans="1:159" ht="17.25" thickBot="1" x14ac:dyDescent="0.3">
      <c r="A43" s="226">
        <v>45957</v>
      </c>
      <c r="B43" s="227" t="s">
        <v>175</v>
      </c>
      <c r="C43" s="227" t="s">
        <v>198</v>
      </c>
      <c r="D43" s="228">
        <v>625</v>
      </c>
      <c r="E43" s="228">
        <v>1</v>
      </c>
      <c r="F43" s="231">
        <v>1734.6</v>
      </c>
      <c r="G43" s="231">
        <v>1722.6</v>
      </c>
      <c r="H43" s="228">
        <v>12</v>
      </c>
      <c r="I43" s="229">
        <v>7.0000000000000001E-3</v>
      </c>
      <c r="J43" s="231">
        <v>1732.4</v>
      </c>
      <c r="K43" s="231">
        <v>1733.6</v>
      </c>
      <c r="L43" s="228">
        <v>-1.2</v>
      </c>
      <c r="M43" s="229">
        <v>-6.9999999999999999E-4</v>
      </c>
      <c r="N43" s="231">
        <v>1734.6</v>
      </c>
      <c r="O43" s="231">
        <v>1722.6</v>
      </c>
      <c r="P43" s="228">
        <v>12</v>
      </c>
      <c r="Q43" s="229">
        <v>7.0000000000000001E-3</v>
      </c>
      <c r="R43" s="231">
        <v>1697.5</v>
      </c>
      <c r="S43" s="231">
        <v>1694.2</v>
      </c>
      <c r="T43" s="228">
        <v>3.3</v>
      </c>
      <c r="U43" s="229">
        <v>1.9E-3</v>
      </c>
      <c r="V43" s="231">
        <v>1674.9</v>
      </c>
      <c r="W43" s="231">
        <v>1678.1</v>
      </c>
      <c r="X43" s="228">
        <v>-3.2</v>
      </c>
      <c r="Y43" s="229">
        <v>-1.9E-3</v>
      </c>
      <c r="Z43" s="228">
        <v>2.2000000000000002</v>
      </c>
      <c r="AA43" s="228">
        <v>-11</v>
      </c>
      <c r="AB43" s="228">
        <v>13.2</v>
      </c>
      <c r="AC43" s="229">
        <v>1.2999999999999999E-3</v>
      </c>
      <c r="AD43" s="228">
        <v>2.2000000000000002</v>
      </c>
      <c r="AE43" s="228">
        <v>-11</v>
      </c>
      <c r="AF43" s="228">
        <v>13.2</v>
      </c>
      <c r="AG43" s="229">
        <v>1.2999999999999999E-3</v>
      </c>
      <c r="AH43" s="228">
        <v>-34.9</v>
      </c>
      <c r="AI43" s="228">
        <v>-39.4</v>
      </c>
      <c r="AJ43" s="228">
        <v>4.5</v>
      </c>
      <c r="AK43" s="229">
        <v>-2.01E-2</v>
      </c>
      <c r="AL43" s="228">
        <v>-57.5</v>
      </c>
      <c r="AM43" s="228">
        <v>-55.5</v>
      </c>
      <c r="AN43" s="228">
        <v>-2</v>
      </c>
      <c r="AO43" s="229">
        <v>-3.32E-2</v>
      </c>
      <c r="AP43" s="231">
        <v>1745.49</v>
      </c>
      <c r="AQ43" s="231">
        <v>1701.35</v>
      </c>
      <c r="AR43" s="228">
        <v>0</v>
      </c>
      <c r="AS43" s="230">
        <v>2815</v>
      </c>
      <c r="AT43" s="230">
        <v>3148</v>
      </c>
      <c r="AU43" s="228">
        <v>-333</v>
      </c>
      <c r="AV43" s="229">
        <v>-0.1056</v>
      </c>
      <c r="AW43" s="230">
        <v>1227</v>
      </c>
      <c r="AX43" s="230">
        <v>1606</v>
      </c>
      <c r="AY43" s="228">
        <v>-379</v>
      </c>
      <c r="AZ43" s="229">
        <v>-0.23599999999999999</v>
      </c>
      <c r="BA43" s="230">
        <v>1546</v>
      </c>
      <c r="BB43" s="230">
        <v>1532</v>
      </c>
      <c r="BC43" s="228">
        <v>14</v>
      </c>
      <c r="BD43" s="229">
        <v>8.9999999999999993E-3</v>
      </c>
      <c r="BE43" s="228">
        <v>43</v>
      </c>
      <c r="BF43" s="228">
        <v>10</v>
      </c>
      <c r="BG43" s="228">
        <v>33</v>
      </c>
      <c r="BH43" s="229">
        <v>3.2826</v>
      </c>
      <c r="BI43" s="230">
        <v>3606</v>
      </c>
      <c r="BJ43" s="230">
        <v>3710</v>
      </c>
      <c r="BK43" s="228">
        <v>-104</v>
      </c>
      <c r="BL43" s="229">
        <v>-2.8000000000000001E-2</v>
      </c>
      <c r="BM43" s="230">
        <v>1713</v>
      </c>
      <c r="BN43" s="230">
        <v>1035</v>
      </c>
      <c r="BO43" s="228">
        <v>678</v>
      </c>
      <c r="BP43" s="229">
        <v>0.65480000000000005</v>
      </c>
      <c r="BQ43" s="230">
        <v>8134</v>
      </c>
      <c r="BR43" s="230">
        <v>7892</v>
      </c>
      <c r="BS43" s="228">
        <v>241</v>
      </c>
      <c r="BT43" s="229">
        <v>3.0599999999999999E-2</v>
      </c>
      <c r="BU43" s="230">
        <v>3057708</v>
      </c>
      <c r="BV43" s="230">
        <v>2223244</v>
      </c>
      <c r="BW43" s="230">
        <v>834464</v>
      </c>
      <c r="BX43" s="229">
        <v>0.37530000000000002</v>
      </c>
      <c r="BY43" s="230">
        <v>2893</v>
      </c>
      <c r="BZ43" s="230">
        <v>2933</v>
      </c>
      <c r="CA43" s="228">
        <v>-39</v>
      </c>
      <c r="CB43" s="229">
        <v>-1.34E-2</v>
      </c>
      <c r="CC43" s="228">
        <v>287</v>
      </c>
      <c r="CD43" s="228">
        <v>855</v>
      </c>
      <c r="CE43" s="228">
        <v>-568</v>
      </c>
      <c r="CF43" s="229">
        <v>-0.66439999999999999</v>
      </c>
      <c r="CG43" s="230">
        <v>2566</v>
      </c>
      <c r="CH43" s="230">
        <v>2059</v>
      </c>
      <c r="CI43" s="228">
        <v>507</v>
      </c>
      <c r="CJ43" s="229">
        <v>0.24629999999999999</v>
      </c>
      <c r="CK43" s="228">
        <v>40</v>
      </c>
      <c r="CL43" s="228">
        <v>18</v>
      </c>
      <c r="CM43" s="228">
        <v>22</v>
      </c>
      <c r="CN43" s="229">
        <v>1.2317</v>
      </c>
      <c r="CO43" s="228">
        <v>641</v>
      </c>
      <c r="CP43" s="228">
        <v>630</v>
      </c>
      <c r="CQ43" s="228">
        <v>11</v>
      </c>
      <c r="CR43" s="229">
        <v>1.7000000000000001E-2</v>
      </c>
      <c r="CS43" s="228">
        <v>497</v>
      </c>
      <c r="CT43" s="228">
        <v>484</v>
      </c>
      <c r="CU43" s="228">
        <v>13</v>
      </c>
      <c r="CV43" s="229">
        <v>2.7799999999999998E-2</v>
      </c>
      <c r="CW43" s="230">
        <v>4031</v>
      </c>
      <c r="CX43" s="230">
        <v>4046</v>
      </c>
      <c r="CY43" s="228">
        <v>-15</v>
      </c>
      <c r="CZ43" s="229">
        <v>-3.8E-3</v>
      </c>
      <c r="DA43" s="228">
        <v>31.7</v>
      </c>
      <c r="DB43" s="228">
        <v>31</v>
      </c>
      <c r="DC43" s="228">
        <v>0.7</v>
      </c>
      <c r="DD43" s="228">
        <v>0.7</v>
      </c>
      <c r="DE43" s="228">
        <v>38.479999999999997</v>
      </c>
      <c r="DF43" s="228">
        <v>38.57</v>
      </c>
      <c r="DG43" s="228">
        <v>-6.78</v>
      </c>
      <c r="DH43" s="228">
        <v>-0.09</v>
      </c>
      <c r="DI43" s="228">
        <v>31.75</v>
      </c>
      <c r="DJ43" s="228">
        <v>31.06</v>
      </c>
      <c r="DK43" s="228">
        <v>0.69</v>
      </c>
      <c r="DL43" s="228">
        <v>0.69</v>
      </c>
      <c r="DM43" s="228">
        <v>31.55</v>
      </c>
      <c r="DN43" s="228">
        <v>30.76</v>
      </c>
      <c r="DO43" s="228">
        <v>0.79</v>
      </c>
      <c r="DP43" s="228">
        <v>0.79</v>
      </c>
      <c r="DQ43" s="228">
        <v>0.78</v>
      </c>
      <c r="DR43" s="228">
        <v>0.77</v>
      </c>
      <c r="DS43" s="228">
        <v>0.01</v>
      </c>
      <c r="DT43" s="229">
        <v>1.2999999999999999E-2</v>
      </c>
      <c r="DU43" s="231">
        <v>1700</v>
      </c>
      <c r="DV43" s="231">
        <v>1600</v>
      </c>
      <c r="DW43" s="228">
        <v>0.48</v>
      </c>
      <c r="DX43" s="228">
        <v>0.28000000000000003</v>
      </c>
      <c r="DY43" s="228">
        <v>0.2</v>
      </c>
      <c r="DZ43" s="229">
        <v>0.71430000000000005</v>
      </c>
      <c r="EA43" s="229">
        <v>0.90080000000000005</v>
      </c>
      <c r="EB43" s="230">
        <v>11974375</v>
      </c>
      <c r="EC43" s="229">
        <v>-2.1399999999999999E-2</v>
      </c>
      <c r="ED43" s="229">
        <v>0.90080000000000005</v>
      </c>
      <c r="EE43" s="228">
        <v>-44.14</v>
      </c>
      <c r="EF43" s="229">
        <v>-2.53E-2</v>
      </c>
      <c r="EG43" s="230">
        <v>1707298</v>
      </c>
      <c r="EH43" s="230">
        <v>1221274</v>
      </c>
      <c r="EI43" s="229">
        <v>0.39800000000000002</v>
      </c>
      <c r="EJ43" s="229">
        <v>0.55840000000000001</v>
      </c>
      <c r="EK43" s="231">
        <v>3714.59</v>
      </c>
      <c r="EL43" s="231">
        <v>1687.83</v>
      </c>
      <c r="EM43" s="231">
        <v>2792.06</v>
      </c>
      <c r="EN43" s="228">
        <v>137.33000000000001</v>
      </c>
      <c r="EO43" s="231">
        <v>8194.48</v>
      </c>
      <c r="EP43" s="231">
        <v>7830.82</v>
      </c>
      <c r="EQ43" s="228">
        <v>363.66</v>
      </c>
      <c r="ER43" s="229">
        <v>4.6399999999999997E-2</v>
      </c>
      <c r="ES43" s="228">
        <v>641.54</v>
      </c>
      <c r="ET43" s="228">
        <v>461.09</v>
      </c>
      <c r="EU43" s="231">
        <v>2836.95</v>
      </c>
      <c r="EV43" s="231">
        <v>63212268</v>
      </c>
      <c r="EW43" s="231">
        <v>3939.57</v>
      </c>
      <c r="EX43" s="231">
        <v>3949.2</v>
      </c>
      <c r="EY43" s="228">
        <v>-9.6300000000000008</v>
      </c>
      <c r="EZ43" s="229">
        <v>-2.3999999999999998E-3</v>
      </c>
      <c r="FA43" s="229">
        <v>0.36770000000000003</v>
      </c>
      <c r="FB43" s="227" t="s">
        <v>556</v>
      </c>
      <c r="FC43">
        <f t="shared" si="0"/>
        <v>2606</v>
      </c>
    </row>
    <row r="44" spans="1:159" ht="17.25" thickBot="1" x14ac:dyDescent="0.3">
      <c r="A44" s="226">
        <v>45957</v>
      </c>
      <c r="B44" s="227" t="s">
        <v>170</v>
      </c>
      <c r="C44" s="227" t="s">
        <v>199</v>
      </c>
      <c r="D44" s="228">
        <v>375</v>
      </c>
      <c r="E44" s="228">
        <v>1</v>
      </c>
      <c r="F44" s="231">
        <v>1582.8</v>
      </c>
      <c r="G44" s="231">
        <v>1583.1</v>
      </c>
      <c r="H44" s="228">
        <v>-0.3</v>
      </c>
      <c r="I44" s="229">
        <v>-2.0000000000000001E-4</v>
      </c>
      <c r="J44" s="231">
        <v>1584</v>
      </c>
      <c r="K44" s="231">
        <v>1584.4</v>
      </c>
      <c r="L44" s="228">
        <v>-0.4</v>
      </c>
      <c r="M44" s="229">
        <v>-2.9999999999999997E-4</v>
      </c>
      <c r="N44" s="231">
        <v>1582.8</v>
      </c>
      <c r="O44" s="231">
        <v>1583.1</v>
      </c>
      <c r="P44" s="228">
        <v>-0.3</v>
      </c>
      <c r="Q44" s="229">
        <v>-2.0000000000000001E-4</v>
      </c>
      <c r="R44" s="231">
        <v>1591</v>
      </c>
      <c r="S44" s="231">
        <v>1592.2</v>
      </c>
      <c r="T44" s="228">
        <v>-1.2</v>
      </c>
      <c r="U44" s="229">
        <v>-8.0000000000000004E-4</v>
      </c>
      <c r="V44" s="231">
        <v>1601.5</v>
      </c>
      <c r="W44" s="231">
        <v>1602.5</v>
      </c>
      <c r="X44" s="228">
        <v>-1</v>
      </c>
      <c r="Y44" s="229">
        <v>-5.9999999999999995E-4</v>
      </c>
      <c r="Z44" s="228">
        <v>-1.2</v>
      </c>
      <c r="AA44" s="228">
        <v>-1.3</v>
      </c>
      <c r="AB44" s="228">
        <v>0.1</v>
      </c>
      <c r="AC44" s="229">
        <v>-8.0000000000000004E-4</v>
      </c>
      <c r="AD44" s="228">
        <v>-1.2</v>
      </c>
      <c r="AE44" s="228">
        <v>-1.3</v>
      </c>
      <c r="AF44" s="228">
        <v>0.1</v>
      </c>
      <c r="AG44" s="229">
        <v>-8.0000000000000004E-4</v>
      </c>
      <c r="AH44" s="228">
        <v>7</v>
      </c>
      <c r="AI44" s="228">
        <v>7.8</v>
      </c>
      <c r="AJ44" s="228">
        <v>-0.8</v>
      </c>
      <c r="AK44" s="229">
        <v>4.4000000000000003E-3</v>
      </c>
      <c r="AL44" s="228">
        <v>17.5</v>
      </c>
      <c r="AM44" s="228">
        <v>18.100000000000001</v>
      </c>
      <c r="AN44" s="228">
        <v>-0.6</v>
      </c>
      <c r="AO44" s="229">
        <v>1.0999999999999999E-2</v>
      </c>
      <c r="AP44" s="231">
        <v>1580.91</v>
      </c>
      <c r="AQ44" s="231">
        <v>1589.53</v>
      </c>
      <c r="AR44" s="228">
        <v>0</v>
      </c>
      <c r="AS44" s="230">
        <v>1635</v>
      </c>
      <c r="AT44" s="230">
        <v>2341</v>
      </c>
      <c r="AU44" s="228">
        <v>-706</v>
      </c>
      <c r="AV44" s="229">
        <v>-0.3014</v>
      </c>
      <c r="AW44" s="228">
        <v>793</v>
      </c>
      <c r="AX44" s="230">
        <v>1164</v>
      </c>
      <c r="AY44" s="228">
        <v>-371</v>
      </c>
      <c r="AZ44" s="229">
        <v>-0.31900000000000001</v>
      </c>
      <c r="BA44" s="228">
        <v>835</v>
      </c>
      <c r="BB44" s="230">
        <v>1159</v>
      </c>
      <c r="BC44" s="228">
        <v>-324</v>
      </c>
      <c r="BD44" s="229">
        <v>-0.27960000000000002</v>
      </c>
      <c r="BE44" s="228">
        <v>8</v>
      </c>
      <c r="BF44" s="228">
        <v>18</v>
      </c>
      <c r="BG44" s="228">
        <v>-10</v>
      </c>
      <c r="BH44" s="229">
        <v>-0.56130000000000002</v>
      </c>
      <c r="BI44" s="230">
        <v>3809</v>
      </c>
      <c r="BJ44" s="230">
        <v>7308</v>
      </c>
      <c r="BK44" s="230">
        <v>-3499</v>
      </c>
      <c r="BL44" s="229">
        <v>-0.4788</v>
      </c>
      <c r="BM44" s="230">
        <v>1923</v>
      </c>
      <c r="BN44" s="230">
        <v>4171</v>
      </c>
      <c r="BO44" s="230">
        <v>-2248</v>
      </c>
      <c r="BP44" s="229">
        <v>-0.53890000000000005</v>
      </c>
      <c r="BQ44" s="230">
        <v>7368</v>
      </c>
      <c r="BR44" s="230">
        <v>13821</v>
      </c>
      <c r="BS44" s="230">
        <v>-6453</v>
      </c>
      <c r="BT44" s="229">
        <v>-0.46689999999999998</v>
      </c>
      <c r="BU44" s="230">
        <v>1234222</v>
      </c>
      <c r="BV44" s="230">
        <v>3098782</v>
      </c>
      <c r="BW44" s="230">
        <v>-1864560</v>
      </c>
      <c r="BX44" s="229">
        <v>-0.60170000000000001</v>
      </c>
      <c r="BY44" s="230">
        <v>2631</v>
      </c>
      <c r="BZ44" s="230">
        <v>2683</v>
      </c>
      <c r="CA44" s="228">
        <v>-52</v>
      </c>
      <c r="CB44" s="229">
        <v>-1.95E-2</v>
      </c>
      <c r="CC44" s="228">
        <v>348</v>
      </c>
      <c r="CD44" s="230">
        <v>1014</v>
      </c>
      <c r="CE44" s="228">
        <v>-666</v>
      </c>
      <c r="CF44" s="229">
        <v>-0.65700000000000003</v>
      </c>
      <c r="CG44" s="230">
        <v>2264</v>
      </c>
      <c r="CH44" s="230">
        <v>1652</v>
      </c>
      <c r="CI44" s="228">
        <v>613</v>
      </c>
      <c r="CJ44" s="229">
        <v>0.37080000000000002</v>
      </c>
      <c r="CK44" s="228">
        <v>18</v>
      </c>
      <c r="CL44" s="228">
        <v>17</v>
      </c>
      <c r="CM44" s="228">
        <v>2</v>
      </c>
      <c r="CN44" s="229">
        <v>0.1032</v>
      </c>
      <c r="CO44" s="230">
        <v>1736</v>
      </c>
      <c r="CP44" s="230">
        <v>1830</v>
      </c>
      <c r="CQ44" s="228">
        <v>-94</v>
      </c>
      <c r="CR44" s="229">
        <v>-5.1299999999999998E-2</v>
      </c>
      <c r="CS44" s="228">
        <v>845</v>
      </c>
      <c r="CT44" s="228">
        <v>858</v>
      </c>
      <c r="CU44" s="228">
        <v>-13</v>
      </c>
      <c r="CV44" s="229">
        <v>-1.5299999999999999E-2</v>
      </c>
      <c r="CW44" s="230">
        <v>5212</v>
      </c>
      <c r="CX44" s="230">
        <v>5371</v>
      </c>
      <c r="CY44" s="228">
        <v>-159</v>
      </c>
      <c r="CZ44" s="229">
        <v>-2.9600000000000001E-2</v>
      </c>
      <c r="DA44" s="228">
        <v>25.79</v>
      </c>
      <c r="DB44" s="228">
        <v>27.75</v>
      </c>
      <c r="DC44" s="228">
        <v>-1.96</v>
      </c>
      <c r="DD44" s="228">
        <v>-1.96</v>
      </c>
      <c r="DE44" s="228">
        <v>27.01</v>
      </c>
      <c r="DF44" s="228">
        <v>27.08</v>
      </c>
      <c r="DG44" s="228">
        <v>-1.22</v>
      </c>
      <c r="DH44" s="228">
        <v>-7.0000000000000007E-2</v>
      </c>
      <c r="DI44" s="228">
        <v>25.84</v>
      </c>
      <c r="DJ44" s="228">
        <v>28.06</v>
      </c>
      <c r="DK44" s="228">
        <v>-2.2200000000000002</v>
      </c>
      <c r="DL44" s="228">
        <v>-2.2200000000000002</v>
      </c>
      <c r="DM44" s="228">
        <v>25.69</v>
      </c>
      <c r="DN44" s="228">
        <v>27.27</v>
      </c>
      <c r="DO44" s="228">
        <v>-1.58</v>
      </c>
      <c r="DP44" s="228">
        <v>-1.58</v>
      </c>
      <c r="DQ44" s="228">
        <v>0.49</v>
      </c>
      <c r="DR44" s="228">
        <v>0.47</v>
      </c>
      <c r="DS44" s="228">
        <v>0.02</v>
      </c>
      <c r="DT44" s="229">
        <v>4.2599999999999999E-2</v>
      </c>
      <c r="DU44" s="231">
        <v>1600</v>
      </c>
      <c r="DV44" s="231">
        <v>1580</v>
      </c>
      <c r="DW44" s="228">
        <v>0.5</v>
      </c>
      <c r="DX44" s="228">
        <v>0.56999999999999995</v>
      </c>
      <c r="DY44" s="228">
        <v>-7.0000000000000007E-2</v>
      </c>
      <c r="DZ44" s="229">
        <v>-0.12280000000000001</v>
      </c>
      <c r="EA44" s="229">
        <v>0.86770000000000003</v>
      </c>
      <c r="EB44" s="230">
        <v>10540875</v>
      </c>
      <c r="EC44" s="229">
        <v>5.1999999999999998E-3</v>
      </c>
      <c r="ED44" s="229">
        <v>0.86770000000000003</v>
      </c>
      <c r="EE44" s="228">
        <v>8.6199999999999992</v>
      </c>
      <c r="EF44" s="229">
        <v>5.4999999999999997E-3</v>
      </c>
      <c r="EG44" s="230">
        <v>651295</v>
      </c>
      <c r="EH44" s="230">
        <v>1079748</v>
      </c>
      <c r="EI44" s="229">
        <v>-0.39679999999999999</v>
      </c>
      <c r="EJ44" s="229">
        <v>0.52769999999999995</v>
      </c>
      <c r="EK44" s="231">
        <v>3907.4</v>
      </c>
      <c r="EL44" s="231">
        <v>1909.52</v>
      </c>
      <c r="EM44" s="231">
        <v>1638.1</v>
      </c>
      <c r="EN44" s="228">
        <v>227.69</v>
      </c>
      <c r="EO44" s="231">
        <v>7455.02</v>
      </c>
      <c r="EP44" s="231">
        <v>14202.77</v>
      </c>
      <c r="EQ44" s="231">
        <v>-6747.75</v>
      </c>
      <c r="ER44" s="229">
        <v>-0.47510000000000002</v>
      </c>
      <c r="ES44" s="231">
        <v>1815.39</v>
      </c>
      <c r="ET44" s="228">
        <v>823.81</v>
      </c>
      <c r="EU44" s="231">
        <v>2642.62</v>
      </c>
      <c r="EV44" s="231">
        <v>57073940</v>
      </c>
      <c r="EW44" s="231">
        <v>5281.83</v>
      </c>
      <c r="EX44" s="231">
        <v>5446.85</v>
      </c>
      <c r="EY44" s="228">
        <v>-165.02</v>
      </c>
      <c r="EZ44" s="229">
        <v>-3.0300000000000001E-2</v>
      </c>
      <c r="FA44" s="229">
        <v>0.57689999999999997</v>
      </c>
      <c r="FB44" s="227" t="s">
        <v>568</v>
      </c>
      <c r="FC44">
        <f t="shared" si="0"/>
        <v>2283</v>
      </c>
    </row>
    <row r="45" spans="1:159" ht="17.25" thickBot="1" x14ac:dyDescent="0.3">
      <c r="A45" s="226">
        <v>45957</v>
      </c>
      <c r="B45" s="227" t="s">
        <v>227</v>
      </c>
      <c r="C45" s="227" t="s">
        <v>200</v>
      </c>
      <c r="D45" s="228">
        <v>1350</v>
      </c>
      <c r="E45" s="228">
        <v>1</v>
      </c>
      <c r="F45" s="228">
        <v>396.55</v>
      </c>
      <c r="G45" s="228">
        <v>393.95</v>
      </c>
      <c r="H45" s="228">
        <v>2.6</v>
      </c>
      <c r="I45" s="229">
        <v>6.6E-3</v>
      </c>
      <c r="J45" s="228">
        <v>396.7</v>
      </c>
      <c r="K45" s="228">
        <v>394.05</v>
      </c>
      <c r="L45" s="228">
        <v>2.65</v>
      </c>
      <c r="M45" s="229">
        <v>6.7000000000000002E-3</v>
      </c>
      <c r="N45" s="228">
        <v>396.55</v>
      </c>
      <c r="O45" s="228">
        <v>393.95</v>
      </c>
      <c r="P45" s="228">
        <v>2.6</v>
      </c>
      <c r="Q45" s="229">
        <v>6.6E-3</v>
      </c>
      <c r="R45" s="228">
        <v>394.05</v>
      </c>
      <c r="S45" s="228">
        <v>391.35</v>
      </c>
      <c r="T45" s="228">
        <v>2.7</v>
      </c>
      <c r="U45" s="229">
        <v>6.8999999999999999E-3</v>
      </c>
      <c r="V45" s="228">
        <v>396.6</v>
      </c>
      <c r="W45" s="228">
        <v>393.95</v>
      </c>
      <c r="X45" s="228">
        <v>2.65</v>
      </c>
      <c r="Y45" s="229">
        <v>6.7000000000000002E-3</v>
      </c>
      <c r="Z45" s="228">
        <v>-0.15</v>
      </c>
      <c r="AA45" s="228">
        <v>-0.1</v>
      </c>
      <c r="AB45" s="228">
        <v>-0.05</v>
      </c>
      <c r="AC45" s="229">
        <v>-4.0000000000000002E-4</v>
      </c>
      <c r="AD45" s="228">
        <v>-0.15</v>
      </c>
      <c r="AE45" s="228">
        <v>-0.1</v>
      </c>
      <c r="AF45" s="228">
        <v>-0.05</v>
      </c>
      <c r="AG45" s="229">
        <v>-4.0000000000000002E-4</v>
      </c>
      <c r="AH45" s="228">
        <v>-2.65</v>
      </c>
      <c r="AI45" s="228">
        <v>-2.7</v>
      </c>
      <c r="AJ45" s="228">
        <v>0.05</v>
      </c>
      <c r="AK45" s="229">
        <v>-6.7000000000000002E-3</v>
      </c>
      <c r="AL45" s="228">
        <v>-0.1</v>
      </c>
      <c r="AM45" s="228">
        <v>-0.1</v>
      </c>
      <c r="AN45" s="228">
        <v>0</v>
      </c>
      <c r="AO45" s="229">
        <v>-2.9999999999999997E-4</v>
      </c>
      <c r="AP45" s="228">
        <v>396.9</v>
      </c>
      <c r="AQ45" s="228">
        <v>394.34</v>
      </c>
      <c r="AR45" s="228">
        <v>0</v>
      </c>
      <c r="AS45" s="230">
        <v>1837</v>
      </c>
      <c r="AT45" s="230">
        <v>1059</v>
      </c>
      <c r="AU45" s="228">
        <v>778</v>
      </c>
      <c r="AV45" s="229">
        <v>0.73499999999999999</v>
      </c>
      <c r="AW45" s="228">
        <v>910</v>
      </c>
      <c r="AX45" s="228">
        <v>531</v>
      </c>
      <c r="AY45" s="228">
        <v>380</v>
      </c>
      <c r="AZ45" s="229">
        <v>0.71540000000000004</v>
      </c>
      <c r="BA45" s="228">
        <v>915</v>
      </c>
      <c r="BB45" s="228">
        <v>520</v>
      </c>
      <c r="BC45" s="228">
        <v>395</v>
      </c>
      <c r="BD45" s="229">
        <v>0.7601</v>
      </c>
      <c r="BE45" s="228">
        <v>12</v>
      </c>
      <c r="BF45" s="228">
        <v>8</v>
      </c>
      <c r="BG45" s="228">
        <v>4</v>
      </c>
      <c r="BH45" s="229">
        <v>0.41770000000000002</v>
      </c>
      <c r="BI45" s="230">
        <v>1412</v>
      </c>
      <c r="BJ45" s="230">
        <v>1256</v>
      </c>
      <c r="BK45" s="228">
        <v>156</v>
      </c>
      <c r="BL45" s="229">
        <v>0.1245</v>
      </c>
      <c r="BM45" s="228">
        <v>780</v>
      </c>
      <c r="BN45" s="228">
        <v>801</v>
      </c>
      <c r="BO45" s="228">
        <v>-21</v>
      </c>
      <c r="BP45" s="229">
        <v>-2.6100000000000002E-2</v>
      </c>
      <c r="BQ45" s="230">
        <v>4029</v>
      </c>
      <c r="BR45" s="230">
        <v>3116</v>
      </c>
      <c r="BS45" s="228">
        <v>914</v>
      </c>
      <c r="BT45" s="229">
        <v>0.29330000000000001</v>
      </c>
      <c r="BU45" s="230">
        <v>5785602</v>
      </c>
      <c r="BV45" s="230">
        <v>4187394</v>
      </c>
      <c r="BW45" s="230">
        <v>1598208</v>
      </c>
      <c r="BX45" s="229">
        <v>0.38169999999999998</v>
      </c>
      <c r="BY45" s="230">
        <v>2719</v>
      </c>
      <c r="BZ45" s="230">
        <v>2774</v>
      </c>
      <c r="CA45" s="228">
        <v>-55</v>
      </c>
      <c r="CB45" s="229">
        <v>-1.9699999999999999E-2</v>
      </c>
      <c r="CC45" s="230">
        <v>1202</v>
      </c>
      <c r="CD45" s="230">
        <v>1891</v>
      </c>
      <c r="CE45" s="228">
        <v>-688</v>
      </c>
      <c r="CF45" s="229">
        <v>-0.36409999999999998</v>
      </c>
      <c r="CG45" s="230">
        <v>1479</v>
      </c>
      <c r="CH45" s="228">
        <v>851</v>
      </c>
      <c r="CI45" s="228">
        <v>628</v>
      </c>
      <c r="CJ45" s="229">
        <v>0.7389</v>
      </c>
      <c r="CK45" s="228">
        <v>37</v>
      </c>
      <c r="CL45" s="228">
        <v>32</v>
      </c>
      <c r="CM45" s="228">
        <v>5</v>
      </c>
      <c r="CN45" s="229">
        <v>0.16109999999999999</v>
      </c>
      <c r="CO45" s="230">
        <v>1035</v>
      </c>
      <c r="CP45" s="230">
        <v>1075</v>
      </c>
      <c r="CQ45" s="228">
        <v>-39</v>
      </c>
      <c r="CR45" s="229">
        <v>-3.6600000000000001E-2</v>
      </c>
      <c r="CS45" s="228">
        <v>864</v>
      </c>
      <c r="CT45" s="228">
        <v>792</v>
      </c>
      <c r="CU45" s="228">
        <v>72</v>
      </c>
      <c r="CV45" s="229">
        <v>9.1499999999999998E-2</v>
      </c>
      <c r="CW45" s="230">
        <v>4618</v>
      </c>
      <c r="CX45" s="230">
        <v>4640</v>
      </c>
      <c r="CY45" s="228">
        <v>-22</v>
      </c>
      <c r="CZ45" s="229">
        <v>-4.7000000000000002E-3</v>
      </c>
      <c r="DA45" s="228">
        <v>20.149999999999999</v>
      </c>
      <c r="DB45" s="228">
        <v>19</v>
      </c>
      <c r="DC45" s="228">
        <v>1.1499999999999999</v>
      </c>
      <c r="DD45" s="228">
        <v>1.1499999999999999</v>
      </c>
      <c r="DE45" s="228">
        <v>28.42</v>
      </c>
      <c r="DF45" s="228">
        <v>28.48</v>
      </c>
      <c r="DG45" s="228">
        <v>-8.27</v>
      </c>
      <c r="DH45" s="228">
        <v>-0.06</v>
      </c>
      <c r="DI45" s="228">
        <v>20.37</v>
      </c>
      <c r="DJ45" s="228">
        <v>19.32</v>
      </c>
      <c r="DK45" s="228">
        <v>1.05</v>
      </c>
      <c r="DL45" s="228">
        <v>1.05</v>
      </c>
      <c r="DM45" s="228">
        <v>19.760000000000002</v>
      </c>
      <c r="DN45" s="228">
        <v>18.61</v>
      </c>
      <c r="DO45" s="228">
        <v>1.1499999999999999</v>
      </c>
      <c r="DP45" s="228">
        <v>1.1499999999999999</v>
      </c>
      <c r="DQ45" s="228">
        <v>0.83</v>
      </c>
      <c r="DR45" s="228">
        <v>0.74</v>
      </c>
      <c r="DS45" s="228">
        <v>0.09</v>
      </c>
      <c r="DT45" s="229">
        <v>0.1216</v>
      </c>
      <c r="DU45" s="228">
        <v>400</v>
      </c>
      <c r="DV45" s="228">
        <v>450</v>
      </c>
      <c r="DW45" s="228">
        <v>0.55000000000000004</v>
      </c>
      <c r="DX45" s="228">
        <v>0.64</v>
      </c>
      <c r="DY45" s="228">
        <v>-0.09</v>
      </c>
      <c r="DZ45" s="229">
        <v>-0.1406</v>
      </c>
      <c r="EA45" s="229">
        <v>0.55779999999999996</v>
      </c>
      <c r="EB45" s="230">
        <v>22262850</v>
      </c>
      <c r="EC45" s="229">
        <v>-6.3E-3</v>
      </c>
      <c r="ED45" s="229">
        <v>0.55779999999999996</v>
      </c>
      <c r="EE45" s="228">
        <v>-2.56</v>
      </c>
      <c r="EF45" s="229">
        <v>-6.4000000000000003E-3</v>
      </c>
      <c r="EG45" s="230">
        <v>3713866</v>
      </c>
      <c r="EH45" s="230">
        <v>2329577</v>
      </c>
      <c r="EI45" s="229">
        <v>0.59419999999999995</v>
      </c>
      <c r="EJ45" s="229">
        <v>0.64190000000000003</v>
      </c>
      <c r="EK45" s="231">
        <v>1441.44</v>
      </c>
      <c r="EL45" s="228">
        <v>778.97</v>
      </c>
      <c r="EM45" s="231">
        <v>1832.9</v>
      </c>
      <c r="EN45" s="228">
        <v>125.04</v>
      </c>
      <c r="EO45" s="231">
        <v>4053.32</v>
      </c>
      <c r="EP45" s="231">
        <v>3133.66</v>
      </c>
      <c r="EQ45" s="228">
        <v>919.66</v>
      </c>
      <c r="ER45" s="229">
        <v>0.29349999999999998</v>
      </c>
      <c r="ES45" s="231">
        <v>1058.5899999999999</v>
      </c>
      <c r="ET45" s="228">
        <v>854.05</v>
      </c>
      <c r="EU45" s="231">
        <v>2709.47</v>
      </c>
      <c r="EV45" s="231">
        <v>227199238</v>
      </c>
      <c r="EW45" s="231">
        <v>4622.1099999999997</v>
      </c>
      <c r="EX45" s="231">
        <v>4628.43</v>
      </c>
      <c r="EY45" s="228">
        <v>-6.32</v>
      </c>
      <c r="EZ45" s="229">
        <v>-1.4E-3</v>
      </c>
      <c r="FA45" s="229">
        <v>0.51259999999999994</v>
      </c>
      <c r="FB45" s="227" t="s">
        <v>556</v>
      </c>
      <c r="FC45">
        <f t="shared" si="0"/>
        <v>1517</v>
      </c>
    </row>
    <row r="46" spans="1:159" ht="17.25" thickBot="1" x14ac:dyDescent="0.3">
      <c r="A46" s="226">
        <v>45957</v>
      </c>
      <c r="B46" s="227" t="s">
        <v>221</v>
      </c>
      <c r="C46" s="227" t="s">
        <v>470</v>
      </c>
      <c r="D46" s="228">
        <v>375</v>
      </c>
      <c r="E46" s="228">
        <v>1</v>
      </c>
      <c r="F46" s="231">
        <v>1830.5</v>
      </c>
      <c r="G46" s="231">
        <v>1759.4</v>
      </c>
      <c r="H46" s="228">
        <v>71.099999999999994</v>
      </c>
      <c r="I46" s="229">
        <v>4.0399999999999998E-2</v>
      </c>
      <c r="J46" s="231">
        <v>1830.6</v>
      </c>
      <c r="K46" s="231">
        <v>1760</v>
      </c>
      <c r="L46" s="228">
        <v>70.599999999999994</v>
      </c>
      <c r="M46" s="229">
        <v>4.0099999999999997E-2</v>
      </c>
      <c r="N46" s="231">
        <v>1830.5</v>
      </c>
      <c r="O46" s="231">
        <v>1759.4</v>
      </c>
      <c r="P46" s="228">
        <v>71.099999999999994</v>
      </c>
      <c r="Q46" s="229">
        <v>4.0399999999999998E-2</v>
      </c>
      <c r="R46" s="231">
        <v>1837.7</v>
      </c>
      <c r="S46" s="231">
        <v>1765.6</v>
      </c>
      <c r="T46" s="228">
        <v>72.099999999999994</v>
      </c>
      <c r="U46" s="229">
        <v>4.0800000000000003E-2</v>
      </c>
      <c r="V46" s="231">
        <v>1847.1</v>
      </c>
      <c r="W46" s="231">
        <v>1772.8</v>
      </c>
      <c r="X46" s="228">
        <v>74.3</v>
      </c>
      <c r="Y46" s="229">
        <v>4.19E-2</v>
      </c>
      <c r="Z46" s="228">
        <v>-0.1</v>
      </c>
      <c r="AA46" s="228">
        <v>-0.6</v>
      </c>
      <c r="AB46" s="228">
        <v>0.5</v>
      </c>
      <c r="AC46" s="229">
        <v>-1E-4</v>
      </c>
      <c r="AD46" s="228">
        <v>-0.1</v>
      </c>
      <c r="AE46" s="228">
        <v>-0.6</v>
      </c>
      <c r="AF46" s="228">
        <v>0.5</v>
      </c>
      <c r="AG46" s="229">
        <v>-1E-4</v>
      </c>
      <c r="AH46" s="228">
        <v>7.1</v>
      </c>
      <c r="AI46" s="228">
        <v>5.6</v>
      </c>
      <c r="AJ46" s="228">
        <v>1.5</v>
      </c>
      <c r="AK46" s="229">
        <v>3.8999999999999998E-3</v>
      </c>
      <c r="AL46" s="228">
        <v>16.5</v>
      </c>
      <c r="AM46" s="228">
        <v>12.8</v>
      </c>
      <c r="AN46" s="228">
        <v>3.7</v>
      </c>
      <c r="AO46" s="229">
        <v>8.9999999999999993E-3</v>
      </c>
      <c r="AP46" s="231">
        <v>1836.88</v>
      </c>
      <c r="AQ46" s="231">
        <v>1843.9</v>
      </c>
      <c r="AR46" s="228">
        <v>0</v>
      </c>
      <c r="AS46" s="230">
        <v>2509</v>
      </c>
      <c r="AT46" s="230">
        <v>2506</v>
      </c>
      <c r="AU46" s="228">
        <v>3</v>
      </c>
      <c r="AV46" s="229">
        <v>1.2999999999999999E-3</v>
      </c>
      <c r="AW46" s="230">
        <v>1141</v>
      </c>
      <c r="AX46" s="230">
        <v>1253</v>
      </c>
      <c r="AY46" s="228">
        <v>-113</v>
      </c>
      <c r="AZ46" s="229">
        <v>-8.9800000000000005E-2</v>
      </c>
      <c r="BA46" s="230">
        <v>1344</v>
      </c>
      <c r="BB46" s="230">
        <v>1247</v>
      </c>
      <c r="BC46" s="228">
        <v>97</v>
      </c>
      <c r="BD46" s="229">
        <v>7.7899999999999997E-2</v>
      </c>
      <c r="BE46" s="228">
        <v>24</v>
      </c>
      <c r="BF46" s="228">
        <v>5</v>
      </c>
      <c r="BG46" s="228">
        <v>19</v>
      </c>
      <c r="BH46" s="229">
        <v>3.7027000000000001</v>
      </c>
      <c r="BI46" s="230">
        <v>11233</v>
      </c>
      <c r="BJ46" s="230">
        <v>2665</v>
      </c>
      <c r="BK46" s="230">
        <v>8568</v>
      </c>
      <c r="BL46" s="229">
        <v>3.2147000000000001</v>
      </c>
      <c r="BM46" s="230">
        <v>6457</v>
      </c>
      <c r="BN46" s="230">
        <v>1131</v>
      </c>
      <c r="BO46" s="230">
        <v>5326</v>
      </c>
      <c r="BP46" s="229">
        <v>4.7083000000000004</v>
      </c>
      <c r="BQ46" s="230">
        <v>20199</v>
      </c>
      <c r="BR46" s="230">
        <v>6302</v>
      </c>
      <c r="BS46" s="230">
        <v>13897</v>
      </c>
      <c r="BT46" s="229">
        <v>2.2052</v>
      </c>
      <c r="BU46" s="230">
        <v>7203491</v>
      </c>
      <c r="BV46" s="230">
        <v>1643110</v>
      </c>
      <c r="BW46" s="230">
        <v>5560381</v>
      </c>
      <c r="BX46" s="229">
        <v>3.3841000000000001</v>
      </c>
      <c r="BY46" s="230">
        <v>2495</v>
      </c>
      <c r="BZ46" s="230">
        <v>2421</v>
      </c>
      <c r="CA46" s="228">
        <v>74</v>
      </c>
      <c r="CB46" s="229">
        <v>3.0499999999999999E-2</v>
      </c>
      <c r="CC46" s="228">
        <v>218</v>
      </c>
      <c r="CD46" s="228">
        <v>646</v>
      </c>
      <c r="CE46" s="228">
        <v>-428</v>
      </c>
      <c r="CF46" s="229">
        <v>-0.66220000000000001</v>
      </c>
      <c r="CG46" s="230">
        <v>2261</v>
      </c>
      <c r="CH46" s="230">
        <v>1767</v>
      </c>
      <c r="CI46" s="228">
        <v>494</v>
      </c>
      <c r="CJ46" s="229">
        <v>0.2792</v>
      </c>
      <c r="CK46" s="228">
        <v>16</v>
      </c>
      <c r="CL46" s="228">
        <v>8</v>
      </c>
      <c r="CM46" s="228">
        <v>8</v>
      </c>
      <c r="CN46" s="229">
        <v>0.99150000000000005</v>
      </c>
      <c r="CO46" s="230">
        <v>1233</v>
      </c>
      <c r="CP46" s="230">
        <v>1379</v>
      </c>
      <c r="CQ46" s="228">
        <v>-147</v>
      </c>
      <c r="CR46" s="229">
        <v>-0.10630000000000001</v>
      </c>
      <c r="CS46" s="228">
        <v>841</v>
      </c>
      <c r="CT46" s="228">
        <v>779</v>
      </c>
      <c r="CU46" s="228">
        <v>63</v>
      </c>
      <c r="CV46" s="229">
        <v>8.0299999999999996E-2</v>
      </c>
      <c r="CW46" s="230">
        <v>4569</v>
      </c>
      <c r="CX46" s="230">
        <v>4579</v>
      </c>
      <c r="CY46" s="228">
        <v>-10</v>
      </c>
      <c r="CZ46" s="229">
        <v>-2.2000000000000001E-3</v>
      </c>
      <c r="DA46" s="228">
        <v>30.86</v>
      </c>
      <c r="DB46" s="228">
        <v>37.44</v>
      </c>
      <c r="DC46" s="228">
        <v>-6.58</v>
      </c>
      <c r="DD46" s="228">
        <v>-6.58</v>
      </c>
      <c r="DE46" s="228">
        <v>42.82</v>
      </c>
      <c r="DF46" s="228">
        <v>42.59</v>
      </c>
      <c r="DG46" s="228">
        <v>-11.96</v>
      </c>
      <c r="DH46" s="228">
        <v>0.23</v>
      </c>
      <c r="DI46" s="228">
        <v>30.67</v>
      </c>
      <c r="DJ46" s="228">
        <v>37.44</v>
      </c>
      <c r="DK46" s="228">
        <v>-6.77</v>
      </c>
      <c r="DL46" s="228">
        <v>-6.77</v>
      </c>
      <c r="DM46" s="228">
        <v>31.28</v>
      </c>
      <c r="DN46" s="228">
        <v>37.450000000000003</v>
      </c>
      <c r="DO46" s="228">
        <v>-6.17</v>
      </c>
      <c r="DP46" s="228">
        <v>-6.17</v>
      </c>
      <c r="DQ46" s="228">
        <v>0.68</v>
      </c>
      <c r="DR46" s="228">
        <v>0.56000000000000005</v>
      </c>
      <c r="DS46" s="228">
        <v>0.12</v>
      </c>
      <c r="DT46" s="229">
        <v>0.21429999999999999</v>
      </c>
      <c r="DU46" s="231">
        <v>1900</v>
      </c>
      <c r="DV46" s="231">
        <v>1800</v>
      </c>
      <c r="DW46" s="228">
        <v>0.56999999999999995</v>
      </c>
      <c r="DX46" s="228">
        <v>0.42</v>
      </c>
      <c r="DY46" s="228">
        <v>0.15</v>
      </c>
      <c r="DZ46" s="229">
        <v>0.35709999999999997</v>
      </c>
      <c r="EA46" s="229">
        <v>0.91259999999999997</v>
      </c>
      <c r="EB46" s="230">
        <v>9699375</v>
      </c>
      <c r="EC46" s="229">
        <v>3.8999999999999998E-3</v>
      </c>
      <c r="ED46" s="229">
        <v>0.91259999999999997</v>
      </c>
      <c r="EE46" s="228">
        <v>7.02</v>
      </c>
      <c r="EF46" s="229">
        <v>3.8E-3</v>
      </c>
      <c r="EG46" s="230">
        <v>2666579</v>
      </c>
      <c r="EH46" s="230">
        <v>934431</v>
      </c>
      <c r="EI46" s="229">
        <v>1.8536999999999999</v>
      </c>
      <c r="EJ46" s="229">
        <v>0.37019999999999997</v>
      </c>
      <c r="EK46" s="231">
        <v>11624.33</v>
      </c>
      <c r="EL46" s="231">
        <v>6256.19</v>
      </c>
      <c r="EM46" s="231">
        <v>2523.1</v>
      </c>
      <c r="EN46" s="228">
        <v>168.89</v>
      </c>
      <c r="EO46" s="231">
        <v>20403.62</v>
      </c>
      <c r="EP46" s="231">
        <v>6187.82</v>
      </c>
      <c r="EQ46" s="231">
        <v>14215.8</v>
      </c>
      <c r="ER46" s="229">
        <v>2.2974000000000001</v>
      </c>
      <c r="ES46" s="231">
        <v>1245.6300000000001</v>
      </c>
      <c r="ET46" s="228">
        <v>784.24</v>
      </c>
      <c r="EU46" s="231">
        <v>2504.17</v>
      </c>
      <c r="EV46" s="231">
        <v>50163899</v>
      </c>
      <c r="EW46" s="231">
        <v>4534.04</v>
      </c>
      <c r="EX46" s="231">
        <v>4406.03</v>
      </c>
      <c r="EY46" s="228">
        <v>128.01</v>
      </c>
      <c r="EZ46" s="229">
        <v>2.9100000000000001E-2</v>
      </c>
      <c r="FA46" s="229">
        <v>0.49759999999999999</v>
      </c>
      <c r="FB46" s="227" t="s">
        <v>555</v>
      </c>
      <c r="FC46">
        <f t="shared" si="0"/>
        <v>2277</v>
      </c>
    </row>
    <row r="47" spans="1:159" ht="17.25" thickBot="1" x14ac:dyDescent="0.3">
      <c r="A47" s="226">
        <v>45957</v>
      </c>
      <c r="B47" s="227" t="s">
        <v>168</v>
      </c>
      <c r="C47" s="227" t="s">
        <v>201</v>
      </c>
      <c r="D47" s="228">
        <v>225</v>
      </c>
      <c r="E47" s="228">
        <v>1</v>
      </c>
      <c r="F47" s="231">
        <v>2221.5</v>
      </c>
      <c r="G47" s="231">
        <v>2235.1</v>
      </c>
      <c r="H47" s="228">
        <v>-13.6</v>
      </c>
      <c r="I47" s="229">
        <v>-6.1000000000000004E-3</v>
      </c>
      <c r="J47" s="231">
        <v>2216.5</v>
      </c>
      <c r="K47" s="231">
        <v>2239.4</v>
      </c>
      <c r="L47" s="228">
        <v>-22.9</v>
      </c>
      <c r="M47" s="229">
        <v>-1.0200000000000001E-2</v>
      </c>
      <c r="N47" s="231">
        <v>2221.5</v>
      </c>
      <c r="O47" s="231">
        <v>2235.1</v>
      </c>
      <c r="P47" s="228">
        <v>-13.6</v>
      </c>
      <c r="Q47" s="229">
        <v>-6.1000000000000004E-3</v>
      </c>
      <c r="R47" s="231">
        <v>2200.9</v>
      </c>
      <c r="S47" s="231">
        <v>2215.8000000000002</v>
      </c>
      <c r="T47" s="228">
        <v>-14.9</v>
      </c>
      <c r="U47" s="229">
        <v>-6.7000000000000002E-3</v>
      </c>
      <c r="V47" s="231">
        <v>2214</v>
      </c>
      <c r="W47" s="231">
        <v>2226</v>
      </c>
      <c r="X47" s="228">
        <v>-12</v>
      </c>
      <c r="Y47" s="229">
        <v>-5.4000000000000003E-3</v>
      </c>
      <c r="Z47" s="228">
        <v>5</v>
      </c>
      <c r="AA47" s="228">
        <v>-4.3</v>
      </c>
      <c r="AB47" s="228">
        <v>9.3000000000000007</v>
      </c>
      <c r="AC47" s="229">
        <v>2.3E-3</v>
      </c>
      <c r="AD47" s="228">
        <v>5</v>
      </c>
      <c r="AE47" s="228">
        <v>-4.3</v>
      </c>
      <c r="AF47" s="228">
        <v>9.3000000000000007</v>
      </c>
      <c r="AG47" s="229">
        <v>2.3E-3</v>
      </c>
      <c r="AH47" s="228">
        <v>-15.6</v>
      </c>
      <c r="AI47" s="228">
        <v>-23.6</v>
      </c>
      <c r="AJ47" s="228">
        <v>8</v>
      </c>
      <c r="AK47" s="229">
        <v>-7.0000000000000001E-3</v>
      </c>
      <c r="AL47" s="228">
        <v>-2.5</v>
      </c>
      <c r="AM47" s="228">
        <v>-13.4</v>
      </c>
      <c r="AN47" s="228">
        <v>10.9</v>
      </c>
      <c r="AO47" s="229">
        <v>-1.1000000000000001E-3</v>
      </c>
      <c r="AP47" s="231">
        <v>2225.86</v>
      </c>
      <c r="AQ47" s="231">
        <v>2206.27</v>
      </c>
      <c r="AR47" s="228">
        <v>0</v>
      </c>
      <c r="AS47" s="228">
        <v>769</v>
      </c>
      <c r="AT47" s="230">
        <v>1582</v>
      </c>
      <c r="AU47" s="228">
        <v>-814</v>
      </c>
      <c r="AV47" s="229">
        <v>-0.51419999999999999</v>
      </c>
      <c r="AW47" s="228">
        <v>338</v>
      </c>
      <c r="AX47" s="228">
        <v>717</v>
      </c>
      <c r="AY47" s="228">
        <v>-379</v>
      </c>
      <c r="AZ47" s="229">
        <v>-0.52900000000000003</v>
      </c>
      <c r="BA47" s="228">
        <v>418</v>
      </c>
      <c r="BB47" s="228">
        <v>836</v>
      </c>
      <c r="BC47" s="228">
        <v>-418</v>
      </c>
      <c r="BD47" s="229">
        <v>-0.49990000000000001</v>
      </c>
      <c r="BE47" s="228">
        <v>13</v>
      </c>
      <c r="BF47" s="228">
        <v>29</v>
      </c>
      <c r="BG47" s="228">
        <v>-16</v>
      </c>
      <c r="BH47" s="229">
        <v>-0.5625</v>
      </c>
      <c r="BI47" s="230">
        <v>1106</v>
      </c>
      <c r="BJ47" s="230">
        <v>4007</v>
      </c>
      <c r="BK47" s="230">
        <v>-2901</v>
      </c>
      <c r="BL47" s="229">
        <v>-0.72389999999999999</v>
      </c>
      <c r="BM47" s="228">
        <v>614</v>
      </c>
      <c r="BN47" s="230">
        <v>2137</v>
      </c>
      <c r="BO47" s="230">
        <v>-1523</v>
      </c>
      <c r="BP47" s="229">
        <v>-0.71260000000000001</v>
      </c>
      <c r="BQ47" s="230">
        <v>2489</v>
      </c>
      <c r="BR47" s="230">
        <v>7726</v>
      </c>
      <c r="BS47" s="230">
        <v>-5237</v>
      </c>
      <c r="BT47" s="229">
        <v>-0.67779999999999996</v>
      </c>
      <c r="BU47" s="230">
        <v>1148396</v>
      </c>
      <c r="BV47" s="230">
        <v>1945399</v>
      </c>
      <c r="BW47" s="230">
        <v>-797003</v>
      </c>
      <c r="BX47" s="229">
        <v>-0.40970000000000001</v>
      </c>
      <c r="BY47" s="230">
        <v>1310</v>
      </c>
      <c r="BZ47" s="230">
        <v>1260</v>
      </c>
      <c r="CA47" s="228">
        <v>50</v>
      </c>
      <c r="CB47" s="229">
        <v>0.04</v>
      </c>
      <c r="CC47" s="228">
        <v>119</v>
      </c>
      <c r="CD47" s="228">
        <v>319</v>
      </c>
      <c r="CE47" s="228">
        <v>-200</v>
      </c>
      <c r="CF47" s="229">
        <v>-0.62680000000000002</v>
      </c>
      <c r="CG47" s="230">
        <v>1162</v>
      </c>
      <c r="CH47" s="228">
        <v>917</v>
      </c>
      <c r="CI47" s="228">
        <v>245</v>
      </c>
      <c r="CJ47" s="229">
        <v>0.2671</v>
      </c>
      <c r="CK47" s="228">
        <v>29</v>
      </c>
      <c r="CL47" s="228">
        <v>23</v>
      </c>
      <c r="CM47" s="228">
        <v>5</v>
      </c>
      <c r="CN47" s="229">
        <v>0.23449999999999999</v>
      </c>
      <c r="CO47" s="228">
        <v>676</v>
      </c>
      <c r="CP47" s="228">
        <v>668</v>
      </c>
      <c r="CQ47" s="228">
        <v>8</v>
      </c>
      <c r="CR47" s="229">
        <v>1.2200000000000001E-2</v>
      </c>
      <c r="CS47" s="228">
        <v>451</v>
      </c>
      <c r="CT47" s="228">
        <v>480</v>
      </c>
      <c r="CU47" s="228">
        <v>-29</v>
      </c>
      <c r="CV47" s="229">
        <v>-5.9700000000000003E-2</v>
      </c>
      <c r="CW47" s="230">
        <v>2437</v>
      </c>
      <c r="CX47" s="230">
        <v>2407</v>
      </c>
      <c r="CY47" s="228">
        <v>30</v>
      </c>
      <c r="CZ47" s="229">
        <v>1.24E-2</v>
      </c>
      <c r="DA47" s="228">
        <v>21.5</v>
      </c>
      <c r="DB47" s="228">
        <v>21.69</v>
      </c>
      <c r="DC47" s="228">
        <v>-0.19</v>
      </c>
      <c r="DD47" s="228">
        <v>-0.19</v>
      </c>
      <c r="DE47" s="228">
        <v>28.34</v>
      </c>
      <c r="DF47" s="228">
        <v>28.4</v>
      </c>
      <c r="DG47" s="228">
        <v>-6.84</v>
      </c>
      <c r="DH47" s="228">
        <v>-0.06</v>
      </c>
      <c r="DI47" s="228">
        <v>21.76</v>
      </c>
      <c r="DJ47" s="228">
        <v>21.98</v>
      </c>
      <c r="DK47" s="228">
        <v>-0.22</v>
      </c>
      <c r="DL47" s="228">
        <v>-0.22</v>
      </c>
      <c r="DM47" s="228">
        <v>20.99</v>
      </c>
      <c r="DN47" s="228">
        <v>20.99</v>
      </c>
      <c r="DO47" s="228">
        <v>0</v>
      </c>
      <c r="DP47" s="228">
        <v>0</v>
      </c>
      <c r="DQ47" s="228">
        <v>0.67</v>
      </c>
      <c r="DR47" s="228">
        <v>0.72</v>
      </c>
      <c r="DS47" s="228">
        <v>-0.05</v>
      </c>
      <c r="DT47" s="229">
        <v>-6.9400000000000003E-2</v>
      </c>
      <c r="DU47" s="231">
        <v>2300</v>
      </c>
      <c r="DV47" s="231">
        <v>2200</v>
      </c>
      <c r="DW47" s="228">
        <v>0.56000000000000005</v>
      </c>
      <c r="DX47" s="228">
        <v>0.53</v>
      </c>
      <c r="DY47" s="228">
        <v>0.03</v>
      </c>
      <c r="DZ47" s="229">
        <v>5.6599999999999998E-2</v>
      </c>
      <c r="EA47" s="229">
        <v>0.90910000000000002</v>
      </c>
      <c r="EB47" s="230">
        <v>4233825</v>
      </c>
      <c r="EC47" s="229">
        <v>-9.2999999999999992E-3</v>
      </c>
      <c r="ED47" s="229">
        <v>0.90910000000000002</v>
      </c>
      <c r="EE47" s="228">
        <v>-19.59</v>
      </c>
      <c r="EF47" s="229">
        <v>-8.8000000000000005E-3</v>
      </c>
      <c r="EG47" s="230">
        <v>825608</v>
      </c>
      <c r="EH47" s="230">
        <v>959041</v>
      </c>
      <c r="EI47" s="229">
        <v>-0.1391</v>
      </c>
      <c r="EJ47" s="229">
        <v>0.71889999999999998</v>
      </c>
      <c r="EK47" s="231">
        <v>1143.73</v>
      </c>
      <c r="EL47" s="228">
        <v>617.52</v>
      </c>
      <c r="EM47" s="228">
        <v>766.48</v>
      </c>
      <c r="EN47" s="228">
        <v>162.93</v>
      </c>
      <c r="EO47" s="231">
        <v>2527.73</v>
      </c>
      <c r="EP47" s="231">
        <v>7861.79</v>
      </c>
      <c r="EQ47" s="231">
        <v>-5334.05</v>
      </c>
      <c r="ER47" s="229">
        <v>-0.67849999999999999</v>
      </c>
      <c r="ES47" s="228">
        <v>707.39</v>
      </c>
      <c r="ET47" s="228">
        <v>448.4</v>
      </c>
      <c r="EU47" s="231">
        <v>1299.25</v>
      </c>
      <c r="EV47" s="231">
        <v>19990944</v>
      </c>
      <c r="EW47" s="231">
        <v>2455.04</v>
      </c>
      <c r="EX47" s="231">
        <v>2437.35</v>
      </c>
      <c r="EY47" s="228">
        <v>17.690000000000001</v>
      </c>
      <c r="EZ47" s="229">
        <v>7.3000000000000001E-3</v>
      </c>
      <c r="FA47" s="229">
        <v>0.54879999999999995</v>
      </c>
      <c r="FB47" s="227" t="s">
        <v>567</v>
      </c>
      <c r="FC47">
        <f t="shared" si="0"/>
        <v>1191</v>
      </c>
    </row>
    <row r="48" spans="1:159" ht="17.25" thickBot="1" x14ac:dyDescent="0.3">
      <c r="A48" s="226">
        <v>45957</v>
      </c>
      <c r="B48" s="227" t="s">
        <v>215</v>
      </c>
      <c r="C48" s="227" t="s">
        <v>202</v>
      </c>
      <c r="D48" s="228">
        <v>1250</v>
      </c>
      <c r="E48" s="228">
        <v>1</v>
      </c>
      <c r="F48" s="228">
        <v>541</v>
      </c>
      <c r="G48" s="228">
        <v>538.5</v>
      </c>
      <c r="H48" s="228">
        <v>2.5</v>
      </c>
      <c r="I48" s="229">
        <v>4.5999999999999999E-3</v>
      </c>
      <c r="J48" s="228">
        <v>540.75</v>
      </c>
      <c r="K48" s="228">
        <v>536.9</v>
      </c>
      <c r="L48" s="228">
        <v>3.85</v>
      </c>
      <c r="M48" s="229">
        <v>7.1999999999999998E-3</v>
      </c>
      <c r="N48" s="228">
        <v>541</v>
      </c>
      <c r="O48" s="228">
        <v>538.5</v>
      </c>
      <c r="P48" s="228">
        <v>2.5</v>
      </c>
      <c r="Q48" s="229">
        <v>4.5999999999999999E-3</v>
      </c>
      <c r="R48" s="228">
        <v>541.5</v>
      </c>
      <c r="S48" s="228">
        <v>537.65</v>
      </c>
      <c r="T48" s="228">
        <v>3.85</v>
      </c>
      <c r="U48" s="229">
        <v>7.1999999999999998E-3</v>
      </c>
      <c r="V48" s="228">
        <v>545.15</v>
      </c>
      <c r="W48" s="228">
        <v>541.35</v>
      </c>
      <c r="X48" s="228">
        <v>3.8</v>
      </c>
      <c r="Y48" s="229">
        <v>7.0000000000000001E-3</v>
      </c>
      <c r="Z48" s="228">
        <v>0.25</v>
      </c>
      <c r="AA48" s="228">
        <v>1.6</v>
      </c>
      <c r="AB48" s="228">
        <v>-1.35</v>
      </c>
      <c r="AC48" s="229">
        <v>5.0000000000000001E-4</v>
      </c>
      <c r="AD48" s="228">
        <v>0.25</v>
      </c>
      <c r="AE48" s="228">
        <v>1.6</v>
      </c>
      <c r="AF48" s="228">
        <v>-1.35</v>
      </c>
      <c r="AG48" s="229">
        <v>5.0000000000000001E-4</v>
      </c>
      <c r="AH48" s="228">
        <v>0.75</v>
      </c>
      <c r="AI48" s="228">
        <v>0.75</v>
      </c>
      <c r="AJ48" s="228">
        <v>0</v>
      </c>
      <c r="AK48" s="229">
        <v>1.4E-3</v>
      </c>
      <c r="AL48" s="228">
        <v>4.4000000000000004</v>
      </c>
      <c r="AM48" s="228">
        <v>4.45</v>
      </c>
      <c r="AN48" s="228">
        <v>-0.05</v>
      </c>
      <c r="AO48" s="229">
        <v>8.0999999999999996E-3</v>
      </c>
      <c r="AP48" s="228">
        <v>541.52</v>
      </c>
      <c r="AQ48" s="228">
        <v>541.98</v>
      </c>
      <c r="AR48" s="228">
        <v>0</v>
      </c>
      <c r="AS48" s="228">
        <v>718</v>
      </c>
      <c r="AT48" s="230">
        <v>1238</v>
      </c>
      <c r="AU48" s="228">
        <v>-520</v>
      </c>
      <c r="AV48" s="229">
        <v>-0.42030000000000001</v>
      </c>
      <c r="AW48" s="228">
        <v>349</v>
      </c>
      <c r="AX48" s="228">
        <v>612</v>
      </c>
      <c r="AY48" s="228">
        <v>-263</v>
      </c>
      <c r="AZ48" s="229">
        <v>-0.43020000000000003</v>
      </c>
      <c r="BA48" s="228">
        <v>357</v>
      </c>
      <c r="BB48" s="228">
        <v>613</v>
      </c>
      <c r="BC48" s="228">
        <v>-256</v>
      </c>
      <c r="BD48" s="229">
        <v>-0.41789999999999999</v>
      </c>
      <c r="BE48" s="228">
        <v>12</v>
      </c>
      <c r="BF48" s="228">
        <v>13</v>
      </c>
      <c r="BG48" s="228">
        <v>-1</v>
      </c>
      <c r="BH48" s="229">
        <v>-6.3200000000000006E-2</v>
      </c>
      <c r="BI48" s="228">
        <v>624</v>
      </c>
      <c r="BJ48" s="228">
        <v>885</v>
      </c>
      <c r="BK48" s="228">
        <v>-261</v>
      </c>
      <c r="BL48" s="229">
        <v>-0.29449999999999998</v>
      </c>
      <c r="BM48" s="228">
        <v>294</v>
      </c>
      <c r="BN48" s="228">
        <v>430</v>
      </c>
      <c r="BO48" s="228">
        <v>-137</v>
      </c>
      <c r="BP48" s="229">
        <v>-0.3175</v>
      </c>
      <c r="BQ48" s="230">
        <v>1636</v>
      </c>
      <c r="BR48" s="230">
        <v>2553</v>
      </c>
      <c r="BS48" s="228">
        <v>-918</v>
      </c>
      <c r="BT48" s="229">
        <v>-0.3594</v>
      </c>
      <c r="BU48" s="230">
        <v>684103</v>
      </c>
      <c r="BV48" s="230">
        <v>1191546</v>
      </c>
      <c r="BW48" s="230">
        <v>-507443</v>
      </c>
      <c r="BX48" s="229">
        <v>-0.4259</v>
      </c>
      <c r="BY48" s="230">
        <v>1470</v>
      </c>
      <c r="BZ48" s="230">
        <v>1483</v>
      </c>
      <c r="CA48" s="228">
        <v>-13</v>
      </c>
      <c r="CB48" s="229">
        <v>-8.8000000000000005E-3</v>
      </c>
      <c r="CC48" s="228">
        <v>282</v>
      </c>
      <c r="CD48" s="228">
        <v>543</v>
      </c>
      <c r="CE48" s="228">
        <v>-261</v>
      </c>
      <c r="CF48" s="229">
        <v>-0.48110000000000003</v>
      </c>
      <c r="CG48" s="230">
        <v>1158</v>
      </c>
      <c r="CH48" s="228">
        <v>918</v>
      </c>
      <c r="CI48" s="228">
        <v>240</v>
      </c>
      <c r="CJ48" s="229">
        <v>0.26119999999999999</v>
      </c>
      <c r="CK48" s="228">
        <v>30</v>
      </c>
      <c r="CL48" s="228">
        <v>22</v>
      </c>
      <c r="CM48" s="228">
        <v>8</v>
      </c>
      <c r="CN48" s="229">
        <v>0.3785</v>
      </c>
      <c r="CO48" s="228">
        <v>547</v>
      </c>
      <c r="CP48" s="228">
        <v>560</v>
      </c>
      <c r="CQ48" s="228">
        <v>-13</v>
      </c>
      <c r="CR48" s="229">
        <v>-2.2800000000000001E-2</v>
      </c>
      <c r="CS48" s="228">
        <v>432</v>
      </c>
      <c r="CT48" s="228">
        <v>450</v>
      </c>
      <c r="CU48" s="228">
        <v>-19</v>
      </c>
      <c r="CV48" s="229">
        <v>-4.19E-2</v>
      </c>
      <c r="CW48" s="230">
        <v>2449</v>
      </c>
      <c r="CX48" s="230">
        <v>2494</v>
      </c>
      <c r="CY48" s="228">
        <v>-45</v>
      </c>
      <c r="CZ48" s="229">
        <v>-1.7899999999999999E-2</v>
      </c>
      <c r="DA48" s="228">
        <v>25.1</v>
      </c>
      <c r="DB48" s="228">
        <v>23.76</v>
      </c>
      <c r="DC48" s="228">
        <v>1.34</v>
      </c>
      <c r="DD48" s="228">
        <v>1.34</v>
      </c>
      <c r="DE48" s="228">
        <v>35.86</v>
      </c>
      <c r="DF48" s="228">
        <v>35.94</v>
      </c>
      <c r="DG48" s="228">
        <v>-10.76</v>
      </c>
      <c r="DH48" s="228">
        <v>-0.08</v>
      </c>
      <c r="DI48" s="228">
        <v>25.07</v>
      </c>
      <c r="DJ48" s="228">
        <v>24.17</v>
      </c>
      <c r="DK48" s="228">
        <v>0.9</v>
      </c>
      <c r="DL48" s="228">
        <v>0.9</v>
      </c>
      <c r="DM48" s="228">
        <v>25.18</v>
      </c>
      <c r="DN48" s="228">
        <v>23.01</v>
      </c>
      <c r="DO48" s="228">
        <v>2.17</v>
      </c>
      <c r="DP48" s="228">
        <v>2.17</v>
      </c>
      <c r="DQ48" s="228">
        <v>0.79</v>
      </c>
      <c r="DR48" s="228">
        <v>0.8</v>
      </c>
      <c r="DS48" s="228">
        <v>-0.01</v>
      </c>
      <c r="DT48" s="229">
        <v>-1.2500000000000001E-2</v>
      </c>
      <c r="DU48" s="228">
        <v>550</v>
      </c>
      <c r="DV48" s="228">
        <v>540</v>
      </c>
      <c r="DW48" s="228">
        <v>0.47</v>
      </c>
      <c r="DX48" s="228">
        <v>0.49</v>
      </c>
      <c r="DY48" s="228">
        <v>-0.02</v>
      </c>
      <c r="DZ48" s="229">
        <v>-4.0800000000000003E-2</v>
      </c>
      <c r="EA48" s="229">
        <v>0.80830000000000002</v>
      </c>
      <c r="EB48" s="230">
        <v>17380000</v>
      </c>
      <c r="EC48" s="229">
        <v>8.9999999999999998E-4</v>
      </c>
      <c r="ED48" s="229">
        <v>0.80830000000000002</v>
      </c>
      <c r="EE48" s="228">
        <v>0.46</v>
      </c>
      <c r="EF48" s="229">
        <v>8.0000000000000004E-4</v>
      </c>
      <c r="EG48" s="230">
        <v>325179</v>
      </c>
      <c r="EH48" s="230">
        <v>567728</v>
      </c>
      <c r="EI48" s="229">
        <v>-0.42720000000000002</v>
      </c>
      <c r="EJ48" s="229">
        <v>0.4753</v>
      </c>
      <c r="EK48" s="228">
        <v>646.94000000000005</v>
      </c>
      <c r="EL48" s="228">
        <v>301.12</v>
      </c>
      <c r="EM48" s="228">
        <v>718.58</v>
      </c>
      <c r="EN48" s="228">
        <v>88.98</v>
      </c>
      <c r="EO48" s="231">
        <v>1666.63</v>
      </c>
      <c r="EP48" s="231">
        <v>2582.9899999999998</v>
      </c>
      <c r="EQ48" s="228">
        <v>-916.35</v>
      </c>
      <c r="ER48" s="229">
        <v>-0.3548</v>
      </c>
      <c r="ES48" s="228">
        <v>566.94000000000005</v>
      </c>
      <c r="ET48" s="228">
        <v>427.52</v>
      </c>
      <c r="EU48" s="231">
        <v>1471.54</v>
      </c>
      <c r="EV48" s="231">
        <v>48077012</v>
      </c>
      <c r="EW48" s="231">
        <v>2466</v>
      </c>
      <c r="EX48" s="231">
        <v>2499.69</v>
      </c>
      <c r="EY48" s="228">
        <v>-33.69</v>
      </c>
      <c r="EZ48" s="229">
        <v>-1.35E-2</v>
      </c>
      <c r="FA48" s="229">
        <v>0.94169999999999998</v>
      </c>
      <c r="FB48" s="227" t="s">
        <v>556</v>
      </c>
      <c r="FC48">
        <f t="shared" si="0"/>
        <v>1188</v>
      </c>
    </row>
    <row r="49" spans="1:159" ht="17.25" thickBot="1" x14ac:dyDescent="0.3">
      <c r="A49" s="226">
        <v>45957</v>
      </c>
      <c r="B49" s="227" t="s">
        <v>184</v>
      </c>
      <c r="C49" s="227" t="s">
        <v>523</v>
      </c>
      <c r="D49" s="228">
        <v>1800</v>
      </c>
      <c r="E49" s="228">
        <v>1</v>
      </c>
      <c r="F49" s="228">
        <v>292.25</v>
      </c>
      <c r="G49" s="228">
        <v>293.55</v>
      </c>
      <c r="H49" s="228">
        <v>-1.3</v>
      </c>
      <c r="I49" s="229">
        <v>-4.4000000000000003E-3</v>
      </c>
      <c r="J49" s="228">
        <v>292.05</v>
      </c>
      <c r="K49" s="228">
        <v>293.35000000000002</v>
      </c>
      <c r="L49" s="228">
        <v>-1.3</v>
      </c>
      <c r="M49" s="229">
        <v>-4.4000000000000003E-3</v>
      </c>
      <c r="N49" s="228">
        <v>292.25</v>
      </c>
      <c r="O49" s="228">
        <v>293.55</v>
      </c>
      <c r="P49" s="228">
        <v>-1.3</v>
      </c>
      <c r="Q49" s="229">
        <v>-4.4000000000000003E-3</v>
      </c>
      <c r="R49" s="228">
        <v>294</v>
      </c>
      <c r="S49" s="228">
        <v>295.35000000000002</v>
      </c>
      <c r="T49" s="228">
        <v>-1.35</v>
      </c>
      <c r="U49" s="229">
        <v>-4.5999999999999999E-3</v>
      </c>
      <c r="V49" s="228">
        <v>296</v>
      </c>
      <c r="W49" s="228">
        <v>297.35000000000002</v>
      </c>
      <c r="X49" s="228">
        <v>-1.35</v>
      </c>
      <c r="Y49" s="229">
        <v>-4.4999999999999997E-3</v>
      </c>
      <c r="Z49" s="228">
        <v>0.2</v>
      </c>
      <c r="AA49" s="228">
        <v>0.2</v>
      </c>
      <c r="AB49" s="228">
        <v>0</v>
      </c>
      <c r="AC49" s="229">
        <v>6.9999999999999999E-4</v>
      </c>
      <c r="AD49" s="228">
        <v>0.2</v>
      </c>
      <c r="AE49" s="228">
        <v>0.2</v>
      </c>
      <c r="AF49" s="228">
        <v>0</v>
      </c>
      <c r="AG49" s="229">
        <v>6.9999999999999999E-4</v>
      </c>
      <c r="AH49" s="228">
        <v>1.95</v>
      </c>
      <c r="AI49" s="228">
        <v>2</v>
      </c>
      <c r="AJ49" s="228">
        <v>-0.05</v>
      </c>
      <c r="AK49" s="229">
        <v>6.7000000000000002E-3</v>
      </c>
      <c r="AL49" s="228">
        <v>3.95</v>
      </c>
      <c r="AM49" s="228">
        <v>4</v>
      </c>
      <c r="AN49" s="228">
        <v>-0.05</v>
      </c>
      <c r="AO49" s="229">
        <v>1.35E-2</v>
      </c>
      <c r="AP49" s="228">
        <v>293.04000000000002</v>
      </c>
      <c r="AQ49" s="228">
        <v>294.76</v>
      </c>
      <c r="AR49" s="228">
        <v>0</v>
      </c>
      <c r="AS49" s="228">
        <v>871</v>
      </c>
      <c r="AT49" s="230">
        <v>1354</v>
      </c>
      <c r="AU49" s="228">
        <v>-483</v>
      </c>
      <c r="AV49" s="229">
        <v>-0.35680000000000001</v>
      </c>
      <c r="AW49" s="228">
        <v>395</v>
      </c>
      <c r="AX49" s="228">
        <v>644</v>
      </c>
      <c r="AY49" s="228">
        <v>-249</v>
      </c>
      <c r="AZ49" s="229">
        <v>-0.3866</v>
      </c>
      <c r="BA49" s="228">
        <v>464</v>
      </c>
      <c r="BB49" s="228">
        <v>701</v>
      </c>
      <c r="BC49" s="228">
        <v>-237</v>
      </c>
      <c r="BD49" s="229">
        <v>-0.33860000000000001</v>
      </c>
      <c r="BE49" s="228">
        <v>12</v>
      </c>
      <c r="BF49" s="228">
        <v>8</v>
      </c>
      <c r="BG49" s="228">
        <v>3</v>
      </c>
      <c r="BH49" s="229">
        <v>0.41670000000000001</v>
      </c>
      <c r="BI49" s="228">
        <v>751</v>
      </c>
      <c r="BJ49" s="228">
        <v>517</v>
      </c>
      <c r="BK49" s="228">
        <v>234</v>
      </c>
      <c r="BL49" s="229">
        <v>0.45169999999999999</v>
      </c>
      <c r="BM49" s="228">
        <v>265</v>
      </c>
      <c r="BN49" s="228">
        <v>179</v>
      </c>
      <c r="BO49" s="228">
        <v>86</v>
      </c>
      <c r="BP49" s="229">
        <v>0.47910000000000003</v>
      </c>
      <c r="BQ49" s="230">
        <v>1886</v>
      </c>
      <c r="BR49" s="230">
        <v>2050</v>
      </c>
      <c r="BS49" s="228">
        <v>-164</v>
      </c>
      <c r="BT49" s="229">
        <v>-7.9899999999999999E-2</v>
      </c>
      <c r="BU49" s="230">
        <v>3236071</v>
      </c>
      <c r="BV49" s="230">
        <v>3288293</v>
      </c>
      <c r="BW49" s="230">
        <v>-52222</v>
      </c>
      <c r="BX49" s="229">
        <v>-1.5900000000000001E-2</v>
      </c>
      <c r="BY49" s="230">
        <v>1681</v>
      </c>
      <c r="BZ49" s="230">
        <v>1631</v>
      </c>
      <c r="CA49" s="228">
        <v>50</v>
      </c>
      <c r="CB49" s="229">
        <v>3.0499999999999999E-2</v>
      </c>
      <c r="CC49" s="228">
        <v>243</v>
      </c>
      <c r="CD49" s="228">
        <v>577</v>
      </c>
      <c r="CE49" s="228">
        <v>-334</v>
      </c>
      <c r="CF49" s="229">
        <v>-0.57879999999999998</v>
      </c>
      <c r="CG49" s="230">
        <v>1410</v>
      </c>
      <c r="CH49" s="230">
        <v>1034</v>
      </c>
      <c r="CI49" s="228">
        <v>376</v>
      </c>
      <c r="CJ49" s="229">
        <v>0.36370000000000002</v>
      </c>
      <c r="CK49" s="228">
        <v>28</v>
      </c>
      <c r="CL49" s="228">
        <v>20</v>
      </c>
      <c r="CM49" s="228">
        <v>8</v>
      </c>
      <c r="CN49" s="229">
        <v>0.38059999999999999</v>
      </c>
      <c r="CO49" s="228">
        <v>604</v>
      </c>
      <c r="CP49" s="228">
        <v>508</v>
      </c>
      <c r="CQ49" s="228">
        <v>96</v>
      </c>
      <c r="CR49" s="229">
        <v>0.18920000000000001</v>
      </c>
      <c r="CS49" s="228">
        <v>364</v>
      </c>
      <c r="CT49" s="228">
        <v>320</v>
      </c>
      <c r="CU49" s="228">
        <v>45</v>
      </c>
      <c r="CV49" s="229">
        <v>0.1401</v>
      </c>
      <c r="CW49" s="230">
        <v>2650</v>
      </c>
      <c r="CX49" s="230">
        <v>2459</v>
      </c>
      <c r="CY49" s="228">
        <v>191</v>
      </c>
      <c r="CZ49" s="229">
        <v>7.7499999999999999E-2</v>
      </c>
      <c r="DA49" s="228">
        <v>32.33</v>
      </c>
      <c r="DB49" s="228">
        <v>30.14</v>
      </c>
      <c r="DC49" s="228">
        <v>2.19</v>
      </c>
      <c r="DD49" s="228">
        <v>2.19</v>
      </c>
      <c r="DE49" s="228">
        <v>32.29</v>
      </c>
      <c r="DF49" s="228">
        <v>32.369999999999997</v>
      </c>
      <c r="DG49" s="228">
        <v>0.04</v>
      </c>
      <c r="DH49" s="228">
        <v>-0.08</v>
      </c>
      <c r="DI49" s="228">
        <v>32.64</v>
      </c>
      <c r="DJ49" s="228">
        <v>30.05</v>
      </c>
      <c r="DK49" s="228">
        <v>2.59</v>
      </c>
      <c r="DL49" s="228">
        <v>2.59</v>
      </c>
      <c r="DM49" s="228">
        <v>31.28</v>
      </c>
      <c r="DN49" s="228">
        <v>30.35</v>
      </c>
      <c r="DO49" s="228">
        <v>0.93</v>
      </c>
      <c r="DP49" s="228">
        <v>0.93</v>
      </c>
      <c r="DQ49" s="228">
        <v>0.6</v>
      </c>
      <c r="DR49" s="228">
        <v>0.63</v>
      </c>
      <c r="DS49" s="228">
        <v>-0.03</v>
      </c>
      <c r="DT49" s="229">
        <v>-4.7600000000000003E-2</v>
      </c>
      <c r="DU49" s="228">
        <v>300</v>
      </c>
      <c r="DV49" s="228">
        <v>300</v>
      </c>
      <c r="DW49" s="228">
        <v>0.35</v>
      </c>
      <c r="DX49" s="228">
        <v>0.35</v>
      </c>
      <c r="DY49" s="228">
        <v>0</v>
      </c>
      <c r="DZ49" s="229">
        <v>0</v>
      </c>
      <c r="EA49" s="229">
        <v>0.85540000000000005</v>
      </c>
      <c r="EB49" s="230">
        <v>36073800</v>
      </c>
      <c r="EC49" s="229">
        <v>6.0000000000000001E-3</v>
      </c>
      <c r="ED49" s="229">
        <v>0.85540000000000005</v>
      </c>
      <c r="EE49" s="228">
        <v>1.72</v>
      </c>
      <c r="EF49" s="229">
        <v>5.8999999999999999E-3</v>
      </c>
      <c r="EG49" s="230">
        <v>1682231</v>
      </c>
      <c r="EH49" s="230">
        <v>1334124</v>
      </c>
      <c r="EI49" s="229">
        <v>0.26090000000000002</v>
      </c>
      <c r="EJ49" s="229">
        <v>0.51980000000000004</v>
      </c>
      <c r="EK49" s="228">
        <v>792.03</v>
      </c>
      <c r="EL49" s="228">
        <v>278.10000000000002</v>
      </c>
      <c r="EM49" s="228">
        <v>875.95</v>
      </c>
      <c r="EN49" s="228">
        <v>103.44</v>
      </c>
      <c r="EO49" s="231">
        <v>1946.08</v>
      </c>
      <c r="EP49" s="231">
        <v>2076.17</v>
      </c>
      <c r="EQ49" s="228">
        <v>-130.09</v>
      </c>
      <c r="ER49" s="229">
        <v>-6.2700000000000006E-2</v>
      </c>
      <c r="ES49" s="228">
        <v>633.25</v>
      </c>
      <c r="ET49" s="228">
        <v>364.01</v>
      </c>
      <c r="EU49" s="231">
        <v>1690</v>
      </c>
      <c r="EV49" s="231">
        <v>81400589</v>
      </c>
      <c r="EW49" s="231">
        <v>2687.26</v>
      </c>
      <c r="EX49" s="231">
        <v>2498.7199999999998</v>
      </c>
      <c r="EY49" s="228">
        <v>188.54</v>
      </c>
      <c r="EZ49" s="229">
        <v>7.5499999999999998E-2</v>
      </c>
      <c r="FA49" s="229">
        <v>1.1138999999999999</v>
      </c>
      <c r="FB49" s="227" t="s">
        <v>567</v>
      </c>
      <c r="FC49">
        <f t="shared" si="0"/>
        <v>1438</v>
      </c>
    </row>
    <row r="50" spans="1:159" ht="17.25" thickBot="1" x14ac:dyDescent="0.3">
      <c r="A50" s="226">
        <v>45957</v>
      </c>
      <c r="B50" s="227" t="s">
        <v>184</v>
      </c>
      <c r="C50" s="227" t="s">
        <v>203</v>
      </c>
      <c r="D50" s="228">
        <v>200</v>
      </c>
      <c r="E50" s="228">
        <v>1</v>
      </c>
      <c r="F50" s="231">
        <v>4310.8999999999996</v>
      </c>
      <c r="G50" s="231">
        <v>4192.3</v>
      </c>
      <c r="H50" s="228">
        <v>118.6</v>
      </c>
      <c r="I50" s="229">
        <v>2.8299999999999999E-2</v>
      </c>
      <c r="J50" s="231">
        <v>4311.5</v>
      </c>
      <c r="K50" s="231">
        <v>4183.2</v>
      </c>
      <c r="L50" s="228">
        <v>128.30000000000001</v>
      </c>
      <c r="M50" s="229">
        <v>3.0700000000000002E-2</v>
      </c>
      <c r="N50" s="231">
        <v>4310.8999999999996</v>
      </c>
      <c r="O50" s="231">
        <v>4192.3</v>
      </c>
      <c r="P50" s="228">
        <v>118.6</v>
      </c>
      <c r="Q50" s="229">
        <v>2.8299999999999999E-2</v>
      </c>
      <c r="R50" s="231">
        <v>4333.7</v>
      </c>
      <c r="S50" s="231">
        <v>4211.7</v>
      </c>
      <c r="T50" s="228">
        <v>122</v>
      </c>
      <c r="U50" s="229">
        <v>2.9000000000000001E-2</v>
      </c>
      <c r="V50" s="231">
        <v>4342.2</v>
      </c>
      <c r="W50" s="231">
        <v>4224.8</v>
      </c>
      <c r="X50" s="228">
        <v>117.4</v>
      </c>
      <c r="Y50" s="229">
        <v>2.7799999999999998E-2</v>
      </c>
      <c r="Z50" s="228">
        <v>-0.6</v>
      </c>
      <c r="AA50" s="228">
        <v>9.1</v>
      </c>
      <c r="AB50" s="228">
        <v>-9.6999999999999993</v>
      </c>
      <c r="AC50" s="229">
        <v>-1E-4</v>
      </c>
      <c r="AD50" s="228">
        <v>-0.6</v>
      </c>
      <c r="AE50" s="228">
        <v>9.1</v>
      </c>
      <c r="AF50" s="228">
        <v>-9.6999999999999993</v>
      </c>
      <c r="AG50" s="229">
        <v>-1E-4</v>
      </c>
      <c r="AH50" s="228">
        <v>22.2</v>
      </c>
      <c r="AI50" s="228">
        <v>28.5</v>
      </c>
      <c r="AJ50" s="228">
        <v>-6.3</v>
      </c>
      <c r="AK50" s="229">
        <v>5.1000000000000004E-3</v>
      </c>
      <c r="AL50" s="228">
        <v>30.7</v>
      </c>
      <c r="AM50" s="228">
        <v>41.6</v>
      </c>
      <c r="AN50" s="228">
        <v>-10.9</v>
      </c>
      <c r="AO50" s="229">
        <v>7.1000000000000004E-3</v>
      </c>
      <c r="AP50" s="231">
        <v>4277.8100000000004</v>
      </c>
      <c r="AQ50" s="231">
        <v>4295.4399999999996</v>
      </c>
      <c r="AR50" s="228">
        <v>0</v>
      </c>
      <c r="AS50" s="230">
        <v>1252</v>
      </c>
      <c r="AT50" s="230">
        <v>1454</v>
      </c>
      <c r="AU50" s="228">
        <v>-202</v>
      </c>
      <c r="AV50" s="229">
        <v>-0.13900000000000001</v>
      </c>
      <c r="AW50" s="228">
        <v>528</v>
      </c>
      <c r="AX50" s="228">
        <v>737</v>
      </c>
      <c r="AY50" s="228">
        <v>-209</v>
      </c>
      <c r="AZ50" s="229">
        <v>-0.2833</v>
      </c>
      <c r="BA50" s="228">
        <v>710</v>
      </c>
      <c r="BB50" s="228">
        <v>711</v>
      </c>
      <c r="BC50" s="228">
        <v>-1</v>
      </c>
      <c r="BD50" s="229">
        <v>-1.5E-3</v>
      </c>
      <c r="BE50" s="228">
        <v>14</v>
      </c>
      <c r="BF50" s="228">
        <v>6</v>
      </c>
      <c r="BG50" s="228">
        <v>8</v>
      </c>
      <c r="BH50" s="229">
        <v>1.3788</v>
      </c>
      <c r="BI50" s="230">
        <v>3727</v>
      </c>
      <c r="BJ50" s="230">
        <v>4912</v>
      </c>
      <c r="BK50" s="230">
        <v>-1186</v>
      </c>
      <c r="BL50" s="229">
        <v>-0.24129999999999999</v>
      </c>
      <c r="BM50" s="230">
        <v>1735</v>
      </c>
      <c r="BN50" s="230">
        <v>1589</v>
      </c>
      <c r="BO50" s="228">
        <v>146</v>
      </c>
      <c r="BP50" s="229">
        <v>9.1800000000000007E-2</v>
      </c>
      <c r="BQ50" s="230">
        <v>6713</v>
      </c>
      <c r="BR50" s="230">
        <v>7955</v>
      </c>
      <c r="BS50" s="230">
        <v>-1242</v>
      </c>
      <c r="BT50" s="229">
        <v>-0.15609999999999999</v>
      </c>
      <c r="BU50" s="230">
        <v>810008</v>
      </c>
      <c r="BV50" s="230">
        <v>972372</v>
      </c>
      <c r="BW50" s="230">
        <v>-162364</v>
      </c>
      <c r="BX50" s="229">
        <v>-0.16700000000000001</v>
      </c>
      <c r="BY50" s="230">
        <v>1340</v>
      </c>
      <c r="BZ50" s="230">
        <v>1267</v>
      </c>
      <c r="CA50" s="228">
        <v>73</v>
      </c>
      <c r="CB50" s="229">
        <v>5.7799999999999997E-2</v>
      </c>
      <c r="CC50" s="228">
        <v>164</v>
      </c>
      <c r="CD50" s="228">
        <v>447</v>
      </c>
      <c r="CE50" s="228">
        <v>-282</v>
      </c>
      <c r="CF50" s="229">
        <v>-0.63239999999999996</v>
      </c>
      <c r="CG50" s="230">
        <v>1168</v>
      </c>
      <c r="CH50" s="228">
        <v>816</v>
      </c>
      <c r="CI50" s="228">
        <v>352</v>
      </c>
      <c r="CJ50" s="229">
        <v>0.43109999999999998</v>
      </c>
      <c r="CK50" s="228">
        <v>8</v>
      </c>
      <c r="CL50" s="228">
        <v>4</v>
      </c>
      <c r="CM50" s="228">
        <v>4</v>
      </c>
      <c r="CN50" s="229">
        <v>0.97829999999999995</v>
      </c>
      <c r="CO50" s="228">
        <v>465</v>
      </c>
      <c r="CP50" s="228">
        <v>467</v>
      </c>
      <c r="CQ50" s="228">
        <v>-2</v>
      </c>
      <c r="CR50" s="229">
        <v>-3.7000000000000002E-3</v>
      </c>
      <c r="CS50" s="228">
        <v>523</v>
      </c>
      <c r="CT50" s="228">
        <v>367</v>
      </c>
      <c r="CU50" s="228">
        <v>157</v>
      </c>
      <c r="CV50" s="229">
        <v>0.4279</v>
      </c>
      <c r="CW50" s="230">
        <v>2328</v>
      </c>
      <c r="CX50" s="230">
        <v>2100</v>
      </c>
      <c r="CY50" s="228">
        <v>228</v>
      </c>
      <c r="CZ50" s="229">
        <v>0.1087</v>
      </c>
      <c r="DA50" s="228">
        <v>30.99</v>
      </c>
      <c r="DB50" s="228">
        <v>30.74</v>
      </c>
      <c r="DC50" s="228">
        <v>0.25</v>
      </c>
      <c r="DD50" s="228">
        <v>0.25</v>
      </c>
      <c r="DE50" s="228">
        <v>35.090000000000003</v>
      </c>
      <c r="DF50" s="228">
        <v>34.94</v>
      </c>
      <c r="DG50" s="228">
        <v>-4.0999999999999996</v>
      </c>
      <c r="DH50" s="228">
        <v>0.15</v>
      </c>
      <c r="DI50" s="228">
        <v>30.9</v>
      </c>
      <c r="DJ50" s="228">
        <v>30.8</v>
      </c>
      <c r="DK50" s="228">
        <v>0.1</v>
      </c>
      <c r="DL50" s="228">
        <v>0.1</v>
      </c>
      <c r="DM50" s="228">
        <v>31.23</v>
      </c>
      <c r="DN50" s="228">
        <v>30.51</v>
      </c>
      <c r="DO50" s="228">
        <v>0.72</v>
      </c>
      <c r="DP50" s="228">
        <v>0.72</v>
      </c>
      <c r="DQ50" s="228">
        <v>1.1299999999999999</v>
      </c>
      <c r="DR50" s="228">
        <v>0.79</v>
      </c>
      <c r="DS50" s="228">
        <v>0.34</v>
      </c>
      <c r="DT50" s="229">
        <v>0.4304</v>
      </c>
      <c r="DU50" s="231">
        <v>4400</v>
      </c>
      <c r="DV50" s="231">
        <v>4100</v>
      </c>
      <c r="DW50" s="228">
        <v>0.47</v>
      </c>
      <c r="DX50" s="228">
        <v>0.32</v>
      </c>
      <c r="DY50" s="228">
        <v>0.15</v>
      </c>
      <c r="DZ50" s="229">
        <v>0.46870000000000001</v>
      </c>
      <c r="EA50" s="229">
        <v>0.87749999999999995</v>
      </c>
      <c r="EB50" s="230">
        <v>1902000</v>
      </c>
      <c r="EC50" s="229">
        <v>5.3E-3</v>
      </c>
      <c r="ED50" s="229">
        <v>0.87749999999999995</v>
      </c>
      <c r="EE50" s="228">
        <v>17.63</v>
      </c>
      <c r="EF50" s="229">
        <v>4.1000000000000003E-3</v>
      </c>
      <c r="EG50" s="230">
        <v>397364</v>
      </c>
      <c r="EH50" s="230">
        <v>539661</v>
      </c>
      <c r="EI50" s="229">
        <v>-0.26369999999999999</v>
      </c>
      <c r="EJ50" s="229">
        <v>0.49059999999999998</v>
      </c>
      <c r="EK50" s="231">
        <v>3788.65</v>
      </c>
      <c r="EL50" s="231">
        <v>1673.55</v>
      </c>
      <c r="EM50" s="231">
        <v>1244.93</v>
      </c>
      <c r="EN50" s="228">
        <v>77.900000000000006</v>
      </c>
      <c r="EO50" s="231">
        <v>6707.13</v>
      </c>
      <c r="EP50" s="231">
        <v>7776.57</v>
      </c>
      <c r="EQ50" s="231">
        <v>-1069.44</v>
      </c>
      <c r="ER50" s="229">
        <v>-0.13750000000000001</v>
      </c>
      <c r="ES50" s="228">
        <v>461.51</v>
      </c>
      <c r="ET50" s="228">
        <v>490.9</v>
      </c>
      <c r="EU50" s="231">
        <v>1345.97</v>
      </c>
      <c r="EV50" s="231">
        <v>20374200</v>
      </c>
      <c r="EW50" s="231">
        <v>2298.39</v>
      </c>
      <c r="EX50" s="231">
        <v>2027.17</v>
      </c>
      <c r="EY50" s="228">
        <v>271.22000000000003</v>
      </c>
      <c r="EZ50" s="229">
        <v>0.1338</v>
      </c>
      <c r="FA50" s="229">
        <v>0.2651</v>
      </c>
      <c r="FB50" s="227" t="s">
        <v>555</v>
      </c>
      <c r="FC50">
        <f t="shared" si="0"/>
        <v>1176</v>
      </c>
    </row>
    <row r="51" spans="1:159" ht="17.25" thickBot="1" x14ac:dyDescent="0.3">
      <c r="A51" s="226">
        <v>45957</v>
      </c>
      <c r="B51" s="227" t="s">
        <v>221</v>
      </c>
      <c r="C51" s="227" t="s">
        <v>572</v>
      </c>
      <c r="D51" s="228">
        <v>425</v>
      </c>
      <c r="E51" s="228">
        <v>1</v>
      </c>
      <c r="F51" s="231">
        <v>1209.2</v>
      </c>
      <c r="G51" s="231">
        <v>1187.5</v>
      </c>
      <c r="H51" s="228">
        <v>21.7</v>
      </c>
      <c r="I51" s="229">
        <v>1.83E-2</v>
      </c>
      <c r="J51" s="231">
        <v>1208.0999999999999</v>
      </c>
      <c r="K51" s="231">
        <v>1185.5999999999999</v>
      </c>
      <c r="L51" s="228">
        <v>22.5</v>
      </c>
      <c r="M51" s="229">
        <v>1.9E-2</v>
      </c>
      <c r="N51" s="231">
        <v>1209.2</v>
      </c>
      <c r="O51" s="231">
        <v>1187.5</v>
      </c>
      <c r="P51" s="228">
        <v>21.7</v>
      </c>
      <c r="Q51" s="229">
        <v>1.83E-2</v>
      </c>
      <c r="R51" s="231">
        <v>1216.2</v>
      </c>
      <c r="S51" s="231">
        <v>1194.5999999999999</v>
      </c>
      <c r="T51" s="228">
        <v>21.6</v>
      </c>
      <c r="U51" s="229">
        <v>1.8100000000000002E-2</v>
      </c>
      <c r="V51" s="231">
        <v>1223.8</v>
      </c>
      <c r="W51" s="231">
        <v>1200.0999999999999</v>
      </c>
      <c r="X51" s="228">
        <v>23.7</v>
      </c>
      <c r="Y51" s="229">
        <v>1.9699999999999999E-2</v>
      </c>
      <c r="Z51" s="228">
        <v>1.1000000000000001</v>
      </c>
      <c r="AA51" s="228">
        <v>1.9</v>
      </c>
      <c r="AB51" s="228">
        <v>-0.8</v>
      </c>
      <c r="AC51" s="229">
        <v>8.9999999999999998E-4</v>
      </c>
      <c r="AD51" s="228">
        <v>1.1000000000000001</v>
      </c>
      <c r="AE51" s="228">
        <v>1.9</v>
      </c>
      <c r="AF51" s="228">
        <v>-0.8</v>
      </c>
      <c r="AG51" s="229">
        <v>8.9999999999999998E-4</v>
      </c>
      <c r="AH51" s="228">
        <v>8.1</v>
      </c>
      <c r="AI51" s="228">
        <v>9</v>
      </c>
      <c r="AJ51" s="228">
        <v>-0.9</v>
      </c>
      <c r="AK51" s="229">
        <v>6.7000000000000002E-3</v>
      </c>
      <c r="AL51" s="228">
        <v>15.7</v>
      </c>
      <c r="AM51" s="228">
        <v>14.5</v>
      </c>
      <c r="AN51" s="228">
        <v>1.2</v>
      </c>
      <c r="AO51" s="229">
        <v>1.2999999999999999E-2</v>
      </c>
      <c r="AP51" s="231">
        <v>1207.17</v>
      </c>
      <c r="AQ51" s="231">
        <v>1214.1099999999999</v>
      </c>
      <c r="AR51" s="228">
        <v>0</v>
      </c>
      <c r="AS51" s="228">
        <v>378</v>
      </c>
      <c r="AT51" s="228">
        <v>460</v>
      </c>
      <c r="AU51" s="228">
        <v>-82</v>
      </c>
      <c r="AV51" s="229">
        <v>-0.17810000000000001</v>
      </c>
      <c r="AW51" s="228">
        <v>168</v>
      </c>
      <c r="AX51" s="228">
        <v>223</v>
      </c>
      <c r="AY51" s="228">
        <v>-54</v>
      </c>
      <c r="AZ51" s="229">
        <v>-0.24349999999999999</v>
      </c>
      <c r="BA51" s="228">
        <v>205</v>
      </c>
      <c r="BB51" s="228">
        <v>229</v>
      </c>
      <c r="BC51" s="228">
        <v>-24</v>
      </c>
      <c r="BD51" s="229">
        <v>-0.10680000000000001</v>
      </c>
      <c r="BE51" s="228">
        <v>5</v>
      </c>
      <c r="BF51" s="228">
        <v>8</v>
      </c>
      <c r="BG51" s="228">
        <v>-3</v>
      </c>
      <c r="BH51" s="229">
        <v>-0.39129999999999998</v>
      </c>
      <c r="BI51" s="228">
        <v>344</v>
      </c>
      <c r="BJ51" s="228">
        <v>333</v>
      </c>
      <c r="BK51" s="228">
        <v>10</v>
      </c>
      <c r="BL51" s="229">
        <v>3.1E-2</v>
      </c>
      <c r="BM51" s="228">
        <v>168</v>
      </c>
      <c r="BN51" s="228">
        <v>188</v>
      </c>
      <c r="BO51" s="228">
        <v>-20</v>
      </c>
      <c r="BP51" s="229">
        <v>-0.1075</v>
      </c>
      <c r="BQ51" s="228">
        <v>890</v>
      </c>
      <c r="BR51" s="228">
        <v>982</v>
      </c>
      <c r="BS51" s="228">
        <v>-92</v>
      </c>
      <c r="BT51" s="229">
        <v>-9.35E-2</v>
      </c>
      <c r="BU51" s="230">
        <v>311973</v>
      </c>
      <c r="BV51" s="230">
        <v>338312</v>
      </c>
      <c r="BW51" s="230">
        <v>-26339</v>
      </c>
      <c r="BX51" s="229">
        <v>-7.7899999999999997E-2</v>
      </c>
      <c r="BY51" s="228">
        <v>518</v>
      </c>
      <c r="BZ51" s="228">
        <v>554</v>
      </c>
      <c r="CA51" s="228">
        <v>-36</v>
      </c>
      <c r="CB51" s="229">
        <v>-6.54E-2</v>
      </c>
      <c r="CC51" s="228">
        <v>82</v>
      </c>
      <c r="CD51" s="228">
        <v>206</v>
      </c>
      <c r="CE51" s="228">
        <v>-124</v>
      </c>
      <c r="CF51" s="229">
        <v>-0.60309999999999997</v>
      </c>
      <c r="CG51" s="228">
        <v>422</v>
      </c>
      <c r="CH51" s="228">
        <v>336</v>
      </c>
      <c r="CI51" s="228">
        <v>86</v>
      </c>
      <c r="CJ51" s="229">
        <v>0.25580000000000003</v>
      </c>
      <c r="CK51" s="228">
        <v>14</v>
      </c>
      <c r="CL51" s="228">
        <v>12</v>
      </c>
      <c r="CM51" s="228">
        <v>2</v>
      </c>
      <c r="CN51" s="229">
        <v>0.16880000000000001</v>
      </c>
      <c r="CO51" s="228">
        <v>219</v>
      </c>
      <c r="CP51" s="228">
        <v>272</v>
      </c>
      <c r="CQ51" s="228">
        <v>-52</v>
      </c>
      <c r="CR51" s="229">
        <v>-0.19220000000000001</v>
      </c>
      <c r="CS51" s="228">
        <v>195</v>
      </c>
      <c r="CT51" s="228">
        <v>216</v>
      </c>
      <c r="CU51" s="228">
        <v>-21</v>
      </c>
      <c r="CV51" s="229">
        <v>-9.74E-2</v>
      </c>
      <c r="CW51" s="228">
        <v>932</v>
      </c>
      <c r="CX51" s="230">
        <v>1042</v>
      </c>
      <c r="CY51" s="228">
        <v>-109</v>
      </c>
      <c r="CZ51" s="229">
        <v>-0.1051</v>
      </c>
      <c r="DA51" s="228">
        <v>30.03</v>
      </c>
      <c r="DB51" s="228">
        <v>29.72</v>
      </c>
      <c r="DC51" s="228">
        <v>0.31</v>
      </c>
      <c r="DD51" s="228">
        <v>0.31</v>
      </c>
      <c r="DE51" s="228">
        <v>44.21</v>
      </c>
      <c r="DF51" s="228">
        <v>44.25</v>
      </c>
      <c r="DG51" s="228">
        <v>-14.18</v>
      </c>
      <c r="DH51" s="228">
        <v>-0.04</v>
      </c>
      <c r="DI51" s="228">
        <v>30.16</v>
      </c>
      <c r="DJ51" s="228">
        <v>29.75</v>
      </c>
      <c r="DK51" s="228">
        <v>0.41</v>
      </c>
      <c r="DL51" s="228">
        <v>0.41</v>
      </c>
      <c r="DM51" s="228">
        <v>29.78</v>
      </c>
      <c r="DN51" s="228">
        <v>29.68</v>
      </c>
      <c r="DO51" s="228">
        <v>0.1</v>
      </c>
      <c r="DP51" s="228">
        <v>0.1</v>
      </c>
      <c r="DQ51" s="228">
        <v>0.89</v>
      </c>
      <c r="DR51" s="228">
        <v>0.79</v>
      </c>
      <c r="DS51" s="228">
        <v>0.1</v>
      </c>
      <c r="DT51" s="229">
        <v>0.12659999999999999</v>
      </c>
      <c r="DU51" s="231">
        <v>1240</v>
      </c>
      <c r="DV51" s="231">
        <v>1000</v>
      </c>
      <c r="DW51" s="228">
        <v>0.49</v>
      </c>
      <c r="DX51" s="228">
        <v>0.56999999999999995</v>
      </c>
      <c r="DY51" s="228">
        <v>-0.08</v>
      </c>
      <c r="DZ51" s="229">
        <v>-0.1404</v>
      </c>
      <c r="EA51" s="229">
        <v>0.84209999999999996</v>
      </c>
      <c r="EB51" s="230">
        <v>2879375</v>
      </c>
      <c r="EC51" s="229">
        <v>5.7999999999999996E-3</v>
      </c>
      <c r="ED51" s="229">
        <v>0.84209999999999996</v>
      </c>
      <c r="EE51" s="228">
        <v>6.94</v>
      </c>
      <c r="EF51" s="229">
        <v>5.7000000000000002E-3</v>
      </c>
      <c r="EG51" s="230">
        <v>137169</v>
      </c>
      <c r="EH51" s="230">
        <v>106388</v>
      </c>
      <c r="EI51" s="229">
        <v>0.2893</v>
      </c>
      <c r="EJ51" s="229">
        <v>0.43969999999999998</v>
      </c>
      <c r="EK51" s="228">
        <v>354.22</v>
      </c>
      <c r="EL51" s="228">
        <v>162.19999999999999</v>
      </c>
      <c r="EM51" s="228">
        <v>378.67</v>
      </c>
      <c r="EN51" s="228">
        <v>50.87</v>
      </c>
      <c r="EO51" s="228">
        <v>895.09</v>
      </c>
      <c r="EP51" s="228">
        <v>978.37</v>
      </c>
      <c r="EQ51" s="228">
        <v>-83.27</v>
      </c>
      <c r="ER51" s="229">
        <v>-8.5099999999999995E-2</v>
      </c>
      <c r="ES51" s="228">
        <v>224.8</v>
      </c>
      <c r="ET51" s="228">
        <v>181.93</v>
      </c>
      <c r="EU51" s="228">
        <v>520.58000000000004</v>
      </c>
      <c r="EV51" s="231">
        <v>12039544</v>
      </c>
      <c r="EW51" s="228">
        <v>927.31</v>
      </c>
      <c r="EX51" s="231">
        <v>1026.1600000000001</v>
      </c>
      <c r="EY51" s="228">
        <v>-98.85</v>
      </c>
      <c r="EZ51" s="229">
        <v>-9.6299999999999997E-2</v>
      </c>
      <c r="FA51" s="229">
        <v>0.64029999999999998</v>
      </c>
      <c r="FB51" s="227" t="s">
        <v>556</v>
      </c>
      <c r="FC51">
        <f t="shared" si="0"/>
        <v>436</v>
      </c>
    </row>
    <row r="52" spans="1:159" ht="17.25" thickBot="1" x14ac:dyDescent="0.3">
      <c r="A52" s="226">
        <v>45957</v>
      </c>
      <c r="B52" s="227" t="s">
        <v>168</v>
      </c>
      <c r="C52" s="227" t="s">
        <v>204</v>
      </c>
      <c r="D52" s="228">
        <v>1250</v>
      </c>
      <c r="E52" s="228">
        <v>1</v>
      </c>
      <c r="F52" s="228">
        <v>506.45</v>
      </c>
      <c r="G52" s="228">
        <v>507.75</v>
      </c>
      <c r="H52" s="228">
        <v>-1.3</v>
      </c>
      <c r="I52" s="229">
        <v>-2.5999999999999999E-3</v>
      </c>
      <c r="J52" s="228">
        <v>507.05</v>
      </c>
      <c r="K52" s="228">
        <v>508.45</v>
      </c>
      <c r="L52" s="228">
        <v>-1.4</v>
      </c>
      <c r="M52" s="229">
        <v>-2.8E-3</v>
      </c>
      <c r="N52" s="228">
        <v>506.45</v>
      </c>
      <c r="O52" s="228">
        <v>507.75</v>
      </c>
      <c r="P52" s="228">
        <v>-1.3</v>
      </c>
      <c r="Q52" s="229">
        <v>-2.5999999999999999E-3</v>
      </c>
      <c r="R52" s="228">
        <v>505.25</v>
      </c>
      <c r="S52" s="228">
        <v>507.2</v>
      </c>
      <c r="T52" s="228">
        <v>-1.95</v>
      </c>
      <c r="U52" s="229">
        <v>-3.8E-3</v>
      </c>
      <c r="V52" s="228">
        <v>508.65</v>
      </c>
      <c r="W52" s="228">
        <v>510.05</v>
      </c>
      <c r="X52" s="228">
        <v>-1.4</v>
      </c>
      <c r="Y52" s="229">
        <v>-2.7000000000000001E-3</v>
      </c>
      <c r="Z52" s="228">
        <v>-0.6</v>
      </c>
      <c r="AA52" s="228">
        <v>-0.7</v>
      </c>
      <c r="AB52" s="228">
        <v>0.1</v>
      </c>
      <c r="AC52" s="229">
        <v>-1.1999999999999999E-3</v>
      </c>
      <c r="AD52" s="228">
        <v>-0.6</v>
      </c>
      <c r="AE52" s="228">
        <v>-0.7</v>
      </c>
      <c r="AF52" s="228">
        <v>0.1</v>
      </c>
      <c r="AG52" s="229">
        <v>-1.1999999999999999E-3</v>
      </c>
      <c r="AH52" s="228">
        <v>-1.8</v>
      </c>
      <c r="AI52" s="228">
        <v>-1.25</v>
      </c>
      <c r="AJ52" s="228">
        <v>-0.55000000000000004</v>
      </c>
      <c r="AK52" s="229">
        <v>-3.5000000000000001E-3</v>
      </c>
      <c r="AL52" s="228">
        <v>1.6</v>
      </c>
      <c r="AM52" s="228">
        <v>1.6</v>
      </c>
      <c r="AN52" s="228">
        <v>0</v>
      </c>
      <c r="AO52" s="229">
        <v>3.2000000000000002E-3</v>
      </c>
      <c r="AP52" s="228">
        <v>506.76</v>
      </c>
      <c r="AQ52" s="228">
        <v>506.37</v>
      </c>
      <c r="AR52" s="228">
        <v>0</v>
      </c>
      <c r="AS52" s="228">
        <v>843</v>
      </c>
      <c r="AT52" s="228">
        <v>897</v>
      </c>
      <c r="AU52" s="228">
        <v>-54</v>
      </c>
      <c r="AV52" s="229">
        <v>-6.0400000000000002E-2</v>
      </c>
      <c r="AW52" s="228">
        <v>398</v>
      </c>
      <c r="AX52" s="228">
        <v>453</v>
      </c>
      <c r="AY52" s="228">
        <v>-56</v>
      </c>
      <c r="AZ52" s="229">
        <v>-0.1227</v>
      </c>
      <c r="BA52" s="228">
        <v>439</v>
      </c>
      <c r="BB52" s="228">
        <v>438</v>
      </c>
      <c r="BC52" s="228">
        <v>1</v>
      </c>
      <c r="BD52" s="229">
        <v>2.5000000000000001E-3</v>
      </c>
      <c r="BE52" s="228">
        <v>6</v>
      </c>
      <c r="BF52" s="228">
        <v>6</v>
      </c>
      <c r="BG52" s="228">
        <v>0</v>
      </c>
      <c r="BH52" s="229">
        <v>6.5199999999999994E-2</v>
      </c>
      <c r="BI52" s="228">
        <v>622</v>
      </c>
      <c r="BJ52" s="228">
        <v>856</v>
      </c>
      <c r="BK52" s="228">
        <v>-234</v>
      </c>
      <c r="BL52" s="229">
        <v>-0.27350000000000002</v>
      </c>
      <c r="BM52" s="228">
        <v>327</v>
      </c>
      <c r="BN52" s="228">
        <v>720</v>
      </c>
      <c r="BO52" s="228">
        <v>-393</v>
      </c>
      <c r="BP52" s="229">
        <v>-0.54569999999999996</v>
      </c>
      <c r="BQ52" s="230">
        <v>1792</v>
      </c>
      <c r="BR52" s="230">
        <v>2473</v>
      </c>
      <c r="BS52" s="228">
        <v>-681</v>
      </c>
      <c r="BT52" s="229">
        <v>-0.27529999999999999</v>
      </c>
      <c r="BU52" s="230">
        <v>3818426</v>
      </c>
      <c r="BV52" s="230">
        <v>4211445</v>
      </c>
      <c r="BW52" s="230">
        <v>-393019</v>
      </c>
      <c r="BX52" s="229">
        <v>-9.3299999999999994E-2</v>
      </c>
      <c r="BY52" s="230">
        <v>1146</v>
      </c>
      <c r="BZ52" s="230">
        <v>1167</v>
      </c>
      <c r="CA52" s="228">
        <v>-21</v>
      </c>
      <c r="CB52" s="229">
        <v>-1.8100000000000002E-2</v>
      </c>
      <c r="CC52" s="228">
        <v>275</v>
      </c>
      <c r="CD52" s="228">
        <v>539</v>
      </c>
      <c r="CE52" s="228">
        <v>-264</v>
      </c>
      <c r="CF52" s="229">
        <v>-0.4899</v>
      </c>
      <c r="CG52" s="228">
        <v>860</v>
      </c>
      <c r="CH52" s="228">
        <v>619</v>
      </c>
      <c r="CI52" s="228">
        <v>241</v>
      </c>
      <c r="CJ52" s="229">
        <v>0.3891</v>
      </c>
      <c r="CK52" s="228">
        <v>12</v>
      </c>
      <c r="CL52" s="228">
        <v>9</v>
      </c>
      <c r="CM52" s="228">
        <v>2</v>
      </c>
      <c r="CN52" s="229">
        <v>0.23810000000000001</v>
      </c>
      <c r="CO52" s="228">
        <v>529</v>
      </c>
      <c r="CP52" s="228">
        <v>564</v>
      </c>
      <c r="CQ52" s="228">
        <v>-34</v>
      </c>
      <c r="CR52" s="229">
        <v>-6.1100000000000002E-2</v>
      </c>
      <c r="CS52" s="228">
        <v>351</v>
      </c>
      <c r="CT52" s="228">
        <v>363</v>
      </c>
      <c r="CU52" s="228">
        <v>-12</v>
      </c>
      <c r="CV52" s="229">
        <v>-3.2099999999999997E-2</v>
      </c>
      <c r="CW52" s="230">
        <v>2026</v>
      </c>
      <c r="CX52" s="230">
        <v>2093</v>
      </c>
      <c r="CY52" s="228">
        <v>-67</v>
      </c>
      <c r="CZ52" s="229">
        <v>-3.2099999999999997E-2</v>
      </c>
      <c r="DA52" s="228">
        <v>22.67</v>
      </c>
      <c r="DB52" s="228">
        <v>23.21</v>
      </c>
      <c r="DC52" s="228">
        <v>-0.54</v>
      </c>
      <c r="DD52" s="228">
        <v>-0.54</v>
      </c>
      <c r="DE52" s="228">
        <v>25.28</v>
      </c>
      <c r="DF52" s="228">
        <v>25.34</v>
      </c>
      <c r="DG52" s="228">
        <v>-2.61</v>
      </c>
      <c r="DH52" s="228">
        <v>-0.06</v>
      </c>
      <c r="DI52" s="228">
        <v>23.08</v>
      </c>
      <c r="DJ52" s="228">
        <v>23.18</v>
      </c>
      <c r="DK52" s="228">
        <v>-0.1</v>
      </c>
      <c r="DL52" s="228">
        <v>-0.1</v>
      </c>
      <c r="DM52" s="228">
        <v>21.98</v>
      </c>
      <c r="DN52" s="228">
        <v>23.26</v>
      </c>
      <c r="DO52" s="228">
        <v>-1.28</v>
      </c>
      <c r="DP52" s="228">
        <v>-1.28</v>
      </c>
      <c r="DQ52" s="228">
        <v>0.66</v>
      </c>
      <c r="DR52" s="228">
        <v>0.64</v>
      </c>
      <c r="DS52" s="228">
        <v>0.02</v>
      </c>
      <c r="DT52" s="229">
        <v>3.1300000000000001E-2</v>
      </c>
      <c r="DU52" s="228">
        <v>550</v>
      </c>
      <c r="DV52" s="228">
        <v>490</v>
      </c>
      <c r="DW52" s="228">
        <v>0.53</v>
      </c>
      <c r="DX52" s="228">
        <v>0.84</v>
      </c>
      <c r="DY52" s="228">
        <v>-0.31</v>
      </c>
      <c r="DZ52" s="229">
        <v>-0.36899999999999999</v>
      </c>
      <c r="EA52" s="229">
        <v>0.7601</v>
      </c>
      <c r="EB52" s="230">
        <v>12401250</v>
      </c>
      <c r="EC52" s="229">
        <v>-2.3999999999999998E-3</v>
      </c>
      <c r="ED52" s="229">
        <v>0.7601</v>
      </c>
      <c r="EE52" s="228">
        <v>-0.39</v>
      </c>
      <c r="EF52" s="229">
        <v>-8.0000000000000004E-4</v>
      </c>
      <c r="EG52" s="230">
        <v>2502576</v>
      </c>
      <c r="EH52" s="230">
        <v>2590479</v>
      </c>
      <c r="EI52" s="229">
        <v>-3.39E-2</v>
      </c>
      <c r="EJ52" s="229">
        <v>0.65539999999999998</v>
      </c>
      <c r="EK52" s="228">
        <v>641.49</v>
      </c>
      <c r="EL52" s="228">
        <v>328.37</v>
      </c>
      <c r="EM52" s="228">
        <v>843.51</v>
      </c>
      <c r="EN52" s="228">
        <v>73.849999999999994</v>
      </c>
      <c r="EO52" s="231">
        <v>1813.38</v>
      </c>
      <c r="EP52" s="231">
        <v>2477.35</v>
      </c>
      <c r="EQ52" s="228">
        <v>-663.97</v>
      </c>
      <c r="ER52" s="229">
        <v>-0.26800000000000002</v>
      </c>
      <c r="ES52" s="228">
        <v>549.74</v>
      </c>
      <c r="ET52" s="228">
        <v>339.95</v>
      </c>
      <c r="EU52" s="231">
        <v>1143.98</v>
      </c>
      <c r="EV52" s="231">
        <v>89873278</v>
      </c>
      <c r="EW52" s="231">
        <v>2033.67</v>
      </c>
      <c r="EX52" s="231">
        <v>2107.6799999999998</v>
      </c>
      <c r="EY52" s="228">
        <v>-74.010000000000005</v>
      </c>
      <c r="EZ52" s="229">
        <v>-3.5099999999999999E-2</v>
      </c>
      <c r="FA52" s="229">
        <v>0.44519999999999998</v>
      </c>
      <c r="FB52" s="227" t="s">
        <v>568</v>
      </c>
      <c r="FC52">
        <f t="shared" si="0"/>
        <v>871</v>
      </c>
    </row>
    <row r="53" spans="1:159" ht="17.25" thickBot="1" x14ac:dyDescent="0.3">
      <c r="A53" s="226">
        <v>45957</v>
      </c>
      <c r="B53" s="227" t="s">
        <v>157</v>
      </c>
      <c r="C53" s="227" t="s">
        <v>524</v>
      </c>
      <c r="D53" s="228">
        <v>325</v>
      </c>
      <c r="E53" s="228">
        <v>1</v>
      </c>
      <c r="F53" s="231">
        <v>2096.9</v>
      </c>
      <c r="G53" s="231">
        <v>2101.4</v>
      </c>
      <c r="H53" s="228">
        <v>-4.5</v>
      </c>
      <c r="I53" s="229">
        <v>-2.0999999999999999E-3</v>
      </c>
      <c r="J53" s="231">
        <v>2093.1999999999998</v>
      </c>
      <c r="K53" s="231">
        <v>2098.4</v>
      </c>
      <c r="L53" s="228">
        <v>-5.2</v>
      </c>
      <c r="M53" s="229">
        <v>-2.5000000000000001E-3</v>
      </c>
      <c r="N53" s="231">
        <v>2096.9</v>
      </c>
      <c r="O53" s="231">
        <v>2101.4</v>
      </c>
      <c r="P53" s="228">
        <v>-4.5</v>
      </c>
      <c r="Q53" s="229">
        <v>-2.0999999999999999E-3</v>
      </c>
      <c r="R53" s="231">
        <v>2108.1999999999998</v>
      </c>
      <c r="S53" s="231">
        <v>2111.5</v>
      </c>
      <c r="T53" s="228">
        <v>-3.3</v>
      </c>
      <c r="U53" s="229">
        <v>-1.6000000000000001E-3</v>
      </c>
      <c r="V53" s="231">
        <v>2117.5</v>
      </c>
      <c r="W53" s="231">
        <v>2126.3000000000002</v>
      </c>
      <c r="X53" s="228">
        <v>-8.8000000000000007</v>
      </c>
      <c r="Y53" s="229">
        <v>-4.1000000000000003E-3</v>
      </c>
      <c r="Z53" s="228">
        <v>3.7</v>
      </c>
      <c r="AA53" s="228">
        <v>3</v>
      </c>
      <c r="AB53" s="228">
        <v>0.7</v>
      </c>
      <c r="AC53" s="229">
        <v>1.8E-3</v>
      </c>
      <c r="AD53" s="228">
        <v>3.7</v>
      </c>
      <c r="AE53" s="228">
        <v>3</v>
      </c>
      <c r="AF53" s="228">
        <v>0.7</v>
      </c>
      <c r="AG53" s="229">
        <v>1.8E-3</v>
      </c>
      <c r="AH53" s="228">
        <v>15</v>
      </c>
      <c r="AI53" s="228">
        <v>13.1</v>
      </c>
      <c r="AJ53" s="228">
        <v>1.9</v>
      </c>
      <c r="AK53" s="229">
        <v>7.1999999999999998E-3</v>
      </c>
      <c r="AL53" s="228">
        <v>24.3</v>
      </c>
      <c r="AM53" s="228">
        <v>27.9</v>
      </c>
      <c r="AN53" s="228">
        <v>-3.6</v>
      </c>
      <c r="AO53" s="229">
        <v>1.1599999999999999E-2</v>
      </c>
      <c r="AP53" s="231">
        <v>2098.6999999999998</v>
      </c>
      <c r="AQ53" s="231">
        <v>2110.33</v>
      </c>
      <c r="AR53" s="228">
        <v>0</v>
      </c>
      <c r="AS53" s="228">
        <v>456</v>
      </c>
      <c r="AT53" s="228">
        <v>411</v>
      </c>
      <c r="AU53" s="228">
        <v>45</v>
      </c>
      <c r="AV53" s="229">
        <v>0.1099</v>
      </c>
      <c r="AW53" s="228">
        <v>162</v>
      </c>
      <c r="AX53" s="228">
        <v>217</v>
      </c>
      <c r="AY53" s="228">
        <v>-54</v>
      </c>
      <c r="AZ53" s="229">
        <v>-0.24979999999999999</v>
      </c>
      <c r="BA53" s="228">
        <v>291</v>
      </c>
      <c r="BB53" s="228">
        <v>191</v>
      </c>
      <c r="BC53" s="228">
        <v>100</v>
      </c>
      <c r="BD53" s="229">
        <v>0.52139999999999997</v>
      </c>
      <c r="BE53" s="228">
        <v>2</v>
      </c>
      <c r="BF53" s="228">
        <v>3</v>
      </c>
      <c r="BG53" s="228">
        <v>0</v>
      </c>
      <c r="BH53" s="229">
        <v>-0.17499999999999999</v>
      </c>
      <c r="BI53" s="228">
        <v>335</v>
      </c>
      <c r="BJ53" s="228">
        <v>711</v>
      </c>
      <c r="BK53" s="228">
        <v>-376</v>
      </c>
      <c r="BL53" s="229">
        <v>-0.52839999999999998</v>
      </c>
      <c r="BM53" s="228">
        <v>122</v>
      </c>
      <c r="BN53" s="228">
        <v>264</v>
      </c>
      <c r="BO53" s="228">
        <v>-142</v>
      </c>
      <c r="BP53" s="229">
        <v>-0.53900000000000003</v>
      </c>
      <c r="BQ53" s="228">
        <v>913</v>
      </c>
      <c r="BR53" s="230">
        <v>1386</v>
      </c>
      <c r="BS53" s="228">
        <v>-473</v>
      </c>
      <c r="BT53" s="229">
        <v>-0.34129999999999999</v>
      </c>
      <c r="BU53" s="230">
        <v>1000434</v>
      </c>
      <c r="BV53" s="230">
        <v>422974</v>
      </c>
      <c r="BW53" s="230">
        <v>577460</v>
      </c>
      <c r="BX53" s="229">
        <v>1.3652</v>
      </c>
      <c r="BY53" s="228">
        <v>478</v>
      </c>
      <c r="BZ53" s="228">
        <v>472</v>
      </c>
      <c r="CA53" s="228">
        <v>6</v>
      </c>
      <c r="CB53" s="229">
        <v>1.26E-2</v>
      </c>
      <c r="CC53" s="228">
        <v>61</v>
      </c>
      <c r="CD53" s="228">
        <v>168</v>
      </c>
      <c r="CE53" s="228">
        <v>-107</v>
      </c>
      <c r="CF53" s="229">
        <v>-0.63959999999999995</v>
      </c>
      <c r="CG53" s="228">
        <v>412</v>
      </c>
      <c r="CH53" s="228">
        <v>300</v>
      </c>
      <c r="CI53" s="228">
        <v>112</v>
      </c>
      <c r="CJ53" s="229">
        <v>0.37219999999999998</v>
      </c>
      <c r="CK53" s="228">
        <v>5</v>
      </c>
      <c r="CL53" s="228">
        <v>3</v>
      </c>
      <c r="CM53" s="228">
        <v>1</v>
      </c>
      <c r="CN53" s="229">
        <v>0.45829999999999999</v>
      </c>
      <c r="CO53" s="228">
        <v>298</v>
      </c>
      <c r="CP53" s="228">
        <v>358</v>
      </c>
      <c r="CQ53" s="228">
        <v>-60</v>
      </c>
      <c r="CR53" s="229">
        <v>-0.1673</v>
      </c>
      <c r="CS53" s="228">
        <v>132</v>
      </c>
      <c r="CT53" s="228">
        <v>152</v>
      </c>
      <c r="CU53" s="228">
        <v>-20</v>
      </c>
      <c r="CV53" s="229">
        <v>-0.13350000000000001</v>
      </c>
      <c r="CW53" s="228">
        <v>908</v>
      </c>
      <c r="CX53" s="228">
        <v>982</v>
      </c>
      <c r="CY53" s="228">
        <v>-74</v>
      </c>
      <c r="CZ53" s="229">
        <v>-7.5700000000000003E-2</v>
      </c>
      <c r="DA53" s="228">
        <v>25.75</v>
      </c>
      <c r="DB53" s="228">
        <v>25.7</v>
      </c>
      <c r="DC53" s="228">
        <v>0.05</v>
      </c>
      <c r="DD53" s="228">
        <v>0.05</v>
      </c>
      <c r="DE53" s="228">
        <v>30.07</v>
      </c>
      <c r="DF53" s="228">
        <v>30.15</v>
      </c>
      <c r="DG53" s="228">
        <v>-4.32</v>
      </c>
      <c r="DH53" s="228">
        <v>-0.08</v>
      </c>
      <c r="DI53" s="228">
        <v>25.89</v>
      </c>
      <c r="DJ53" s="228">
        <v>26.03</v>
      </c>
      <c r="DK53" s="228">
        <v>-0.14000000000000001</v>
      </c>
      <c r="DL53" s="228">
        <v>-0.14000000000000001</v>
      </c>
      <c r="DM53" s="228">
        <v>25.32</v>
      </c>
      <c r="DN53" s="228">
        <v>24.94</v>
      </c>
      <c r="DO53" s="228">
        <v>0.38</v>
      </c>
      <c r="DP53" s="228">
        <v>0.38</v>
      </c>
      <c r="DQ53" s="228">
        <v>0.44</v>
      </c>
      <c r="DR53" s="228">
        <v>0.42</v>
      </c>
      <c r="DS53" s="228">
        <v>0.02</v>
      </c>
      <c r="DT53" s="229">
        <v>4.7600000000000003E-2</v>
      </c>
      <c r="DU53" s="231">
        <v>2300</v>
      </c>
      <c r="DV53" s="231">
        <v>2000</v>
      </c>
      <c r="DW53" s="228">
        <v>0.36</v>
      </c>
      <c r="DX53" s="228">
        <v>0.37</v>
      </c>
      <c r="DY53" s="228">
        <v>-0.01</v>
      </c>
      <c r="DZ53" s="229">
        <v>-2.7E-2</v>
      </c>
      <c r="EA53" s="229">
        <v>0.87329999999999997</v>
      </c>
      <c r="EB53" s="230">
        <v>1448525</v>
      </c>
      <c r="EC53" s="229">
        <v>5.4000000000000003E-3</v>
      </c>
      <c r="ED53" s="229">
        <v>0.87329999999999997</v>
      </c>
      <c r="EE53" s="228">
        <v>11.63</v>
      </c>
      <c r="EF53" s="229">
        <v>5.4999999999999997E-3</v>
      </c>
      <c r="EG53" s="230">
        <v>771883</v>
      </c>
      <c r="EH53" s="230">
        <v>277408</v>
      </c>
      <c r="EI53" s="229">
        <v>1.7825</v>
      </c>
      <c r="EJ53" s="229">
        <v>0.77149999999999996</v>
      </c>
      <c r="EK53" s="228">
        <v>352.83</v>
      </c>
      <c r="EL53" s="228">
        <v>123.04</v>
      </c>
      <c r="EM53" s="228">
        <v>457.67</v>
      </c>
      <c r="EN53" s="228">
        <v>52.87</v>
      </c>
      <c r="EO53" s="228">
        <v>933.54</v>
      </c>
      <c r="EP53" s="231">
        <v>1424.59</v>
      </c>
      <c r="EQ53" s="228">
        <v>-491.05</v>
      </c>
      <c r="ER53" s="229">
        <v>-0.34470000000000001</v>
      </c>
      <c r="ES53" s="228">
        <v>325.27999999999997</v>
      </c>
      <c r="ET53" s="228">
        <v>134.55000000000001</v>
      </c>
      <c r="EU53" s="228">
        <v>479.86</v>
      </c>
      <c r="EV53" s="231">
        <v>12425041</v>
      </c>
      <c r="EW53" s="228">
        <v>939.69</v>
      </c>
      <c r="EX53" s="231">
        <v>1018.88</v>
      </c>
      <c r="EY53" s="228">
        <v>-79.19</v>
      </c>
      <c r="EZ53" s="229">
        <v>-7.7700000000000005E-2</v>
      </c>
      <c r="FA53" s="229">
        <v>0.34849999999999998</v>
      </c>
      <c r="FB53" s="227" t="s">
        <v>567</v>
      </c>
      <c r="FC53">
        <f t="shared" si="0"/>
        <v>417</v>
      </c>
    </row>
    <row r="54" spans="1:159" ht="17.25" thickBot="1" x14ac:dyDescent="0.3">
      <c r="A54" s="226">
        <v>45957</v>
      </c>
      <c r="B54" s="227" t="s">
        <v>615</v>
      </c>
      <c r="C54" s="227" t="s">
        <v>600</v>
      </c>
      <c r="D54" s="228">
        <v>2075</v>
      </c>
      <c r="E54" s="228">
        <v>1</v>
      </c>
      <c r="F54" s="228">
        <v>472.55</v>
      </c>
      <c r="G54" s="228">
        <v>466.4</v>
      </c>
      <c r="H54" s="228">
        <v>6.15</v>
      </c>
      <c r="I54" s="229">
        <v>1.32E-2</v>
      </c>
      <c r="J54" s="228">
        <v>473</v>
      </c>
      <c r="K54" s="228">
        <v>466.9</v>
      </c>
      <c r="L54" s="228">
        <v>6.1</v>
      </c>
      <c r="M54" s="229">
        <v>1.3100000000000001E-2</v>
      </c>
      <c r="N54" s="228">
        <v>472.55</v>
      </c>
      <c r="O54" s="228">
        <v>466.4</v>
      </c>
      <c r="P54" s="228">
        <v>6.15</v>
      </c>
      <c r="Q54" s="229">
        <v>1.32E-2</v>
      </c>
      <c r="R54" s="228">
        <v>475.5</v>
      </c>
      <c r="S54" s="228">
        <v>469.25</v>
      </c>
      <c r="T54" s="228">
        <v>6.25</v>
      </c>
      <c r="U54" s="229">
        <v>1.3299999999999999E-2</v>
      </c>
      <c r="V54" s="228">
        <v>478.5</v>
      </c>
      <c r="W54" s="228">
        <v>471.9</v>
      </c>
      <c r="X54" s="228">
        <v>6.6</v>
      </c>
      <c r="Y54" s="229">
        <v>1.4E-2</v>
      </c>
      <c r="Z54" s="228">
        <v>-0.45</v>
      </c>
      <c r="AA54" s="228">
        <v>-0.5</v>
      </c>
      <c r="AB54" s="228">
        <v>0.05</v>
      </c>
      <c r="AC54" s="229">
        <v>-1E-3</v>
      </c>
      <c r="AD54" s="228">
        <v>-0.45</v>
      </c>
      <c r="AE54" s="228">
        <v>-0.5</v>
      </c>
      <c r="AF54" s="228">
        <v>0.05</v>
      </c>
      <c r="AG54" s="229">
        <v>-1E-3</v>
      </c>
      <c r="AH54" s="228">
        <v>2.5</v>
      </c>
      <c r="AI54" s="228">
        <v>2.35</v>
      </c>
      <c r="AJ54" s="228">
        <v>0.15</v>
      </c>
      <c r="AK54" s="229">
        <v>5.3E-3</v>
      </c>
      <c r="AL54" s="228">
        <v>5.5</v>
      </c>
      <c r="AM54" s="228">
        <v>5</v>
      </c>
      <c r="AN54" s="228">
        <v>0.5</v>
      </c>
      <c r="AO54" s="229">
        <v>1.1599999999999999E-2</v>
      </c>
      <c r="AP54" s="228">
        <v>470.58</v>
      </c>
      <c r="AQ54" s="228">
        <v>473.43</v>
      </c>
      <c r="AR54" s="228">
        <v>0</v>
      </c>
      <c r="AS54" s="228">
        <v>738</v>
      </c>
      <c r="AT54" s="228">
        <v>800</v>
      </c>
      <c r="AU54" s="228">
        <v>-62</v>
      </c>
      <c r="AV54" s="229">
        <v>-7.8100000000000003E-2</v>
      </c>
      <c r="AW54" s="228">
        <v>349</v>
      </c>
      <c r="AX54" s="228">
        <v>397</v>
      </c>
      <c r="AY54" s="228">
        <v>-48</v>
      </c>
      <c r="AZ54" s="229">
        <v>-0.12089999999999999</v>
      </c>
      <c r="BA54" s="228">
        <v>383</v>
      </c>
      <c r="BB54" s="228">
        <v>402</v>
      </c>
      <c r="BC54" s="228">
        <v>-19</v>
      </c>
      <c r="BD54" s="229">
        <v>-4.7100000000000003E-2</v>
      </c>
      <c r="BE54" s="228">
        <v>6</v>
      </c>
      <c r="BF54" s="228">
        <v>2</v>
      </c>
      <c r="BG54" s="228">
        <v>4</v>
      </c>
      <c r="BH54" s="229">
        <v>2.8125</v>
      </c>
      <c r="BI54" s="228">
        <v>437</v>
      </c>
      <c r="BJ54" s="228">
        <v>685</v>
      </c>
      <c r="BK54" s="228">
        <v>-248</v>
      </c>
      <c r="BL54" s="229">
        <v>-0.36180000000000001</v>
      </c>
      <c r="BM54" s="228">
        <v>236</v>
      </c>
      <c r="BN54" s="228">
        <v>575</v>
      </c>
      <c r="BO54" s="228">
        <v>-339</v>
      </c>
      <c r="BP54" s="229">
        <v>-0.58940000000000003</v>
      </c>
      <c r="BQ54" s="230">
        <v>1411</v>
      </c>
      <c r="BR54" s="230">
        <v>2059</v>
      </c>
      <c r="BS54" s="228">
        <v>-649</v>
      </c>
      <c r="BT54" s="229">
        <v>-0.31509999999999999</v>
      </c>
      <c r="BU54" s="230">
        <v>1166218</v>
      </c>
      <c r="BV54" s="230">
        <v>2915408</v>
      </c>
      <c r="BW54" s="230">
        <v>-1749190</v>
      </c>
      <c r="BX54" s="229">
        <v>-0.6</v>
      </c>
      <c r="BY54" s="228">
        <v>890</v>
      </c>
      <c r="BZ54" s="228">
        <v>898</v>
      </c>
      <c r="CA54" s="228">
        <v>-8</v>
      </c>
      <c r="CB54" s="229">
        <v>-8.8999999999999999E-3</v>
      </c>
      <c r="CC54" s="228">
        <v>112</v>
      </c>
      <c r="CD54" s="228">
        <v>377</v>
      </c>
      <c r="CE54" s="228">
        <v>-265</v>
      </c>
      <c r="CF54" s="229">
        <v>-0.7026</v>
      </c>
      <c r="CG54" s="228">
        <v>771</v>
      </c>
      <c r="CH54" s="228">
        <v>515</v>
      </c>
      <c r="CI54" s="228">
        <v>256</v>
      </c>
      <c r="CJ54" s="229">
        <v>0.49630000000000002</v>
      </c>
      <c r="CK54" s="228">
        <v>7</v>
      </c>
      <c r="CL54" s="228">
        <v>6</v>
      </c>
      <c r="CM54" s="228">
        <v>1</v>
      </c>
      <c r="CN54" s="229">
        <v>0.2034</v>
      </c>
      <c r="CO54" s="228">
        <v>443</v>
      </c>
      <c r="CP54" s="228">
        <v>520</v>
      </c>
      <c r="CQ54" s="228">
        <v>-78</v>
      </c>
      <c r="CR54" s="229">
        <v>-0.14910000000000001</v>
      </c>
      <c r="CS54" s="228">
        <v>281</v>
      </c>
      <c r="CT54" s="228">
        <v>273</v>
      </c>
      <c r="CU54" s="228">
        <v>8</v>
      </c>
      <c r="CV54" s="229">
        <v>2.76E-2</v>
      </c>
      <c r="CW54" s="230">
        <v>1614</v>
      </c>
      <c r="CX54" s="230">
        <v>1692</v>
      </c>
      <c r="CY54" s="228">
        <v>-78</v>
      </c>
      <c r="CZ54" s="229">
        <v>-4.6100000000000002E-2</v>
      </c>
      <c r="DA54" s="228">
        <v>33.07</v>
      </c>
      <c r="DB54" s="228">
        <v>32.42</v>
      </c>
      <c r="DC54" s="228">
        <v>0.65</v>
      </c>
      <c r="DD54" s="228">
        <v>0.65</v>
      </c>
      <c r="DE54" s="228">
        <v>40.659999999999997</v>
      </c>
      <c r="DF54" s="228">
        <v>40.72</v>
      </c>
      <c r="DG54" s="228">
        <v>-7.59</v>
      </c>
      <c r="DH54" s="228">
        <v>-0.06</v>
      </c>
      <c r="DI54" s="228">
        <v>33.159999999999997</v>
      </c>
      <c r="DJ54" s="228">
        <v>32.56</v>
      </c>
      <c r="DK54" s="228">
        <v>0.6</v>
      </c>
      <c r="DL54" s="228">
        <v>0.6</v>
      </c>
      <c r="DM54" s="228">
        <v>32.950000000000003</v>
      </c>
      <c r="DN54" s="228">
        <v>32.07</v>
      </c>
      <c r="DO54" s="228">
        <v>0.88</v>
      </c>
      <c r="DP54" s="228">
        <v>0.88</v>
      </c>
      <c r="DQ54" s="228">
        <v>0.63</v>
      </c>
      <c r="DR54" s="228">
        <v>0.53</v>
      </c>
      <c r="DS54" s="228">
        <v>0.1</v>
      </c>
      <c r="DT54" s="229">
        <v>0.18870000000000001</v>
      </c>
      <c r="DU54" s="228">
        <v>500</v>
      </c>
      <c r="DV54" s="228">
        <v>470</v>
      </c>
      <c r="DW54" s="228">
        <v>0.54</v>
      </c>
      <c r="DX54" s="228">
        <v>0.84</v>
      </c>
      <c r="DY54" s="228">
        <v>-0.3</v>
      </c>
      <c r="DZ54" s="229">
        <v>-0.35709999999999997</v>
      </c>
      <c r="EA54" s="229">
        <v>0.874</v>
      </c>
      <c r="EB54" s="230">
        <v>11030700</v>
      </c>
      <c r="EC54" s="229">
        <v>6.1999999999999998E-3</v>
      </c>
      <c r="ED54" s="229">
        <v>0.874</v>
      </c>
      <c r="EE54" s="228">
        <v>2.85</v>
      </c>
      <c r="EF54" s="229">
        <v>6.1000000000000004E-3</v>
      </c>
      <c r="EG54" s="230">
        <v>488156</v>
      </c>
      <c r="EH54" s="230">
        <v>1885574</v>
      </c>
      <c r="EI54" s="229">
        <v>-0.74109999999999998</v>
      </c>
      <c r="EJ54" s="229">
        <v>0.41860000000000003</v>
      </c>
      <c r="EK54" s="228">
        <v>450.04</v>
      </c>
      <c r="EL54" s="228">
        <v>231.16</v>
      </c>
      <c r="EM54" s="228">
        <v>736.87</v>
      </c>
      <c r="EN54" s="228">
        <v>40.9</v>
      </c>
      <c r="EO54" s="231">
        <v>1418.08</v>
      </c>
      <c r="EP54" s="231">
        <v>2060.4499999999998</v>
      </c>
      <c r="EQ54" s="228">
        <v>-642.37</v>
      </c>
      <c r="ER54" s="229">
        <v>-0.31180000000000002</v>
      </c>
      <c r="ES54" s="228">
        <v>459</v>
      </c>
      <c r="ET54" s="228">
        <v>266.98</v>
      </c>
      <c r="EU54" s="228">
        <v>895.33</v>
      </c>
      <c r="EV54" s="231">
        <v>94196226</v>
      </c>
      <c r="EW54" s="231">
        <v>1621.31</v>
      </c>
      <c r="EX54" s="231">
        <v>1687.59</v>
      </c>
      <c r="EY54" s="228">
        <v>-66.28</v>
      </c>
      <c r="EZ54" s="229">
        <v>-3.9300000000000002E-2</v>
      </c>
      <c r="FA54" s="229">
        <v>0.36259999999999998</v>
      </c>
      <c r="FB54" s="227" t="s">
        <v>556</v>
      </c>
      <c r="FC54">
        <f t="shared" si="0"/>
        <v>778</v>
      </c>
    </row>
    <row r="55" spans="1:159" ht="17.25" thickBot="1" x14ac:dyDescent="0.3">
      <c r="A55" s="226">
        <v>45957</v>
      </c>
      <c r="B55" s="227" t="s">
        <v>170</v>
      </c>
      <c r="C55" s="227" t="s">
        <v>205</v>
      </c>
      <c r="D55" s="228">
        <v>100</v>
      </c>
      <c r="E55" s="228">
        <v>1</v>
      </c>
      <c r="F55" s="231">
        <v>6485</v>
      </c>
      <c r="G55" s="231">
        <v>6587.5</v>
      </c>
      <c r="H55" s="228">
        <v>-102.5</v>
      </c>
      <c r="I55" s="229">
        <v>-1.5599999999999999E-2</v>
      </c>
      <c r="J55" s="231">
        <v>6490</v>
      </c>
      <c r="K55" s="231">
        <v>6593</v>
      </c>
      <c r="L55" s="228">
        <v>-103</v>
      </c>
      <c r="M55" s="229">
        <v>-1.5599999999999999E-2</v>
      </c>
      <c r="N55" s="231">
        <v>6485</v>
      </c>
      <c r="O55" s="231">
        <v>6587.5</v>
      </c>
      <c r="P55" s="228">
        <v>-102.5</v>
      </c>
      <c r="Q55" s="229">
        <v>-1.5599999999999999E-2</v>
      </c>
      <c r="R55" s="231">
        <v>6521.5</v>
      </c>
      <c r="S55" s="231">
        <v>6620</v>
      </c>
      <c r="T55" s="228">
        <v>-98.5</v>
      </c>
      <c r="U55" s="229">
        <v>-1.49E-2</v>
      </c>
      <c r="V55" s="231">
        <v>6565.5</v>
      </c>
      <c r="W55" s="231">
        <v>6654</v>
      </c>
      <c r="X55" s="228">
        <v>-88.5</v>
      </c>
      <c r="Y55" s="229">
        <v>-1.3299999999999999E-2</v>
      </c>
      <c r="Z55" s="228">
        <v>-5</v>
      </c>
      <c r="AA55" s="228">
        <v>-5.5</v>
      </c>
      <c r="AB55" s="228">
        <v>0.5</v>
      </c>
      <c r="AC55" s="229">
        <v>-8.0000000000000004E-4</v>
      </c>
      <c r="AD55" s="228">
        <v>-5</v>
      </c>
      <c r="AE55" s="228">
        <v>-5.5</v>
      </c>
      <c r="AF55" s="228">
        <v>0.5</v>
      </c>
      <c r="AG55" s="229">
        <v>-8.0000000000000004E-4</v>
      </c>
      <c r="AH55" s="228">
        <v>31.5</v>
      </c>
      <c r="AI55" s="228">
        <v>27</v>
      </c>
      <c r="AJ55" s="228">
        <v>4.5</v>
      </c>
      <c r="AK55" s="229">
        <v>4.8999999999999998E-3</v>
      </c>
      <c r="AL55" s="228">
        <v>75.5</v>
      </c>
      <c r="AM55" s="228">
        <v>61</v>
      </c>
      <c r="AN55" s="228">
        <v>14.5</v>
      </c>
      <c r="AO55" s="229">
        <v>1.1599999999999999E-2</v>
      </c>
      <c r="AP55" s="231">
        <v>6496.3</v>
      </c>
      <c r="AQ55" s="231">
        <v>6532.62</v>
      </c>
      <c r="AR55" s="228">
        <v>0</v>
      </c>
      <c r="AS55" s="230">
        <v>1225</v>
      </c>
      <c r="AT55" s="230">
        <v>1324</v>
      </c>
      <c r="AU55" s="228">
        <v>-99</v>
      </c>
      <c r="AV55" s="229">
        <v>-7.4700000000000003E-2</v>
      </c>
      <c r="AW55" s="228">
        <v>611</v>
      </c>
      <c r="AX55" s="228">
        <v>691</v>
      </c>
      <c r="AY55" s="228">
        <v>-80</v>
      </c>
      <c r="AZ55" s="229">
        <v>-0.11509999999999999</v>
      </c>
      <c r="BA55" s="228">
        <v>608</v>
      </c>
      <c r="BB55" s="228">
        <v>631</v>
      </c>
      <c r="BC55" s="228">
        <v>-23</v>
      </c>
      <c r="BD55" s="229">
        <v>-3.6200000000000003E-2</v>
      </c>
      <c r="BE55" s="228">
        <v>5</v>
      </c>
      <c r="BF55" s="228">
        <v>2</v>
      </c>
      <c r="BG55" s="228">
        <v>4</v>
      </c>
      <c r="BH55" s="229">
        <v>2.16</v>
      </c>
      <c r="BI55" s="230">
        <v>1618</v>
      </c>
      <c r="BJ55" s="228">
        <v>892</v>
      </c>
      <c r="BK55" s="228">
        <v>725</v>
      </c>
      <c r="BL55" s="229">
        <v>0.81289999999999996</v>
      </c>
      <c r="BM55" s="230">
        <v>1324</v>
      </c>
      <c r="BN55" s="228">
        <v>749</v>
      </c>
      <c r="BO55" s="228">
        <v>575</v>
      </c>
      <c r="BP55" s="229">
        <v>0.76839999999999997</v>
      </c>
      <c r="BQ55" s="230">
        <v>4166</v>
      </c>
      <c r="BR55" s="230">
        <v>2964</v>
      </c>
      <c r="BS55" s="230">
        <v>1202</v>
      </c>
      <c r="BT55" s="229">
        <v>0.40539999999999998</v>
      </c>
      <c r="BU55" s="230">
        <v>346154</v>
      </c>
      <c r="BV55" s="230">
        <v>252258</v>
      </c>
      <c r="BW55" s="230">
        <v>93896</v>
      </c>
      <c r="BX55" s="229">
        <v>0.37219999999999998</v>
      </c>
      <c r="BY55" s="230">
        <v>1682</v>
      </c>
      <c r="BZ55" s="230">
        <v>1723</v>
      </c>
      <c r="CA55" s="228">
        <v>-41</v>
      </c>
      <c r="CB55" s="229">
        <v>-2.3900000000000001E-2</v>
      </c>
      <c r="CC55" s="228">
        <v>324</v>
      </c>
      <c r="CD55" s="228">
        <v>779</v>
      </c>
      <c r="CE55" s="228">
        <v>-455</v>
      </c>
      <c r="CF55" s="229">
        <v>-0.58389999999999997</v>
      </c>
      <c r="CG55" s="230">
        <v>1348</v>
      </c>
      <c r="CH55" s="228">
        <v>936</v>
      </c>
      <c r="CI55" s="228">
        <v>412</v>
      </c>
      <c r="CJ55" s="229">
        <v>0.43969999999999998</v>
      </c>
      <c r="CK55" s="228">
        <v>10</v>
      </c>
      <c r="CL55" s="228">
        <v>8</v>
      </c>
      <c r="CM55" s="228">
        <v>2</v>
      </c>
      <c r="CN55" s="229">
        <v>0.24</v>
      </c>
      <c r="CO55" s="228">
        <v>925</v>
      </c>
      <c r="CP55" s="228">
        <v>915</v>
      </c>
      <c r="CQ55" s="228">
        <v>10</v>
      </c>
      <c r="CR55" s="229">
        <v>1.0999999999999999E-2</v>
      </c>
      <c r="CS55" s="228">
        <v>773</v>
      </c>
      <c r="CT55" s="228">
        <v>913</v>
      </c>
      <c r="CU55" s="228">
        <v>-140</v>
      </c>
      <c r="CV55" s="229">
        <v>-0.15310000000000001</v>
      </c>
      <c r="CW55" s="230">
        <v>3380</v>
      </c>
      <c r="CX55" s="230">
        <v>3551</v>
      </c>
      <c r="CY55" s="228">
        <v>-171</v>
      </c>
      <c r="CZ55" s="229">
        <v>-4.8099999999999997E-2</v>
      </c>
      <c r="DA55" s="228">
        <v>29.36</v>
      </c>
      <c r="DB55" s="228">
        <v>28.39</v>
      </c>
      <c r="DC55" s="228">
        <v>0.97</v>
      </c>
      <c r="DD55" s="228">
        <v>0.97</v>
      </c>
      <c r="DE55" s="228">
        <v>31.78</v>
      </c>
      <c r="DF55" s="228">
        <v>31.79</v>
      </c>
      <c r="DG55" s="228">
        <v>-2.42</v>
      </c>
      <c r="DH55" s="228">
        <v>-0.01</v>
      </c>
      <c r="DI55" s="228">
        <v>29.38</v>
      </c>
      <c r="DJ55" s="228">
        <v>28.16</v>
      </c>
      <c r="DK55" s="228">
        <v>1.22</v>
      </c>
      <c r="DL55" s="228">
        <v>1.22</v>
      </c>
      <c r="DM55" s="228">
        <v>29.33</v>
      </c>
      <c r="DN55" s="228">
        <v>28.75</v>
      </c>
      <c r="DO55" s="228">
        <v>0.57999999999999996</v>
      </c>
      <c r="DP55" s="228">
        <v>0.57999999999999996</v>
      </c>
      <c r="DQ55" s="228">
        <v>0.84</v>
      </c>
      <c r="DR55" s="228">
        <v>1</v>
      </c>
      <c r="DS55" s="228">
        <v>-0.16</v>
      </c>
      <c r="DT55" s="229">
        <v>-0.16</v>
      </c>
      <c r="DU55" s="231">
        <v>6500</v>
      </c>
      <c r="DV55" s="231">
        <v>6000</v>
      </c>
      <c r="DW55" s="228">
        <v>0.82</v>
      </c>
      <c r="DX55" s="228">
        <v>0.84</v>
      </c>
      <c r="DY55" s="228">
        <v>-0.02</v>
      </c>
      <c r="DZ55" s="229">
        <v>-2.3800000000000002E-2</v>
      </c>
      <c r="EA55" s="229">
        <v>0.80740000000000001</v>
      </c>
      <c r="EB55" s="230">
        <v>1456600</v>
      </c>
      <c r="EC55" s="229">
        <v>5.5999999999999999E-3</v>
      </c>
      <c r="ED55" s="229">
        <v>0.80740000000000001</v>
      </c>
      <c r="EE55" s="228">
        <v>36.32</v>
      </c>
      <c r="EF55" s="229">
        <v>5.5999999999999999E-3</v>
      </c>
      <c r="EG55" s="230">
        <v>231883</v>
      </c>
      <c r="EH55" s="230">
        <v>144095</v>
      </c>
      <c r="EI55" s="229">
        <v>0.60919999999999996</v>
      </c>
      <c r="EJ55" s="229">
        <v>0.66990000000000005</v>
      </c>
      <c r="EK55" s="231">
        <v>1671.74</v>
      </c>
      <c r="EL55" s="231">
        <v>1302.76</v>
      </c>
      <c r="EM55" s="231">
        <v>1230.3599999999999</v>
      </c>
      <c r="EN55" s="228">
        <v>92.16</v>
      </c>
      <c r="EO55" s="231">
        <v>4204.87</v>
      </c>
      <c r="EP55" s="231">
        <v>3011.95</v>
      </c>
      <c r="EQ55" s="231">
        <v>1192.92</v>
      </c>
      <c r="ER55" s="229">
        <v>0.39610000000000001</v>
      </c>
      <c r="ES55" s="228">
        <v>946.79</v>
      </c>
      <c r="ET55" s="228">
        <v>729.27</v>
      </c>
      <c r="EU55" s="231">
        <v>1690.05</v>
      </c>
      <c r="EV55" s="231">
        <v>16353614</v>
      </c>
      <c r="EW55" s="231">
        <v>3366.1</v>
      </c>
      <c r="EX55" s="231">
        <v>3557.5</v>
      </c>
      <c r="EY55" s="228">
        <v>-191.4</v>
      </c>
      <c r="EZ55" s="229">
        <v>-5.3800000000000001E-2</v>
      </c>
      <c r="FA55" s="229">
        <v>0.31869999999999998</v>
      </c>
      <c r="FB55" s="227" t="s">
        <v>568</v>
      </c>
      <c r="FC55">
        <f t="shared" si="0"/>
        <v>1358</v>
      </c>
    </row>
    <row r="56" spans="1:159" ht="17.25" thickBot="1" x14ac:dyDescent="0.3">
      <c r="A56" s="226">
        <v>45957</v>
      </c>
      <c r="B56" s="227" t="s">
        <v>184</v>
      </c>
      <c r="C56" s="227" t="s">
        <v>512</v>
      </c>
      <c r="D56" s="228">
        <v>50</v>
      </c>
      <c r="E56" s="228">
        <v>1</v>
      </c>
      <c r="F56" s="231">
        <v>15528</v>
      </c>
      <c r="G56" s="231">
        <v>15523</v>
      </c>
      <c r="H56" s="228">
        <v>5</v>
      </c>
      <c r="I56" s="229">
        <v>2.9999999999999997E-4</v>
      </c>
      <c r="J56" s="231">
        <v>15505</v>
      </c>
      <c r="K56" s="231">
        <v>15490</v>
      </c>
      <c r="L56" s="228">
        <v>15</v>
      </c>
      <c r="M56" s="229">
        <v>1E-3</v>
      </c>
      <c r="N56" s="231">
        <v>15528</v>
      </c>
      <c r="O56" s="231">
        <v>15523</v>
      </c>
      <c r="P56" s="228">
        <v>5</v>
      </c>
      <c r="Q56" s="229">
        <v>2.9999999999999997E-4</v>
      </c>
      <c r="R56" s="231">
        <v>15614</v>
      </c>
      <c r="S56" s="231">
        <v>15600</v>
      </c>
      <c r="T56" s="228">
        <v>14</v>
      </c>
      <c r="U56" s="229">
        <v>8.9999999999999998E-4</v>
      </c>
      <c r="V56" s="231">
        <v>15718</v>
      </c>
      <c r="W56" s="231">
        <v>15697</v>
      </c>
      <c r="X56" s="228">
        <v>21</v>
      </c>
      <c r="Y56" s="229">
        <v>1.2999999999999999E-3</v>
      </c>
      <c r="Z56" s="228">
        <v>23</v>
      </c>
      <c r="AA56" s="228">
        <v>33</v>
      </c>
      <c r="AB56" s="228">
        <v>-10</v>
      </c>
      <c r="AC56" s="229">
        <v>1.5E-3</v>
      </c>
      <c r="AD56" s="228">
        <v>23</v>
      </c>
      <c r="AE56" s="228">
        <v>33</v>
      </c>
      <c r="AF56" s="228">
        <v>-10</v>
      </c>
      <c r="AG56" s="229">
        <v>1.5E-3</v>
      </c>
      <c r="AH56" s="228">
        <v>109</v>
      </c>
      <c r="AI56" s="228">
        <v>110</v>
      </c>
      <c r="AJ56" s="228">
        <v>-1</v>
      </c>
      <c r="AK56" s="229">
        <v>7.0000000000000001E-3</v>
      </c>
      <c r="AL56" s="228">
        <v>213</v>
      </c>
      <c r="AM56" s="228">
        <v>207</v>
      </c>
      <c r="AN56" s="228">
        <v>6</v>
      </c>
      <c r="AO56" s="229">
        <v>1.37E-2</v>
      </c>
      <c r="AP56" s="231">
        <v>15529.54</v>
      </c>
      <c r="AQ56" s="231">
        <v>15612.52</v>
      </c>
      <c r="AR56" s="228">
        <v>0</v>
      </c>
      <c r="AS56" s="230">
        <v>1672</v>
      </c>
      <c r="AT56" s="230">
        <v>2021</v>
      </c>
      <c r="AU56" s="228">
        <v>-349</v>
      </c>
      <c r="AV56" s="229">
        <v>-0.17280000000000001</v>
      </c>
      <c r="AW56" s="228">
        <v>773</v>
      </c>
      <c r="AX56" s="230">
        <v>1033</v>
      </c>
      <c r="AY56" s="228">
        <v>-260</v>
      </c>
      <c r="AZ56" s="229">
        <v>-0.25159999999999999</v>
      </c>
      <c r="BA56" s="228">
        <v>871</v>
      </c>
      <c r="BB56" s="228">
        <v>963</v>
      </c>
      <c r="BC56" s="228">
        <v>-92</v>
      </c>
      <c r="BD56" s="229">
        <v>-9.5500000000000002E-2</v>
      </c>
      <c r="BE56" s="228">
        <v>28</v>
      </c>
      <c r="BF56" s="228">
        <v>25</v>
      </c>
      <c r="BG56" s="228">
        <v>3</v>
      </c>
      <c r="BH56" s="229">
        <v>0.10489999999999999</v>
      </c>
      <c r="BI56" s="230">
        <v>10178</v>
      </c>
      <c r="BJ56" s="230">
        <v>11577</v>
      </c>
      <c r="BK56" s="230">
        <v>-1399</v>
      </c>
      <c r="BL56" s="229">
        <v>-0.1208</v>
      </c>
      <c r="BM56" s="230">
        <v>4773</v>
      </c>
      <c r="BN56" s="230">
        <v>7354</v>
      </c>
      <c r="BO56" s="230">
        <v>-2581</v>
      </c>
      <c r="BP56" s="229">
        <v>-0.35099999999999998</v>
      </c>
      <c r="BQ56" s="230">
        <v>16623</v>
      </c>
      <c r="BR56" s="230">
        <v>20952</v>
      </c>
      <c r="BS56" s="230">
        <v>-4329</v>
      </c>
      <c r="BT56" s="229">
        <v>-0.20660000000000001</v>
      </c>
      <c r="BU56" s="230">
        <v>310609</v>
      </c>
      <c r="BV56" s="230">
        <v>451775</v>
      </c>
      <c r="BW56" s="230">
        <v>-141166</v>
      </c>
      <c r="BX56" s="229">
        <v>-0.3125</v>
      </c>
      <c r="BY56" s="230">
        <v>3075</v>
      </c>
      <c r="BZ56" s="230">
        <v>3022</v>
      </c>
      <c r="CA56" s="228">
        <v>52</v>
      </c>
      <c r="CB56" s="229">
        <v>1.7299999999999999E-2</v>
      </c>
      <c r="CC56" s="228">
        <v>700</v>
      </c>
      <c r="CD56" s="230">
        <v>1188</v>
      </c>
      <c r="CE56" s="228">
        <v>-488</v>
      </c>
      <c r="CF56" s="229">
        <v>-0.41110000000000002</v>
      </c>
      <c r="CG56" s="230">
        <v>2289</v>
      </c>
      <c r="CH56" s="230">
        <v>1761</v>
      </c>
      <c r="CI56" s="228">
        <v>528</v>
      </c>
      <c r="CJ56" s="229">
        <v>0.30020000000000002</v>
      </c>
      <c r="CK56" s="228">
        <v>86</v>
      </c>
      <c r="CL56" s="228">
        <v>74</v>
      </c>
      <c r="CM56" s="228">
        <v>12</v>
      </c>
      <c r="CN56" s="229">
        <v>0.16789999999999999</v>
      </c>
      <c r="CO56" s="230">
        <v>4274</v>
      </c>
      <c r="CP56" s="230">
        <v>4881</v>
      </c>
      <c r="CQ56" s="228">
        <v>-607</v>
      </c>
      <c r="CR56" s="229">
        <v>-0.12429999999999999</v>
      </c>
      <c r="CS56" s="230">
        <v>1791</v>
      </c>
      <c r="CT56" s="230">
        <v>1962</v>
      </c>
      <c r="CU56" s="228">
        <v>-171</v>
      </c>
      <c r="CV56" s="229">
        <v>-8.7300000000000003E-2</v>
      </c>
      <c r="CW56" s="230">
        <v>9139</v>
      </c>
      <c r="CX56" s="230">
        <v>9865</v>
      </c>
      <c r="CY56" s="228">
        <v>-725</v>
      </c>
      <c r="CZ56" s="229">
        <v>-7.3499999999999996E-2</v>
      </c>
      <c r="DA56" s="228">
        <v>31.83</v>
      </c>
      <c r="DB56" s="228">
        <v>31.77</v>
      </c>
      <c r="DC56" s="228">
        <v>0.06</v>
      </c>
      <c r="DD56" s="228">
        <v>0.06</v>
      </c>
      <c r="DE56" s="228">
        <v>44.96</v>
      </c>
      <c r="DF56" s="228">
        <v>45.07</v>
      </c>
      <c r="DG56" s="228">
        <v>-13.13</v>
      </c>
      <c r="DH56" s="228">
        <v>-0.11</v>
      </c>
      <c r="DI56" s="228">
        <v>32.01</v>
      </c>
      <c r="DJ56" s="228">
        <v>31.96</v>
      </c>
      <c r="DK56" s="228">
        <v>0.05</v>
      </c>
      <c r="DL56" s="228">
        <v>0.05</v>
      </c>
      <c r="DM56" s="228">
        <v>31.38</v>
      </c>
      <c r="DN56" s="228">
        <v>31.34</v>
      </c>
      <c r="DO56" s="228">
        <v>0.04</v>
      </c>
      <c r="DP56" s="228">
        <v>0.04</v>
      </c>
      <c r="DQ56" s="228">
        <v>0.42</v>
      </c>
      <c r="DR56" s="228">
        <v>0.4</v>
      </c>
      <c r="DS56" s="228">
        <v>0.02</v>
      </c>
      <c r="DT56" s="229">
        <v>0.05</v>
      </c>
      <c r="DU56" s="231">
        <v>17000</v>
      </c>
      <c r="DV56" s="231">
        <v>15000</v>
      </c>
      <c r="DW56" s="228">
        <v>0.47</v>
      </c>
      <c r="DX56" s="228">
        <v>0.64</v>
      </c>
      <c r="DY56" s="228">
        <v>-0.17</v>
      </c>
      <c r="DZ56" s="229">
        <v>-0.2656</v>
      </c>
      <c r="EA56" s="229">
        <v>0.77249999999999996</v>
      </c>
      <c r="EB56" s="230">
        <v>1181200</v>
      </c>
      <c r="EC56" s="229">
        <v>5.4999999999999997E-3</v>
      </c>
      <c r="ED56" s="229">
        <v>0.77249999999999996</v>
      </c>
      <c r="EE56" s="228">
        <v>82.98</v>
      </c>
      <c r="EF56" s="229">
        <v>5.3E-3</v>
      </c>
      <c r="EG56" s="230">
        <v>165407</v>
      </c>
      <c r="EH56" s="230">
        <v>256326</v>
      </c>
      <c r="EI56" s="229">
        <v>-0.35470000000000002</v>
      </c>
      <c r="EJ56" s="229">
        <v>0.53249999999999997</v>
      </c>
      <c r="EK56" s="231">
        <v>10860.77</v>
      </c>
      <c r="EL56" s="231">
        <v>4640.74</v>
      </c>
      <c r="EM56" s="231">
        <v>1677.12</v>
      </c>
      <c r="EN56" s="228">
        <v>216.76</v>
      </c>
      <c r="EO56" s="231">
        <v>17178.63</v>
      </c>
      <c r="EP56" s="231">
        <v>21701.54</v>
      </c>
      <c r="EQ56" s="231">
        <v>-4522.91</v>
      </c>
      <c r="ER56" s="229">
        <v>-0.2084</v>
      </c>
      <c r="ES56" s="231">
        <v>4706.8900000000003</v>
      </c>
      <c r="ET56" s="231">
        <v>1793.71</v>
      </c>
      <c r="EU56" s="231">
        <v>3088.35</v>
      </c>
      <c r="EV56" s="231">
        <v>6445442</v>
      </c>
      <c r="EW56" s="231">
        <v>9588.9500000000007</v>
      </c>
      <c r="EX56" s="231">
        <v>10386.57</v>
      </c>
      <c r="EY56" s="228">
        <v>-797.62</v>
      </c>
      <c r="EZ56" s="229">
        <v>-7.6799999999999993E-2</v>
      </c>
      <c r="FA56" s="229">
        <v>0.91310000000000002</v>
      </c>
      <c r="FB56" s="227" t="s">
        <v>555</v>
      </c>
      <c r="FC56">
        <f t="shared" si="0"/>
        <v>2375</v>
      </c>
    </row>
    <row r="57" spans="1:159" ht="17.25" thickBot="1" x14ac:dyDescent="0.3">
      <c r="A57" s="226">
        <v>45957</v>
      </c>
      <c r="B57" s="227" t="s">
        <v>206</v>
      </c>
      <c r="C57" s="227" t="s">
        <v>207</v>
      </c>
      <c r="D57" s="228">
        <v>825</v>
      </c>
      <c r="E57" s="228">
        <v>1</v>
      </c>
      <c r="F57" s="228">
        <v>778.95</v>
      </c>
      <c r="G57" s="228">
        <v>773.4</v>
      </c>
      <c r="H57" s="228">
        <v>5.55</v>
      </c>
      <c r="I57" s="229">
        <v>7.1999999999999998E-3</v>
      </c>
      <c r="J57" s="228">
        <v>779.5</v>
      </c>
      <c r="K57" s="228">
        <v>772.45</v>
      </c>
      <c r="L57" s="228">
        <v>7.05</v>
      </c>
      <c r="M57" s="229">
        <v>9.1000000000000004E-3</v>
      </c>
      <c r="N57" s="228">
        <v>778.95</v>
      </c>
      <c r="O57" s="228">
        <v>773.4</v>
      </c>
      <c r="P57" s="228">
        <v>5.55</v>
      </c>
      <c r="Q57" s="229">
        <v>7.1999999999999998E-3</v>
      </c>
      <c r="R57" s="228">
        <v>783.25</v>
      </c>
      <c r="S57" s="228">
        <v>777.65</v>
      </c>
      <c r="T57" s="228">
        <v>5.6</v>
      </c>
      <c r="U57" s="229">
        <v>7.1999999999999998E-3</v>
      </c>
      <c r="V57" s="228">
        <v>788.7</v>
      </c>
      <c r="W57" s="228">
        <v>783.8</v>
      </c>
      <c r="X57" s="228">
        <v>4.9000000000000004</v>
      </c>
      <c r="Y57" s="229">
        <v>6.3E-3</v>
      </c>
      <c r="Z57" s="228">
        <v>-0.55000000000000004</v>
      </c>
      <c r="AA57" s="228">
        <v>0.95</v>
      </c>
      <c r="AB57" s="228">
        <v>-1.5</v>
      </c>
      <c r="AC57" s="229">
        <v>-6.9999999999999999E-4</v>
      </c>
      <c r="AD57" s="228">
        <v>-0.55000000000000004</v>
      </c>
      <c r="AE57" s="228">
        <v>0.95</v>
      </c>
      <c r="AF57" s="228">
        <v>-1.5</v>
      </c>
      <c r="AG57" s="229">
        <v>-6.9999999999999999E-4</v>
      </c>
      <c r="AH57" s="228">
        <v>3.75</v>
      </c>
      <c r="AI57" s="228">
        <v>5.2</v>
      </c>
      <c r="AJ57" s="228">
        <v>-1.45</v>
      </c>
      <c r="AK57" s="229">
        <v>4.7999999999999996E-3</v>
      </c>
      <c r="AL57" s="228">
        <v>9.1999999999999993</v>
      </c>
      <c r="AM57" s="228">
        <v>11.35</v>
      </c>
      <c r="AN57" s="228">
        <v>-2.15</v>
      </c>
      <c r="AO57" s="229">
        <v>1.18E-2</v>
      </c>
      <c r="AP57" s="228">
        <v>780.89</v>
      </c>
      <c r="AQ57" s="228">
        <v>785.18</v>
      </c>
      <c r="AR57" s="228">
        <v>0</v>
      </c>
      <c r="AS57" s="230">
        <v>2052</v>
      </c>
      <c r="AT57" s="230">
        <v>1888</v>
      </c>
      <c r="AU57" s="228">
        <v>164</v>
      </c>
      <c r="AV57" s="229">
        <v>8.6599999999999996E-2</v>
      </c>
      <c r="AW57" s="230">
        <v>1010</v>
      </c>
      <c r="AX57" s="228">
        <v>992</v>
      </c>
      <c r="AY57" s="228">
        <v>18</v>
      </c>
      <c r="AZ57" s="229">
        <v>1.83E-2</v>
      </c>
      <c r="BA57" s="230">
        <v>1027</v>
      </c>
      <c r="BB57" s="228">
        <v>890</v>
      </c>
      <c r="BC57" s="228">
        <v>137</v>
      </c>
      <c r="BD57" s="229">
        <v>0.15359999999999999</v>
      </c>
      <c r="BE57" s="228">
        <v>15</v>
      </c>
      <c r="BF57" s="228">
        <v>6</v>
      </c>
      <c r="BG57" s="228">
        <v>9</v>
      </c>
      <c r="BH57" s="229">
        <v>1.4674</v>
      </c>
      <c r="BI57" s="230">
        <v>2095</v>
      </c>
      <c r="BJ57" s="230">
        <v>1123</v>
      </c>
      <c r="BK57" s="228">
        <v>972</v>
      </c>
      <c r="BL57" s="229">
        <v>0.8659</v>
      </c>
      <c r="BM57" s="230">
        <v>1324</v>
      </c>
      <c r="BN57" s="228">
        <v>704</v>
      </c>
      <c r="BO57" s="228">
        <v>619</v>
      </c>
      <c r="BP57" s="229">
        <v>0.88</v>
      </c>
      <c r="BQ57" s="230">
        <v>5471</v>
      </c>
      <c r="BR57" s="230">
        <v>3715</v>
      </c>
      <c r="BS57" s="230">
        <v>1755</v>
      </c>
      <c r="BT57" s="229">
        <v>0.47249999999999998</v>
      </c>
      <c r="BU57" s="230">
        <v>1794058</v>
      </c>
      <c r="BV57" s="230">
        <v>1874993</v>
      </c>
      <c r="BW57" s="230">
        <v>-80935</v>
      </c>
      <c r="BX57" s="229">
        <v>-4.3200000000000002E-2</v>
      </c>
      <c r="BY57" s="230">
        <v>2804</v>
      </c>
      <c r="BZ57" s="230">
        <v>2763</v>
      </c>
      <c r="CA57" s="228">
        <v>41</v>
      </c>
      <c r="CB57" s="229">
        <v>1.4800000000000001E-2</v>
      </c>
      <c r="CC57" s="228">
        <v>582</v>
      </c>
      <c r="CD57" s="230">
        <v>1303</v>
      </c>
      <c r="CE57" s="228">
        <v>-721</v>
      </c>
      <c r="CF57" s="229">
        <v>-0.55330000000000001</v>
      </c>
      <c r="CG57" s="230">
        <v>2200</v>
      </c>
      <c r="CH57" s="230">
        <v>1448</v>
      </c>
      <c r="CI57" s="228">
        <v>753</v>
      </c>
      <c r="CJ57" s="229">
        <v>0.51990000000000003</v>
      </c>
      <c r="CK57" s="228">
        <v>22</v>
      </c>
      <c r="CL57" s="228">
        <v>12</v>
      </c>
      <c r="CM57" s="228">
        <v>9</v>
      </c>
      <c r="CN57" s="229">
        <v>0.73199999999999998</v>
      </c>
      <c r="CO57" s="228">
        <v>980</v>
      </c>
      <c r="CP57" s="228">
        <v>979</v>
      </c>
      <c r="CQ57" s="228">
        <v>1</v>
      </c>
      <c r="CR57" s="229">
        <v>1.2999999999999999E-3</v>
      </c>
      <c r="CS57" s="228">
        <v>809</v>
      </c>
      <c r="CT57" s="228">
        <v>830</v>
      </c>
      <c r="CU57" s="228">
        <v>-21</v>
      </c>
      <c r="CV57" s="229">
        <v>-2.5700000000000001E-2</v>
      </c>
      <c r="CW57" s="230">
        <v>4593</v>
      </c>
      <c r="CX57" s="230">
        <v>4572</v>
      </c>
      <c r="CY57" s="228">
        <v>21</v>
      </c>
      <c r="CZ57" s="229">
        <v>4.5999999999999999E-3</v>
      </c>
      <c r="DA57" s="228">
        <v>27.79</v>
      </c>
      <c r="DB57" s="228">
        <v>27.5</v>
      </c>
      <c r="DC57" s="228">
        <v>0.28999999999999998</v>
      </c>
      <c r="DD57" s="228">
        <v>0.28999999999999998</v>
      </c>
      <c r="DE57" s="228">
        <v>36.479999999999997</v>
      </c>
      <c r="DF57" s="228">
        <v>36.549999999999997</v>
      </c>
      <c r="DG57" s="228">
        <v>-8.69</v>
      </c>
      <c r="DH57" s="228">
        <v>-7.0000000000000007E-2</v>
      </c>
      <c r="DI57" s="228">
        <v>27.77</v>
      </c>
      <c r="DJ57" s="228">
        <v>27.6</v>
      </c>
      <c r="DK57" s="228">
        <v>0.17</v>
      </c>
      <c r="DL57" s="228">
        <v>0.17</v>
      </c>
      <c r="DM57" s="228">
        <v>27.82</v>
      </c>
      <c r="DN57" s="228">
        <v>27.4</v>
      </c>
      <c r="DO57" s="228">
        <v>0.42</v>
      </c>
      <c r="DP57" s="228">
        <v>0.42</v>
      </c>
      <c r="DQ57" s="228">
        <v>0.83</v>
      </c>
      <c r="DR57" s="228">
        <v>0.85</v>
      </c>
      <c r="DS57" s="228">
        <v>-0.02</v>
      </c>
      <c r="DT57" s="229">
        <v>-2.35E-2</v>
      </c>
      <c r="DU57" s="228">
        <v>800</v>
      </c>
      <c r="DV57" s="228">
        <v>720</v>
      </c>
      <c r="DW57" s="228">
        <v>0.63</v>
      </c>
      <c r="DX57" s="228">
        <v>0.63</v>
      </c>
      <c r="DY57" s="228">
        <v>0</v>
      </c>
      <c r="DZ57" s="229">
        <v>0</v>
      </c>
      <c r="EA57" s="229">
        <v>0.79239999999999999</v>
      </c>
      <c r="EB57" s="230">
        <v>18744825</v>
      </c>
      <c r="EC57" s="229">
        <v>5.4999999999999997E-3</v>
      </c>
      <c r="ED57" s="229">
        <v>0.79239999999999999</v>
      </c>
      <c r="EE57" s="228">
        <v>4.29</v>
      </c>
      <c r="EF57" s="229">
        <v>5.4999999999999997E-3</v>
      </c>
      <c r="EG57" s="230">
        <v>868870</v>
      </c>
      <c r="EH57" s="230">
        <v>982067</v>
      </c>
      <c r="EI57" s="229">
        <v>-0.1153</v>
      </c>
      <c r="EJ57" s="229">
        <v>0.48430000000000001</v>
      </c>
      <c r="EK57" s="231">
        <v>2154.7199999999998</v>
      </c>
      <c r="EL57" s="231">
        <v>1318.81</v>
      </c>
      <c r="EM57" s="231">
        <v>2062.8000000000002</v>
      </c>
      <c r="EN57" s="228">
        <v>143.99</v>
      </c>
      <c r="EO57" s="231">
        <v>5536.33</v>
      </c>
      <c r="EP57" s="231">
        <v>3722.23</v>
      </c>
      <c r="EQ57" s="231">
        <v>1814.1</v>
      </c>
      <c r="ER57" s="229">
        <v>0.4874</v>
      </c>
      <c r="ES57" s="228">
        <v>991.13</v>
      </c>
      <c r="ET57" s="228">
        <v>778.23</v>
      </c>
      <c r="EU57" s="231">
        <v>2816.29</v>
      </c>
      <c r="EV57" s="231">
        <v>83667734</v>
      </c>
      <c r="EW57" s="231">
        <v>4585.6499999999996</v>
      </c>
      <c r="EX57" s="231">
        <v>4526.0600000000004</v>
      </c>
      <c r="EY57" s="228">
        <v>59.59</v>
      </c>
      <c r="EZ57" s="229">
        <v>1.32E-2</v>
      </c>
      <c r="FA57" s="229">
        <v>0.70479999999999998</v>
      </c>
      <c r="FB57" s="227" t="s">
        <v>555</v>
      </c>
      <c r="FC57">
        <f t="shared" si="0"/>
        <v>2222</v>
      </c>
    </row>
    <row r="58" spans="1:159" ht="17.25" thickBot="1" x14ac:dyDescent="0.3">
      <c r="A58" s="226">
        <v>45957</v>
      </c>
      <c r="B58" s="227" t="s">
        <v>615</v>
      </c>
      <c r="C58" s="227" t="s">
        <v>583</v>
      </c>
      <c r="D58" s="228">
        <v>150</v>
      </c>
      <c r="E58" s="228">
        <v>1</v>
      </c>
      <c r="F58" s="231">
        <v>4269</v>
      </c>
      <c r="G58" s="231">
        <v>4226.7</v>
      </c>
      <c r="H58" s="228">
        <v>42.3</v>
      </c>
      <c r="I58" s="229">
        <v>0.01</v>
      </c>
      <c r="J58" s="231">
        <v>4257.8999999999996</v>
      </c>
      <c r="K58" s="231">
        <v>4213.8999999999996</v>
      </c>
      <c r="L58" s="228">
        <v>44</v>
      </c>
      <c r="M58" s="229">
        <v>1.04E-2</v>
      </c>
      <c r="N58" s="231">
        <v>4269</v>
      </c>
      <c r="O58" s="231">
        <v>4226.7</v>
      </c>
      <c r="P58" s="228">
        <v>42.3</v>
      </c>
      <c r="Q58" s="229">
        <v>0.01</v>
      </c>
      <c r="R58" s="231">
        <v>4237.1000000000004</v>
      </c>
      <c r="S58" s="231">
        <v>4170.6000000000004</v>
      </c>
      <c r="T58" s="228">
        <v>66.5</v>
      </c>
      <c r="U58" s="229">
        <v>1.5900000000000001E-2</v>
      </c>
      <c r="V58" s="231">
        <v>4214.8</v>
      </c>
      <c r="W58" s="231">
        <v>4147.2</v>
      </c>
      <c r="X58" s="228">
        <v>67.599999999999994</v>
      </c>
      <c r="Y58" s="229">
        <v>1.6299999999999999E-2</v>
      </c>
      <c r="Z58" s="228">
        <v>11.1</v>
      </c>
      <c r="AA58" s="228">
        <v>12.8</v>
      </c>
      <c r="AB58" s="228">
        <v>-1.7</v>
      </c>
      <c r="AC58" s="229">
        <v>2.5999999999999999E-3</v>
      </c>
      <c r="AD58" s="228">
        <v>11.1</v>
      </c>
      <c r="AE58" s="228">
        <v>12.8</v>
      </c>
      <c r="AF58" s="228">
        <v>-1.7</v>
      </c>
      <c r="AG58" s="229">
        <v>2.5999999999999999E-3</v>
      </c>
      <c r="AH58" s="228">
        <v>-20.8</v>
      </c>
      <c r="AI58" s="228">
        <v>-43.3</v>
      </c>
      <c r="AJ58" s="228">
        <v>22.5</v>
      </c>
      <c r="AK58" s="229">
        <v>-4.8999999999999998E-3</v>
      </c>
      <c r="AL58" s="228">
        <v>-43.1</v>
      </c>
      <c r="AM58" s="228">
        <v>-66.7</v>
      </c>
      <c r="AN58" s="228">
        <v>23.6</v>
      </c>
      <c r="AO58" s="229">
        <v>-1.01E-2</v>
      </c>
      <c r="AP58" s="231">
        <v>4256.3100000000004</v>
      </c>
      <c r="AQ58" s="231">
        <v>4208</v>
      </c>
      <c r="AR58" s="228">
        <v>0</v>
      </c>
      <c r="AS58" s="230">
        <v>2103</v>
      </c>
      <c r="AT58" s="230">
        <v>2377</v>
      </c>
      <c r="AU58" s="228">
        <v>-274</v>
      </c>
      <c r="AV58" s="229">
        <v>-0.1152</v>
      </c>
      <c r="AW58" s="230">
        <v>1029</v>
      </c>
      <c r="AX58" s="230">
        <v>1181</v>
      </c>
      <c r="AY58" s="228">
        <v>-152</v>
      </c>
      <c r="AZ58" s="229">
        <v>-0.1283</v>
      </c>
      <c r="BA58" s="230">
        <v>1063</v>
      </c>
      <c r="BB58" s="230">
        <v>1183</v>
      </c>
      <c r="BC58" s="228">
        <v>-120</v>
      </c>
      <c r="BD58" s="229">
        <v>-0.1012</v>
      </c>
      <c r="BE58" s="228">
        <v>11</v>
      </c>
      <c r="BF58" s="228">
        <v>13</v>
      </c>
      <c r="BG58" s="228">
        <v>-3</v>
      </c>
      <c r="BH58" s="229">
        <v>-0.19320000000000001</v>
      </c>
      <c r="BI58" s="230">
        <v>1747</v>
      </c>
      <c r="BJ58" s="230">
        <v>1843</v>
      </c>
      <c r="BK58" s="228">
        <v>-96</v>
      </c>
      <c r="BL58" s="229">
        <v>-5.1999999999999998E-2</v>
      </c>
      <c r="BM58" s="228">
        <v>621</v>
      </c>
      <c r="BN58" s="228">
        <v>556</v>
      </c>
      <c r="BO58" s="228">
        <v>66</v>
      </c>
      <c r="BP58" s="229">
        <v>0.11840000000000001</v>
      </c>
      <c r="BQ58" s="230">
        <v>4471</v>
      </c>
      <c r="BR58" s="230">
        <v>4775</v>
      </c>
      <c r="BS58" s="228">
        <v>-304</v>
      </c>
      <c r="BT58" s="229">
        <v>-6.3600000000000004E-2</v>
      </c>
      <c r="BU58" s="230">
        <v>295998</v>
      </c>
      <c r="BV58" s="230">
        <v>255282</v>
      </c>
      <c r="BW58" s="230">
        <v>40716</v>
      </c>
      <c r="BX58" s="229">
        <v>0.1595</v>
      </c>
      <c r="BY58" s="230">
        <v>2854</v>
      </c>
      <c r="BZ58" s="230">
        <v>2920</v>
      </c>
      <c r="CA58" s="228">
        <v>-66</v>
      </c>
      <c r="CB58" s="229">
        <v>-2.2599999999999999E-2</v>
      </c>
      <c r="CC58" s="228">
        <v>367</v>
      </c>
      <c r="CD58" s="230">
        <v>1034</v>
      </c>
      <c r="CE58" s="228">
        <v>-667</v>
      </c>
      <c r="CF58" s="229">
        <v>-0.64510000000000001</v>
      </c>
      <c r="CG58" s="230">
        <v>2455</v>
      </c>
      <c r="CH58" s="230">
        <v>1853</v>
      </c>
      <c r="CI58" s="228">
        <v>602</v>
      </c>
      <c r="CJ58" s="229">
        <v>0.32500000000000001</v>
      </c>
      <c r="CK58" s="228">
        <v>32</v>
      </c>
      <c r="CL58" s="228">
        <v>33</v>
      </c>
      <c r="CM58" s="228">
        <v>-1</v>
      </c>
      <c r="CN58" s="229">
        <v>-2.5100000000000001E-2</v>
      </c>
      <c r="CO58" s="230">
        <v>1164</v>
      </c>
      <c r="CP58" s="230">
        <v>1407</v>
      </c>
      <c r="CQ58" s="228">
        <v>-243</v>
      </c>
      <c r="CR58" s="229">
        <v>-0.17280000000000001</v>
      </c>
      <c r="CS58" s="228">
        <v>471</v>
      </c>
      <c r="CT58" s="228">
        <v>526</v>
      </c>
      <c r="CU58" s="228">
        <v>-55</v>
      </c>
      <c r="CV58" s="229">
        <v>-0.1045</v>
      </c>
      <c r="CW58" s="230">
        <v>4489</v>
      </c>
      <c r="CX58" s="230">
        <v>4852</v>
      </c>
      <c r="CY58" s="228">
        <v>-364</v>
      </c>
      <c r="CZ58" s="229">
        <v>-7.4999999999999997E-2</v>
      </c>
      <c r="DA58" s="228">
        <v>24.19</v>
      </c>
      <c r="DB58" s="228">
        <v>25.1</v>
      </c>
      <c r="DC58" s="228">
        <v>-0.91</v>
      </c>
      <c r="DD58" s="228">
        <v>-0.91</v>
      </c>
      <c r="DE58" s="228">
        <v>32.44</v>
      </c>
      <c r="DF58" s="228">
        <v>32.49</v>
      </c>
      <c r="DG58" s="228">
        <v>-8.25</v>
      </c>
      <c r="DH58" s="228">
        <v>-0.05</v>
      </c>
      <c r="DI58" s="228">
        <v>24.49</v>
      </c>
      <c r="DJ58" s="228">
        <v>25.42</v>
      </c>
      <c r="DK58" s="228">
        <v>-0.93</v>
      </c>
      <c r="DL58" s="228">
        <v>-0.93</v>
      </c>
      <c r="DM58" s="228">
        <v>23.49</v>
      </c>
      <c r="DN58" s="228">
        <v>24.34</v>
      </c>
      <c r="DO58" s="228">
        <v>-0.85</v>
      </c>
      <c r="DP58" s="228">
        <v>-0.85</v>
      </c>
      <c r="DQ58" s="228">
        <v>0.4</v>
      </c>
      <c r="DR58" s="228">
        <v>0.37</v>
      </c>
      <c r="DS58" s="228">
        <v>0.03</v>
      </c>
      <c r="DT58" s="229">
        <v>8.1100000000000005E-2</v>
      </c>
      <c r="DU58" s="231">
        <v>4400</v>
      </c>
      <c r="DV58" s="231">
        <v>4200</v>
      </c>
      <c r="DW58" s="228">
        <v>0.36</v>
      </c>
      <c r="DX58" s="228">
        <v>0.3</v>
      </c>
      <c r="DY58" s="228">
        <v>0.06</v>
      </c>
      <c r="DZ58" s="229">
        <v>0.2</v>
      </c>
      <c r="EA58" s="229">
        <v>0.87139999999999995</v>
      </c>
      <c r="EB58" s="230">
        <v>4417650</v>
      </c>
      <c r="EC58" s="229">
        <v>-7.4999999999999997E-3</v>
      </c>
      <c r="ED58" s="229">
        <v>0.87139999999999995</v>
      </c>
      <c r="EE58" s="228">
        <v>-48.31</v>
      </c>
      <c r="EF58" s="229">
        <v>-1.14E-2</v>
      </c>
      <c r="EG58" s="230">
        <v>170154</v>
      </c>
      <c r="EH58" s="230">
        <v>141502</v>
      </c>
      <c r="EI58" s="229">
        <v>0.20250000000000001</v>
      </c>
      <c r="EJ58" s="229">
        <v>0.57479999999999998</v>
      </c>
      <c r="EK58" s="231">
        <v>1823.85</v>
      </c>
      <c r="EL58" s="228">
        <v>614.36</v>
      </c>
      <c r="EM58" s="231">
        <v>2084.7199999999998</v>
      </c>
      <c r="EN58" s="228">
        <v>191.03</v>
      </c>
      <c r="EO58" s="231">
        <v>4522.92</v>
      </c>
      <c r="EP58" s="231">
        <v>4812.18</v>
      </c>
      <c r="EQ58" s="228">
        <v>-289.27</v>
      </c>
      <c r="ER58" s="229">
        <v>-6.0100000000000001E-2</v>
      </c>
      <c r="ES58" s="231">
        <v>1234.55</v>
      </c>
      <c r="ET58" s="228">
        <v>459.34</v>
      </c>
      <c r="EU58" s="231">
        <v>2835.41</v>
      </c>
      <c r="EV58" s="231">
        <v>22136392</v>
      </c>
      <c r="EW58" s="231">
        <v>4529.3100000000004</v>
      </c>
      <c r="EX58" s="231">
        <v>4870.6499999999996</v>
      </c>
      <c r="EY58" s="228">
        <v>-341.34</v>
      </c>
      <c r="EZ58" s="229">
        <v>-7.0099999999999996E-2</v>
      </c>
      <c r="FA58" s="229">
        <v>0.47499999999999998</v>
      </c>
      <c r="FB58" s="227" t="s">
        <v>556</v>
      </c>
      <c r="FC58">
        <f t="shared" si="0"/>
        <v>2487</v>
      </c>
    </row>
    <row r="59" spans="1:159" ht="17.25" thickBot="1" x14ac:dyDescent="0.3">
      <c r="A59" s="226">
        <v>45957</v>
      </c>
      <c r="B59" s="227" t="s">
        <v>170</v>
      </c>
      <c r="C59" s="227" t="s">
        <v>208</v>
      </c>
      <c r="D59" s="228">
        <v>625</v>
      </c>
      <c r="E59" s="228">
        <v>1</v>
      </c>
      <c r="F59" s="231">
        <v>1286.7</v>
      </c>
      <c r="G59" s="231">
        <v>1282.5</v>
      </c>
      <c r="H59" s="228">
        <v>4.2</v>
      </c>
      <c r="I59" s="229">
        <v>3.3E-3</v>
      </c>
      <c r="J59" s="231">
        <v>1284.3</v>
      </c>
      <c r="K59" s="231">
        <v>1283.5999999999999</v>
      </c>
      <c r="L59" s="228">
        <v>0.7</v>
      </c>
      <c r="M59" s="229">
        <v>5.0000000000000001E-4</v>
      </c>
      <c r="N59" s="231">
        <v>1286.7</v>
      </c>
      <c r="O59" s="231">
        <v>1282.5</v>
      </c>
      <c r="P59" s="228">
        <v>4.2</v>
      </c>
      <c r="Q59" s="229">
        <v>3.3E-3</v>
      </c>
      <c r="R59" s="231">
        <v>1291.5999999999999</v>
      </c>
      <c r="S59" s="231">
        <v>1287.5</v>
      </c>
      <c r="T59" s="228">
        <v>4.0999999999999996</v>
      </c>
      <c r="U59" s="229">
        <v>3.2000000000000002E-3</v>
      </c>
      <c r="V59" s="231">
        <v>1297</v>
      </c>
      <c r="W59" s="231">
        <v>1290.9000000000001</v>
      </c>
      <c r="X59" s="228">
        <v>6.1</v>
      </c>
      <c r="Y59" s="229">
        <v>4.7000000000000002E-3</v>
      </c>
      <c r="Z59" s="228">
        <v>2.4</v>
      </c>
      <c r="AA59" s="228">
        <v>-1.1000000000000001</v>
      </c>
      <c r="AB59" s="228">
        <v>3.5</v>
      </c>
      <c r="AC59" s="229">
        <v>1.9E-3</v>
      </c>
      <c r="AD59" s="228">
        <v>2.4</v>
      </c>
      <c r="AE59" s="228">
        <v>-1.1000000000000001</v>
      </c>
      <c r="AF59" s="228">
        <v>3.5</v>
      </c>
      <c r="AG59" s="229">
        <v>1.9E-3</v>
      </c>
      <c r="AH59" s="228">
        <v>7.3</v>
      </c>
      <c r="AI59" s="228">
        <v>3.9</v>
      </c>
      <c r="AJ59" s="228">
        <v>3.4</v>
      </c>
      <c r="AK59" s="229">
        <v>5.7000000000000002E-3</v>
      </c>
      <c r="AL59" s="228">
        <v>12.7</v>
      </c>
      <c r="AM59" s="228">
        <v>7.3</v>
      </c>
      <c r="AN59" s="228">
        <v>5.4</v>
      </c>
      <c r="AO59" s="229">
        <v>9.9000000000000008E-3</v>
      </c>
      <c r="AP59" s="231">
        <v>1286.94</v>
      </c>
      <c r="AQ59" s="231">
        <v>1290.6400000000001</v>
      </c>
      <c r="AR59" s="228">
        <v>0</v>
      </c>
      <c r="AS59" s="230">
        <v>1593</v>
      </c>
      <c r="AT59" s="230">
        <v>1318</v>
      </c>
      <c r="AU59" s="228">
        <v>274</v>
      </c>
      <c r="AV59" s="229">
        <v>0.2079</v>
      </c>
      <c r="AW59" s="228">
        <v>724</v>
      </c>
      <c r="AX59" s="228">
        <v>681</v>
      </c>
      <c r="AY59" s="228">
        <v>43</v>
      </c>
      <c r="AZ59" s="229">
        <v>6.3100000000000003E-2</v>
      </c>
      <c r="BA59" s="228">
        <v>863</v>
      </c>
      <c r="BB59" s="228">
        <v>635</v>
      </c>
      <c r="BC59" s="228">
        <v>228</v>
      </c>
      <c r="BD59" s="229">
        <v>0.35870000000000002</v>
      </c>
      <c r="BE59" s="228">
        <v>6</v>
      </c>
      <c r="BF59" s="228">
        <v>3</v>
      </c>
      <c r="BG59" s="228">
        <v>3</v>
      </c>
      <c r="BH59" s="229">
        <v>1.2423999999999999</v>
      </c>
      <c r="BI59" s="230">
        <v>3073</v>
      </c>
      <c r="BJ59" s="230">
        <v>2052</v>
      </c>
      <c r="BK59" s="230">
        <v>1021</v>
      </c>
      <c r="BL59" s="229">
        <v>0.49780000000000002</v>
      </c>
      <c r="BM59" s="230">
        <v>1803</v>
      </c>
      <c r="BN59" s="230">
        <v>1087</v>
      </c>
      <c r="BO59" s="228">
        <v>716</v>
      </c>
      <c r="BP59" s="229">
        <v>0.65839999999999999</v>
      </c>
      <c r="BQ59" s="230">
        <v>6469</v>
      </c>
      <c r="BR59" s="230">
        <v>4458</v>
      </c>
      <c r="BS59" s="230">
        <v>2012</v>
      </c>
      <c r="BT59" s="229">
        <v>0.45119999999999999</v>
      </c>
      <c r="BU59" s="230">
        <v>2050621</v>
      </c>
      <c r="BV59" s="230">
        <v>1215787</v>
      </c>
      <c r="BW59" s="230">
        <v>834834</v>
      </c>
      <c r="BX59" s="229">
        <v>0.68669999999999998</v>
      </c>
      <c r="BY59" s="230">
        <v>1792</v>
      </c>
      <c r="BZ59" s="230">
        <v>1783</v>
      </c>
      <c r="CA59" s="228">
        <v>9</v>
      </c>
      <c r="CB59" s="229">
        <v>5.3E-3</v>
      </c>
      <c r="CC59" s="228">
        <v>328</v>
      </c>
      <c r="CD59" s="228">
        <v>758</v>
      </c>
      <c r="CE59" s="228">
        <v>-430</v>
      </c>
      <c r="CF59" s="229">
        <v>-0.56689999999999996</v>
      </c>
      <c r="CG59" s="230">
        <v>1455</v>
      </c>
      <c r="CH59" s="230">
        <v>1017</v>
      </c>
      <c r="CI59" s="228">
        <v>438</v>
      </c>
      <c r="CJ59" s="229">
        <v>0.43059999999999998</v>
      </c>
      <c r="CK59" s="228">
        <v>8</v>
      </c>
      <c r="CL59" s="228">
        <v>7</v>
      </c>
      <c r="CM59" s="228">
        <v>1</v>
      </c>
      <c r="CN59" s="229">
        <v>0.15379999999999999</v>
      </c>
      <c r="CO59" s="230">
        <v>1124</v>
      </c>
      <c r="CP59" s="230">
        <v>1179</v>
      </c>
      <c r="CQ59" s="228">
        <v>-55</v>
      </c>
      <c r="CR59" s="229">
        <v>-4.6899999999999997E-2</v>
      </c>
      <c r="CS59" s="228">
        <v>653</v>
      </c>
      <c r="CT59" s="228">
        <v>685</v>
      </c>
      <c r="CU59" s="228">
        <v>-32</v>
      </c>
      <c r="CV59" s="229">
        <v>-4.6399999999999997E-2</v>
      </c>
      <c r="CW59" s="230">
        <v>3569</v>
      </c>
      <c r="CX59" s="230">
        <v>3646</v>
      </c>
      <c r="CY59" s="228">
        <v>-78</v>
      </c>
      <c r="CZ59" s="229">
        <v>-2.1299999999999999E-2</v>
      </c>
      <c r="DA59" s="228">
        <v>20.91</v>
      </c>
      <c r="DB59" s="228">
        <v>24.44</v>
      </c>
      <c r="DC59" s="228">
        <v>-3.53</v>
      </c>
      <c r="DD59" s="228">
        <v>-3.53</v>
      </c>
      <c r="DE59" s="228">
        <v>24.64</v>
      </c>
      <c r="DF59" s="228">
        <v>24.71</v>
      </c>
      <c r="DG59" s="228">
        <v>-3.73</v>
      </c>
      <c r="DH59" s="228">
        <v>-7.0000000000000007E-2</v>
      </c>
      <c r="DI59" s="228">
        <v>20.95</v>
      </c>
      <c r="DJ59" s="228">
        <v>24.49</v>
      </c>
      <c r="DK59" s="228">
        <v>-3.54</v>
      </c>
      <c r="DL59" s="228">
        <v>-3.54</v>
      </c>
      <c r="DM59" s="228">
        <v>20.85</v>
      </c>
      <c r="DN59" s="228">
        <v>24.34</v>
      </c>
      <c r="DO59" s="228">
        <v>-3.49</v>
      </c>
      <c r="DP59" s="228">
        <v>-3.49</v>
      </c>
      <c r="DQ59" s="228">
        <v>0.57999999999999996</v>
      </c>
      <c r="DR59" s="228">
        <v>0.57999999999999996</v>
      </c>
      <c r="DS59" s="228">
        <v>0</v>
      </c>
      <c r="DT59" s="229">
        <v>0</v>
      </c>
      <c r="DU59" s="231">
        <v>1300</v>
      </c>
      <c r="DV59" s="231">
        <v>1280</v>
      </c>
      <c r="DW59" s="228">
        <v>0.59</v>
      </c>
      <c r="DX59" s="228">
        <v>0.53</v>
      </c>
      <c r="DY59" s="228">
        <v>0.06</v>
      </c>
      <c r="DZ59" s="229">
        <v>0.1132</v>
      </c>
      <c r="EA59" s="229">
        <v>0.81679999999999997</v>
      </c>
      <c r="EB59" s="230">
        <v>7963750</v>
      </c>
      <c r="EC59" s="229">
        <v>3.8E-3</v>
      </c>
      <c r="ED59" s="229">
        <v>0.81679999999999997</v>
      </c>
      <c r="EE59" s="228">
        <v>3.7</v>
      </c>
      <c r="EF59" s="229">
        <v>2.8999999999999998E-3</v>
      </c>
      <c r="EG59" s="230">
        <v>998307</v>
      </c>
      <c r="EH59" s="230">
        <v>621499</v>
      </c>
      <c r="EI59" s="229">
        <v>0.60629999999999995</v>
      </c>
      <c r="EJ59" s="229">
        <v>0.48680000000000001</v>
      </c>
      <c r="EK59" s="231">
        <v>3147.08</v>
      </c>
      <c r="EL59" s="231">
        <v>1778.74</v>
      </c>
      <c r="EM59" s="231">
        <v>1595.35</v>
      </c>
      <c r="EN59" s="228">
        <v>101.07</v>
      </c>
      <c r="EO59" s="231">
        <v>6521.17</v>
      </c>
      <c r="EP59" s="231">
        <v>4493.03</v>
      </c>
      <c r="EQ59" s="231">
        <v>2028.14</v>
      </c>
      <c r="ER59" s="229">
        <v>0.45140000000000002</v>
      </c>
      <c r="ES59" s="231">
        <v>1149.69</v>
      </c>
      <c r="ET59" s="228">
        <v>628.12</v>
      </c>
      <c r="EU59" s="231">
        <v>1797.74</v>
      </c>
      <c r="EV59" s="231">
        <v>61006521</v>
      </c>
      <c r="EW59" s="231">
        <v>3575.55</v>
      </c>
      <c r="EX59" s="231">
        <v>3640.36</v>
      </c>
      <c r="EY59" s="228">
        <v>-64.81</v>
      </c>
      <c r="EZ59" s="229">
        <v>-1.78E-2</v>
      </c>
      <c r="FA59" s="229">
        <v>0.4546</v>
      </c>
      <c r="FB59" s="227" t="s">
        <v>555</v>
      </c>
      <c r="FC59">
        <f t="shared" si="0"/>
        <v>1464</v>
      </c>
    </row>
    <row r="60" spans="1:159" ht="17.25" thickBot="1" x14ac:dyDescent="0.3">
      <c r="A60" s="226">
        <v>45957</v>
      </c>
      <c r="B60" s="227" t="s">
        <v>162</v>
      </c>
      <c r="C60" s="227" t="s">
        <v>209</v>
      </c>
      <c r="D60" s="228">
        <v>175</v>
      </c>
      <c r="E60" s="228">
        <v>1</v>
      </c>
      <c r="F60" s="231">
        <v>6911.5</v>
      </c>
      <c r="G60" s="231">
        <v>6846.5</v>
      </c>
      <c r="H60" s="228">
        <v>65</v>
      </c>
      <c r="I60" s="229">
        <v>9.4999999999999998E-3</v>
      </c>
      <c r="J60" s="231">
        <v>6906.5</v>
      </c>
      <c r="K60" s="231">
        <v>6840</v>
      </c>
      <c r="L60" s="228">
        <v>66.5</v>
      </c>
      <c r="M60" s="229">
        <v>9.7000000000000003E-3</v>
      </c>
      <c r="N60" s="231">
        <v>6911.5</v>
      </c>
      <c r="O60" s="231">
        <v>6846.5</v>
      </c>
      <c r="P60" s="228">
        <v>65</v>
      </c>
      <c r="Q60" s="229">
        <v>9.4999999999999998E-3</v>
      </c>
      <c r="R60" s="231">
        <v>6950</v>
      </c>
      <c r="S60" s="231">
        <v>6889</v>
      </c>
      <c r="T60" s="228">
        <v>61</v>
      </c>
      <c r="U60" s="229">
        <v>8.8999999999999999E-3</v>
      </c>
      <c r="V60" s="231">
        <v>6998.5</v>
      </c>
      <c r="W60" s="231">
        <v>6932.5</v>
      </c>
      <c r="X60" s="228">
        <v>66</v>
      </c>
      <c r="Y60" s="229">
        <v>9.4999999999999998E-3</v>
      </c>
      <c r="Z60" s="228">
        <v>5</v>
      </c>
      <c r="AA60" s="228">
        <v>6.5</v>
      </c>
      <c r="AB60" s="228">
        <v>-1.5</v>
      </c>
      <c r="AC60" s="229">
        <v>6.9999999999999999E-4</v>
      </c>
      <c r="AD60" s="228">
        <v>5</v>
      </c>
      <c r="AE60" s="228">
        <v>6.5</v>
      </c>
      <c r="AF60" s="228">
        <v>-1.5</v>
      </c>
      <c r="AG60" s="229">
        <v>6.9999999999999999E-4</v>
      </c>
      <c r="AH60" s="228">
        <v>43.5</v>
      </c>
      <c r="AI60" s="228">
        <v>49</v>
      </c>
      <c r="AJ60" s="228">
        <v>-5.5</v>
      </c>
      <c r="AK60" s="229">
        <v>6.3E-3</v>
      </c>
      <c r="AL60" s="228">
        <v>92</v>
      </c>
      <c r="AM60" s="228">
        <v>92.5</v>
      </c>
      <c r="AN60" s="228">
        <v>-0.5</v>
      </c>
      <c r="AO60" s="229">
        <v>1.3299999999999999E-2</v>
      </c>
      <c r="AP60" s="231">
        <v>6888.05</v>
      </c>
      <c r="AQ60" s="231">
        <v>6928.96</v>
      </c>
      <c r="AR60" s="228">
        <v>0</v>
      </c>
      <c r="AS60" s="230">
        <v>2002</v>
      </c>
      <c r="AT60" s="230">
        <v>1601</v>
      </c>
      <c r="AU60" s="228">
        <v>400</v>
      </c>
      <c r="AV60" s="229">
        <v>0.25</v>
      </c>
      <c r="AW60" s="228">
        <v>959</v>
      </c>
      <c r="AX60" s="228">
        <v>782</v>
      </c>
      <c r="AY60" s="228">
        <v>178</v>
      </c>
      <c r="AZ60" s="229">
        <v>0.22750000000000001</v>
      </c>
      <c r="BA60" s="230">
        <v>1036</v>
      </c>
      <c r="BB60" s="228">
        <v>813</v>
      </c>
      <c r="BC60" s="228">
        <v>223</v>
      </c>
      <c r="BD60" s="229">
        <v>0.27389999999999998</v>
      </c>
      <c r="BE60" s="228">
        <v>6</v>
      </c>
      <c r="BF60" s="228">
        <v>6</v>
      </c>
      <c r="BG60" s="228">
        <v>0</v>
      </c>
      <c r="BH60" s="229">
        <v>-3.85E-2</v>
      </c>
      <c r="BI60" s="230">
        <v>1580</v>
      </c>
      <c r="BJ60" s="230">
        <v>2488</v>
      </c>
      <c r="BK60" s="228">
        <v>-907</v>
      </c>
      <c r="BL60" s="229">
        <v>-0.36480000000000001</v>
      </c>
      <c r="BM60" s="228">
        <v>711</v>
      </c>
      <c r="BN60" s="230">
        <v>1712</v>
      </c>
      <c r="BO60" s="230">
        <v>-1001</v>
      </c>
      <c r="BP60" s="229">
        <v>-0.58460000000000001</v>
      </c>
      <c r="BQ60" s="230">
        <v>4293</v>
      </c>
      <c r="BR60" s="230">
        <v>5801</v>
      </c>
      <c r="BS60" s="230">
        <v>-1508</v>
      </c>
      <c r="BT60" s="229">
        <v>-0.26</v>
      </c>
      <c r="BU60" s="230">
        <v>231646</v>
      </c>
      <c r="BV60" s="230">
        <v>302682</v>
      </c>
      <c r="BW60" s="230">
        <v>-71036</v>
      </c>
      <c r="BX60" s="229">
        <v>-0.23469999999999999</v>
      </c>
      <c r="BY60" s="230">
        <v>2545</v>
      </c>
      <c r="BZ60" s="230">
        <v>2490</v>
      </c>
      <c r="CA60" s="228">
        <v>56</v>
      </c>
      <c r="CB60" s="229">
        <v>2.23E-2</v>
      </c>
      <c r="CC60" s="228">
        <v>431</v>
      </c>
      <c r="CD60" s="230">
        <v>1210</v>
      </c>
      <c r="CE60" s="228">
        <v>-779</v>
      </c>
      <c r="CF60" s="229">
        <v>-0.64370000000000005</v>
      </c>
      <c r="CG60" s="230">
        <v>2099</v>
      </c>
      <c r="CH60" s="230">
        <v>1265</v>
      </c>
      <c r="CI60" s="228">
        <v>834</v>
      </c>
      <c r="CJ60" s="229">
        <v>0.6593</v>
      </c>
      <c r="CK60" s="228">
        <v>15</v>
      </c>
      <c r="CL60" s="228">
        <v>14</v>
      </c>
      <c r="CM60" s="228">
        <v>1</v>
      </c>
      <c r="CN60" s="229">
        <v>4.24E-2</v>
      </c>
      <c r="CO60" s="230">
        <v>1159</v>
      </c>
      <c r="CP60" s="230">
        <v>1376</v>
      </c>
      <c r="CQ60" s="228">
        <v>-217</v>
      </c>
      <c r="CR60" s="229">
        <v>-0.15759999999999999</v>
      </c>
      <c r="CS60" s="228">
        <v>911</v>
      </c>
      <c r="CT60" s="228">
        <v>955</v>
      </c>
      <c r="CU60" s="228">
        <v>-45</v>
      </c>
      <c r="CV60" s="229">
        <v>-4.6600000000000003E-2</v>
      </c>
      <c r="CW60" s="230">
        <v>4615</v>
      </c>
      <c r="CX60" s="230">
        <v>4821</v>
      </c>
      <c r="CY60" s="228">
        <v>-206</v>
      </c>
      <c r="CZ60" s="229">
        <v>-4.2700000000000002E-2</v>
      </c>
      <c r="DA60" s="228">
        <v>23.24</v>
      </c>
      <c r="DB60" s="228">
        <v>22.61</v>
      </c>
      <c r="DC60" s="228">
        <v>0.63</v>
      </c>
      <c r="DD60" s="228">
        <v>0.63</v>
      </c>
      <c r="DE60" s="228">
        <v>27.79</v>
      </c>
      <c r="DF60" s="228">
        <v>27.83</v>
      </c>
      <c r="DG60" s="228">
        <v>-4.55</v>
      </c>
      <c r="DH60" s="228">
        <v>-0.04</v>
      </c>
      <c r="DI60" s="228">
        <v>23.54</v>
      </c>
      <c r="DJ60" s="228">
        <v>22.37</v>
      </c>
      <c r="DK60" s="228">
        <v>1.17</v>
      </c>
      <c r="DL60" s="228">
        <v>1.17</v>
      </c>
      <c r="DM60" s="228">
        <v>22.64</v>
      </c>
      <c r="DN60" s="228">
        <v>22.81</v>
      </c>
      <c r="DO60" s="228">
        <v>-0.17</v>
      </c>
      <c r="DP60" s="228">
        <v>-0.17</v>
      </c>
      <c r="DQ60" s="228">
        <v>0.79</v>
      </c>
      <c r="DR60" s="228">
        <v>0.69</v>
      </c>
      <c r="DS60" s="228">
        <v>0.1</v>
      </c>
      <c r="DT60" s="229">
        <v>0.1449</v>
      </c>
      <c r="DU60" s="231">
        <v>7000</v>
      </c>
      <c r="DV60" s="231">
        <v>6200</v>
      </c>
      <c r="DW60" s="228">
        <v>0.45</v>
      </c>
      <c r="DX60" s="228">
        <v>0.69</v>
      </c>
      <c r="DY60" s="228">
        <v>-0.24</v>
      </c>
      <c r="DZ60" s="229">
        <v>-0.3478</v>
      </c>
      <c r="EA60" s="229">
        <v>0.8306</v>
      </c>
      <c r="EB60" s="230">
        <v>1851150</v>
      </c>
      <c r="EC60" s="229">
        <v>5.5999999999999999E-3</v>
      </c>
      <c r="ED60" s="229">
        <v>0.8306</v>
      </c>
      <c r="EE60" s="228">
        <v>40.909999999999997</v>
      </c>
      <c r="EF60" s="229">
        <v>5.8999999999999999E-3</v>
      </c>
      <c r="EG60" s="230">
        <v>149230</v>
      </c>
      <c r="EH60" s="230">
        <v>216406</v>
      </c>
      <c r="EI60" s="229">
        <v>-0.31040000000000001</v>
      </c>
      <c r="EJ60" s="229">
        <v>0.64419999999999999</v>
      </c>
      <c r="EK60" s="231">
        <v>1630.46</v>
      </c>
      <c r="EL60" s="228">
        <v>695.7</v>
      </c>
      <c r="EM60" s="231">
        <v>2000.91</v>
      </c>
      <c r="EN60" s="228">
        <v>67.44</v>
      </c>
      <c r="EO60" s="231">
        <v>4327.07</v>
      </c>
      <c r="EP60" s="231">
        <v>5823.27</v>
      </c>
      <c r="EQ60" s="231">
        <v>-1496.21</v>
      </c>
      <c r="ER60" s="229">
        <v>-0.25690000000000002</v>
      </c>
      <c r="ES60" s="231">
        <v>1212.8</v>
      </c>
      <c r="ET60" s="228">
        <v>867.53</v>
      </c>
      <c r="EU60" s="231">
        <v>2557.1799999999998</v>
      </c>
      <c r="EV60" s="231">
        <v>20353850</v>
      </c>
      <c r="EW60" s="231">
        <v>4637.5200000000004</v>
      </c>
      <c r="EX60" s="231">
        <v>4820.17</v>
      </c>
      <c r="EY60" s="228">
        <v>-182.65</v>
      </c>
      <c r="EZ60" s="229">
        <v>-3.7900000000000003E-2</v>
      </c>
      <c r="FA60" s="229">
        <v>0.3281</v>
      </c>
      <c r="FB60" s="227" t="s">
        <v>555</v>
      </c>
      <c r="FC60">
        <f t="shared" si="0"/>
        <v>2114</v>
      </c>
    </row>
    <row r="61" spans="1:159" ht="17.25" thickBot="1" x14ac:dyDescent="0.3">
      <c r="A61" s="226">
        <v>45957</v>
      </c>
      <c r="B61" s="227" t="s">
        <v>615</v>
      </c>
      <c r="C61" s="227" t="s">
        <v>668</v>
      </c>
      <c r="D61" s="228">
        <v>2425</v>
      </c>
      <c r="E61" s="228">
        <v>1</v>
      </c>
      <c r="F61" s="228">
        <v>334.15</v>
      </c>
      <c r="G61" s="228">
        <v>327.14999999999998</v>
      </c>
      <c r="H61" s="228">
        <v>7</v>
      </c>
      <c r="I61" s="229">
        <v>2.1399999999999999E-2</v>
      </c>
      <c r="J61" s="228">
        <v>333.7</v>
      </c>
      <c r="K61" s="228">
        <v>326.60000000000002</v>
      </c>
      <c r="L61" s="228">
        <v>7.1</v>
      </c>
      <c r="M61" s="229">
        <v>2.1700000000000001E-2</v>
      </c>
      <c r="N61" s="228">
        <v>334.15</v>
      </c>
      <c r="O61" s="228">
        <v>327.14999999999998</v>
      </c>
      <c r="P61" s="228">
        <v>7</v>
      </c>
      <c r="Q61" s="229">
        <v>2.1399999999999999E-2</v>
      </c>
      <c r="R61" s="228">
        <v>336.05</v>
      </c>
      <c r="S61" s="228">
        <v>328.95</v>
      </c>
      <c r="T61" s="228">
        <v>7.1</v>
      </c>
      <c r="U61" s="229">
        <v>2.1600000000000001E-2</v>
      </c>
      <c r="V61" s="228">
        <v>338.1</v>
      </c>
      <c r="W61" s="228">
        <v>331.15</v>
      </c>
      <c r="X61" s="228">
        <v>6.95</v>
      </c>
      <c r="Y61" s="229">
        <v>2.1000000000000001E-2</v>
      </c>
      <c r="Z61" s="228">
        <v>0.45</v>
      </c>
      <c r="AA61" s="228">
        <v>0.55000000000000004</v>
      </c>
      <c r="AB61" s="228">
        <v>-0.1</v>
      </c>
      <c r="AC61" s="229">
        <v>1.2999999999999999E-3</v>
      </c>
      <c r="AD61" s="228">
        <v>0.45</v>
      </c>
      <c r="AE61" s="228">
        <v>0.55000000000000004</v>
      </c>
      <c r="AF61" s="228">
        <v>-0.1</v>
      </c>
      <c r="AG61" s="229">
        <v>1.2999999999999999E-3</v>
      </c>
      <c r="AH61" s="228">
        <v>2.35</v>
      </c>
      <c r="AI61" s="228">
        <v>2.35</v>
      </c>
      <c r="AJ61" s="228">
        <v>0</v>
      </c>
      <c r="AK61" s="229">
        <v>7.0000000000000001E-3</v>
      </c>
      <c r="AL61" s="228">
        <v>4.4000000000000004</v>
      </c>
      <c r="AM61" s="228">
        <v>4.55</v>
      </c>
      <c r="AN61" s="228">
        <v>-0.15</v>
      </c>
      <c r="AO61" s="229">
        <v>1.32E-2</v>
      </c>
      <c r="AP61" s="228">
        <v>330.63</v>
      </c>
      <c r="AQ61" s="228">
        <v>332.79</v>
      </c>
      <c r="AR61" s="228">
        <v>0</v>
      </c>
      <c r="AS61" s="230">
        <v>3810</v>
      </c>
      <c r="AT61" s="230">
        <v>6170</v>
      </c>
      <c r="AU61" s="230">
        <v>-2360</v>
      </c>
      <c r="AV61" s="229">
        <v>-0.38250000000000001</v>
      </c>
      <c r="AW61" s="230">
        <v>1676</v>
      </c>
      <c r="AX61" s="230">
        <v>3092</v>
      </c>
      <c r="AY61" s="230">
        <v>-1416</v>
      </c>
      <c r="AZ61" s="229">
        <v>-0.45789999999999997</v>
      </c>
      <c r="BA61" s="230">
        <v>2106</v>
      </c>
      <c r="BB61" s="230">
        <v>3061</v>
      </c>
      <c r="BC61" s="228">
        <v>-954</v>
      </c>
      <c r="BD61" s="229">
        <v>-0.31180000000000002</v>
      </c>
      <c r="BE61" s="228">
        <v>27</v>
      </c>
      <c r="BF61" s="228">
        <v>17</v>
      </c>
      <c r="BG61" s="228">
        <v>10</v>
      </c>
      <c r="BH61" s="229">
        <v>0.56740000000000002</v>
      </c>
      <c r="BI61" s="230">
        <v>4287</v>
      </c>
      <c r="BJ61" s="230">
        <v>3945</v>
      </c>
      <c r="BK61" s="228">
        <v>341</v>
      </c>
      <c r="BL61" s="229">
        <v>8.6499999999999994E-2</v>
      </c>
      <c r="BM61" s="230">
        <v>2047</v>
      </c>
      <c r="BN61" s="230">
        <v>1998</v>
      </c>
      <c r="BO61" s="228">
        <v>49</v>
      </c>
      <c r="BP61" s="229">
        <v>2.46E-2</v>
      </c>
      <c r="BQ61" s="230">
        <v>10144</v>
      </c>
      <c r="BR61" s="230">
        <v>12114</v>
      </c>
      <c r="BS61" s="230">
        <v>-1970</v>
      </c>
      <c r="BT61" s="229">
        <v>-0.16259999999999999</v>
      </c>
      <c r="BU61" s="230">
        <v>28849412</v>
      </c>
      <c r="BV61" s="230">
        <v>36267951</v>
      </c>
      <c r="BW61" s="230">
        <v>-7418539</v>
      </c>
      <c r="BX61" s="229">
        <v>-0.20449999999999999</v>
      </c>
      <c r="BY61" s="230">
        <v>8260</v>
      </c>
      <c r="BZ61" s="230">
        <v>8055</v>
      </c>
      <c r="CA61" s="228">
        <v>205</v>
      </c>
      <c r="CB61" s="229">
        <v>2.5499999999999998E-2</v>
      </c>
      <c r="CC61" s="230">
        <v>1101</v>
      </c>
      <c r="CD61" s="230">
        <v>2419</v>
      </c>
      <c r="CE61" s="230">
        <v>-1318</v>
      </c>
      <c r="CF61" s="229">
        <v>-0.54490000000000005</v>
      </c>
      <c r="CG61" s="230">
        <v>7109</v>
      </c>
      <c r="CH61" s="230">
        <v>5587</v>
      </c>
      <c r="CI61" s="230">
        <v>1522</v>
      </c>
      <c r="CJ61" s="229">
        <v>0.27239999999999998</v>
      </c>
      <c r="CK61" s="228">
        <v>50</v>
      </c>
      <c r="CL61" s="228">
        <v>48</v>
      </c>
      <c r="CM61" s="228">
        <v>2</v>
      </c>
      <c r="CN61" s="229">
        <v>3.3399999999999999E-2</v>
      </c>
      <c r="CO61" s="230">
        <v>2990</v>
      </c>
      <c r="CP61" s="230">
        <v>3268</v>
      </c>
      <c r="CQ61" s="228">
        <v>-278</v>
      </c>
      <c r="CR61" s="229">
        <v>-8.5000000000000006E-2</v>
      </c>
      <c r="CS61" s="230">
        <v>1645</v>
      </c>
      <c r="CT61" s="230">
        <v>1777</v>
      </c>
      <c r="CU61" s="228">
        <v>-132</v>
      </c>
      <c r="CV61" s="229">
        <v>-7.4099999999999999E-2</v>
      </c>
      <c r="CW61" s="230">
        <v>12895</v>
      </c>
      <c r="CX61" s="230">
        <v>13100</v>
      </c>
      <c r="CY61" s="228">
        <v>-204</v>
      </c>
      <c r="CZ61" s="229">
        <v>-1.5599999999999999E-2</v>
      </c>
      <c r="DA61" s="228">
        <v>28.65</v>
      </c>
      <c r="DB61" s="228">
        <v>29.41</v>
      </c>
      <c r="DC61" s="228">
        <v>-0.76</v>
      </c>
      <c r="DD61" s="228">
        <v>-0.76</v>
      </c>
      <c r="DE61" s="228">
        <v>45.37</v>
      </c>
      <c r="DF61" s="228">
        <v>45.39</v>
      </c>
      <c r="DG61" s="228">
        <v>-16.72</v>
      </c>
      <c r="DH61" s="228">
        <v>-0.02</v>
      </c>
      <c r="DI61" s="228">
        <v>28.37</v>
      </c>
      <c r="DJ61" s="228">
        <v>29.4</v>
      </c>
      <c r="DK61" s="228">
        <v>-1.03</v>
      </c>
      <c r="DL61" s="228">
        <v>-1.03</v>
      </c>
      <c r="DM61" s="228">
        <v>29.17</v>
      </c>
      <c r="DN61" s="228">
        <v>29.41</v>
      </c>
      <c r="DO61" s="228">
        <v>-0.24</v>
      </c>
      <c r="DP61" s="228">
        <v>-0.24</v>
      </c>
      <c r="DQ61" s="228">
        <v>0.55000000000000004</v>
      </c>
      <c r="DR61" s="228">
        <v>0.54</v>
      </c>
      <c r="DS61" s="228">
        <v>0.01</v>
      </c>
      <c r="DT61" s="229">
        <v>1.8499999999999999E-2</v>
      </c>
      <c r="DU61" s="228">
        <v>350</v>
      </c>
      <c r="DV61" s="228">
        <v>320</v>
      </c>
      <c r="DW61" s="228">
        <v>0.48</v>
      </c>
      <c r="DX61" s="228">
        <v>0.51</v>
      </c>
      <c r="DY61" s="228">
        <v>-0.03</v>
      </c>
      <c r="DZ61" s="229">
        <v>-5.8799999999999998E-2</v>
      </c>
      <c r="EA61" s="229">
        <v>0.86670000000000003</v>
      </c>
      <c r="EB61" s="230">
        <v>168661175</v>
      </c>
      <c r="EC61" s="229">
        <v>5.7000000000000002E-3</v>
      </c>
      <c r="ED61" s="229">
        <v>0.86670000000000003</v>
      </c>
      <c r="EE61" s="228">
        <v>2.16</v>
      </c>
      <c r="EF61" s="229">
        <v>6.4999999999999997E-3</v>
      </c>
      <c r="EG61" s="230">
        <v>16485807</v>
      </c>
      <c r="EH61" s="230">
        <v>24445396</v>
      </c>
      <c r="EI61" s="229">
        <v>-0.3256</v>
      </c>
      <c r="EJ61" s="229">
        <v>0.57140000000000002</v>
      </c>
      <c r="EK61" s="231">
        <v>4396.08</v>
      </c>
      <c r="EL61" s="231">
        <v>2003.77</v>
      </c>
      <c r="EM61" s="231">
        <v>3783.77</v>
      </c>
      <c r="EN61" s="228">
        <v>404.16</v>
      </c>
      <c r="EO61" s="231">
        <v>10183.629999999999</v>
      </c>
      <c r="EP61" s="231">
        <v>12075.03</v>
      </c>
      <c r="EQ61" s="231">
        <v>-1891.4</v>
      </c>
      <c r="ER61" s="229">
        <v>-0.15659999999999999</v>
      </c>
      <c r="ES61" s="231">
        <v>3150.9</v>
      </c>
      <c r="ET61" s="231">
        <v>1590.16</v>
      </c>
      <c r="EU61" s="231">
        <v>8301.19</v>
      </c>
      <c r="EV61" s="231">
        <v>1361988292</v>
      </c>
      <c r="EW61" s="231">
        <v>13042.25</v>
      </c>
      <c r="EX61" s="231">
        <v>13078.76</v>
      </c>
      <c r="EY61" s="228">
        <v>-36.51</v>
      </c>
      <c r="EZ61" s="229">
        <v>-2.8E-3</v>
      </c>
      <c r="FA61" s="229">
        <v>0.2833</v>
      </c>
      <c r="FB61" s="227" t="s">
        <v>555</v>
      </c>
      <c r="FC61">
        <f t="shared" si="0"/>
        <v>7159</v>
      </c>
    </row>
    <row r="62" spans="1:159" ht="17.25" thickBot="1" x14ac:dyDescent="0.3">
      <c r="A62" s="226">
        <v>45957</v>
      </c>
      <c r="B62" s="227" t="s">
        <v>162</v>
      </c>
      <c r="C62" s="227" t="s">
        <v>211</v>
      </c>
      <c r="D62" s="228">
        <v>1800</v>
      </c>
      <c r="E62" s="228">
        <v>1</v>
      </c>
      <c r="F62" s="228">
        <v>380.05</v>
      </c>
      <c r="G62" s="228">
        <v>388.25</v>
      </c>
      <c r="H62" s="228">
        <v>-8.1999999999999993</v>
      </c>
      <c r="I62" s="229">
        <v>-2.1100000000000001E-2</v>
      </c>
      <c r="J62" s="228">
        <v>379.95</v>
      </c>
      <c r="K62" s="228">
        <v>388.7</v>
      </c>
      <c r="L62" s="228">
        <v>-8.75</v>
      </c>
      <c r="M62" s="229">
        <v>-2.2499999999999999E-2</v>
      </c>
      <c r="N62" s="228">
        <v>380.05</v>
      </c>
      <c r="O62" s="228">
        <v>388.25</v>
      </c>
      <c r="P62" s="228">
        <v>-8.1999999999999993</v>
      </c>
      <c r="Q62" s="229">
        <v>-2.1100000000000001E-2</v>
      </c>
      <c r="R62" s="228">
        <v>382.25</v>
      </c>
      <c r="S62" s="228">
        <v>390.4</v>
      </c>
      <c r="T62" s="228">
        <v>-8.15</v>
      </c>
      <c r="U62" s="229">
        <v>-2.0899999999999998E-2</v>
      </c>
      <c r="V62" s="228">
        <v>385.3</v>
      </c>
      <c r="W62" s="228">
        <v>393.1</v>
      </c>
      <c r="X62" s="228">
        <v>-7.8</v>
      </c>
      <c r="Y62" s="229">
        <v>-1.9800000000000002E-2</v>
      </c>
      <c r="Z62" s="228">
        <v>0.1</v>
      </c>
      <c r="AA62" s="228">
        <v>-0.45</v>
      </c>
      <c r="AB62" s="228">
        <v>0.55000000000000004</v>
      </c>
      <c r="AC62" s="229">
        <v>2.9999999999999997E-4</v>
      </c>
      <c r="AD62" s="228">
        <v>0.1</v>
      </c>
      <c r="AE62" s="228">
        <v>-0.45</v>
      </c>
      <c r="AF62" s="228">
        <v>0.55000000000000004</v>
      </c>
      <c r="AG62" s="229">
        <v>2.9999999999999997E-4</v>
      </c>
      <c r="AH62" s="228">
        <v>2.2999999999999998</v>
      </c>
      <c r="AI62" s="228">
        <v>1.7</v>
      </c>
      <c r="AJ62" s="228">
        <v>0.6</v>
      </c>
      <c r="AK62" s="229">
        <v>6.1000000000000004E-3</v>
      </c>
      <c r="AL62" s="228">
        <v>5.35</v>
      </c>
      <c r="AM62" s="228">
        <v>4.4000000000000004</v>
      </c>
      <c r="AN62" s="228">
        <v>0.95</v>
      </c>
      <c r="AO62" s="229">
        <v>1.41E-2</v>
      </c>
      <c r="AP62" s="228">
        <v>383.49</v>
      </c>
      <c r="AQ62" s="228">
        <v>385.3</v>
      </c>
      <c r="AR62" s="228">
        <v>0</v>
      </c>
      <c r="AS62" s="230">
        <v>1089</v>
      </c>
      <c r="AT62" s="228">
        <v>807</v>
      </c>
      <c r="AU62" s="228">
        <v>282</v>
      </c>
      <c r="AV62" s="229">
        <v>0.34910000000000002</v>
      </c>
      <c r="AW62" s="228">
        <v>409</v>
      </c>
      <c r="AX62" s="228">
        <v>407</v>
      </c>
      <c r="AY62" s="228">
        <v>3</v>
      </c>
      <c r="AZ62" s="229">
        <v>6.8999999999999999E-3</v>
      </c>
      <c r="BA62" s="228">
        <v>656</v>
      </c>
      <c r="BB62" s="228">
        <v>392</v>
      </c>
      <c r="BC62" s="228">
        <v>264</v>
      </c>
      <c r="BD62" s="229">
        <v>0.67390000000000005</v>
      </c>
      <c r="BE62" s="228">
        <v>23</v>
      </c>
      <c r="BF62" s="228">
        <v>8</v>
      </c>
      <c r="BG62" s="228">
        <v>15</v>
      </c>
      <c r="BH62" s="229">
        <v>1.7623</v>
      </c>
      <c r="BI62" s="230">
        <v>1059</v>
      </c>
      <c r="BJ62" s="228">
        <v>747</v>
      </c>
      <c r="BK62" s="228">
        <v>313</v>
      </c>
      <c r="BL62" s="229">
        <v>0.41849999999999998</v>
      </c>
      <c r="BM62" s="228">
        <v>821</v>
      </c>
      <c r="BN62" s="228">
        <v>514</v>
      </c>
      <c r="BO62" s="228">
        <v>308</v>
      </c>
      <c r="BP62" s="229">
        <v>0.59860000000000002</v>
      </c>
      <c r="BQ62" s="230">
        <v>2969</v>
      </c>
      <c r="BR62" s="230">
        <v>2068</v>
      </c>
      <c r="BS62" s="228">
        <v>902</v>
      </c>
      <c r="BT62" s="229">
        <v>0.43619999999999998</v>
      </c>
      <c r="BU62" s="230">
        <v>4413261</v>
      </c>
      <c r="BV62" s="230">
        <v>3065227</v>
      </c>
      <c r="BW62" s="230">
        <v>1348034</v>
      </c>
      <c r="BX62" s="229">
        <v>0.43980000000000002</v>
      </c>
      <c r="BY62" s="230">
        <v>1363</v>
      </c>
      <c r="BZ62" s="230">
        <v>1242</v>
      </c>
      <c r="CA62" s="228">
        <v>120</v>
      </c>
      <c r="CB62" s="229">
        <v>9.6799999999999997E-2</v>
      </c>
      <c r="CC62" s="228">
        <v>279</v>
      </c>
      <c r="CD62" s="228">
        <v>530</v>
      </c>
      <c r="CE62" s="228">
        <v>-251</v>
      </c>
      <c r="CF62" s="229">
        <v>-0.4738</v>
      </c>
      <c r="CG62" s="230">
        <v>1052</v>
      </c>
      <c r="CH62" s="228">
        <v>694</v>
      </c>
      <c r="CI62" s="228">
        <v>358</v>
      </c>
      <c r="CJ62" s="229">
        <v>0.51619999999999999</v>
      </c>
      <c r="CK62" s="228">
        <v>32</v>
      </c>
      <c r="CL62" s="228">
        <v>19</v>
      </c>
      <c r="CM62" s="228">
        <v>13</v>
      </c>
      <c r="CN62" s="229">
        <v>0.69850000000000001</v>
      </c>
      <c r="CO62" s="228">
        <v>557</v>
      </c>
      <c r="CP62" s="228">
        <v>518</v>
      </c>
      <c r="CQ62" s="228">
        <v>39</v>
      </c>
      <c r="CR62" s="229">
        <v>7.4899999999999994E-2</v>
      </c>
      <c r="CS62" s="228">
        <v>408</v>
      </c>
      <c r="CT62" s="228">
        <v>390</v>
      </c>
      <c r="CU62" s="228">
        <v>18</v>
      </c>
      <c r="CV62" s="229">
        <v>4.4999999999999998E-2</v>
      </c>
      <c r="CW62" s="230">
        <v>2327</v>
      </c>
      <c r="CX62" s="230">
        <v>2151</v>
      </c>
      <c r="CY62" s="228">
        <v>177</v>
      </c>
      <c r="CZ62" s="229">
        <v>8.2100000000000006E-2</v>
      </c>
      <c r="DA62" s="228">
        <v>29.78</v>
      </c>
      <c r="DB62" s="228">
        <v>28.92</v>
      </c>
      <c r="DC62" s="228">
        <v>0.86</v>
      </c>
      <c r="DD62" s="228">
        <v>0.86</v>
      </c>
      <c r="DE62" s="228">
        <v>35.43</v>
      </c>
      <c r="DF62" s="228">
        <v>35.4</v>
      </c>
      <c r="DG62" s="228">
        <v>-5.65</v>
      </c>
      <c r="DH62" s="228">
        <v>0.03</v>
      </c>
      <c r="DI62" s="228">
        <v>29.76</v>
      </c>
      <c r="DJ62" s="228">
        <v>28.56</v>
      </c>
      <c r="DK62" s="228">
        <v>1.2</v>
      </c>
      <c r="DL62" s="228">
        <v>1.2</v>
      </c>
      <c r="DM62" s="228">
        <v>29.8</v>
      </c>
      <c r="DN62" s="228">
        <v>29.31</v>
      </c>
      <c r="DO62" s="228">
        <v>0.49</v>
      </c>
      <c r="DP62" s="228">
        <v>0.49</v>
      </c>
      <c r="DQ62" s="228">
        <v>0.73</v>
      </c>
      <c r="DR62" s="228">
        <v>0.75</v>
      </c>
      <c r="DS62" s="228">
        <v>-0.02</v>
      </c>
      <c r="DT62" s="229">
        <v>-2.6700000000000002E-2</v>
      </c>
      <c r="DU62" s="228">
        <v>400</v>
      </c>
      <c r="DV62" s="228">
        <v>380</v>
      </c>
      <c r="DW62" s="228">
        <v>0.78</v>
      </c>
      <c r="DX62" s="228">
        <v>0.69</v>
      </c>
      <c r="DY62" s="228">
        <v>0.09</v>
      </c>
      <c r="DZ62" s="229">
        <v>0.13039999999999999</v>
      </c>
      <c r="EA62" s="229">
        <v>0.7954</v>
      </c>
      <c r="EB62" s="230">
        <v>18750600</v>
      </c>
      <c r="EC62" s="229">
        <v>5.7999999999999996E-3</v>
      </c>
      <c r="ED62" s="229">
        <v>0.7954</v>
      </c>
      <c r="EE62" s="228">
        <v>1.81</v>
      </c>
      <c r="EF62" s="229">
        <v>4.7000000000000002E-3</v>
      </c>
      <c r="EG62" s="230">
        <v>2540763</v>
      </c>
      <c r="EH62" s="230">
        <v>1537542</v>
      </c>
      <c r="EI62" s="229">
        <v>0.65249999999999997</v>
      </c>
      <c r="EJ62" s="229">
        <v>0.57569999999999999</v>
      </c>
      <c r="EK62" s="231">
        <v>1118.25</v>
      </c>
      <c r="EL62" s="228">
        <v>844.49</v>
      </c>
      <c r="EM62" s="231">
        <v>1102</v>
      </c>
      <c r="EN62" s="228">
        <v>69.78</v>
      </c>
      <c r="EO62" s="231">
        <v>3064.74</v>
      </c>
      <c r="EP62" s="231">
        <v>2152.9699999999998</v>
      </c>
      <c r="EQ62" s="228">
        <v>911.77</v>
      </c>
      <c r="ER62" s="229">
        <v>0.42349999999999999</v>
      </c>
      <c r="ES62" s="228">
        <v>598.44000000000005</v>
      </c>
      <c r="ET62" s="228">
        <v>414.63</v>
      </c>
      <c r="EU62" s="231">
        <v>1369.17</v>
      </c>
      <c r="EV62" s="231">
        <v>68856800</v>
      </c>
      <c r="EW62" s="231">
        <v>2382.2399999999998</v>
      </c>
      <c r="EX62" s="231">
        <v>2234.08</v>
      </c>
      <c r="EY62" s="228">
        <v>148.16</v>
      </c>
      <c r="EZ62" s="229">
        <v>6.6299999999999998E-2</v>
      </c>
      <c r="FA62" s="229">
        <v>0.88929999999999998</v>
      </c>
      <c r="FB62" s="227" t="s">
        <v>567</v>
      </c>
      <c r="FC62">
        <f t="shared" si="0"/>
        <v>1084</v>
      </c>
    </row>
    <row r="63" spans="1:159" ht="17.25" thickBot="1" x14ac:dyDescent="0.3">
      <c r="A63" s="226">
        <v>45957</v>
      </c>
      <c r="B63" s="227" t="s">
        <v>172</v>
      </c>
      <c r="C63" s="227" t="s">
        <v>212</v>
      </c>
      <c r="D63" s="228">
        <v>5000</v>
      </c>
      <c r="E63" s="228">
        <v>1</v>
      </c>
      <c r="F63" s="228">
        <v>233.69</v>
      </c>
      <c r="G63" s="228">
        <v>227.49</v>
      </c>
      <c r="H63" s="228">
        <v>6.2</v>
      </c>
      <c r="I63" s="229">
        <v>2.7300000000000001E-2</v>
      </c>
      <c r="J63" s="228">
        <v>234.04</v>
      </c>
      <c r="K63" s="228">
        <v>227.4</v>
      </c>
      <c r="L63" s="228">
        <v>6.64</v>
      </c>
      <c r="M63" s="229">
        <v>2.92E-2</v>
      </c>
      <c r="N63" s="228">
        <v>233.69</v>
      </c>
      <c r="O63" s="228">
        <v>227.49</v>
      </c>
      <c r="P63" s="228">
        <v>6.2</v>
      </c>
      <c r="Q63" s="229">
        <v>2.7300000000000001E-2</v>
      </c>
      <c r="R63" s="228">
        <v>234.99</v>
      </c>
      <c r="S63" s="228">
        <v>228.82</v>
      </c>
      <c r="T63" s="228">
        <v>6.17</v>
      </c>
      <c r="U63" s="229">
        <v>2.7E-2</v>
      </c>
      <c r="V63" s="228">
        <v>235.64</v>
      </c>
      <c r="W63" s="228">
        <v>229.98</v>
      </c>
      <c r="X63" s="228">
        <v>5.66</v>
      </c>
      <c r="Y63" s="229">
        <v>2.46E-2</v>
      </c>
      <c r="Z63" s="228">
        <v>-0.35</v>
      </c>
      <c r="AA63" s="228">
        <v>0.09</v>
      </c>
      <c r="AB63" s="228">
        <v>-0.44</v>
      </c>
      <c r="AC63" s="229">
        <v>-1.5E-3</v>
      </c>
      <c r="AD63" s="228">
        <v>-0.35</v>
      </c>
      <c r="AE63" s="228">
        <v>0.09</v>
      </c>
      <c r="AF63" s="228">
        <v>-0.44</v>
      </c>
      <c r="AG63" s="229">
        <v>-1.5E-3</v>
      </c>
      <c r="AH63" s="228">
        <v>0.95</v>
      </c>
      <c r="AI63" s="228">
        <v>1.42</v>
      </c>
      <c r="AJ63" s="228">
        <v>-0.47</v>
      </c>
      <c r="AK63" s="229">
        <v>4.1000000000000003E-3</v>
      </c>
      <c r="AL63" s="228">
        <v>1.6</v>
      </c>
      <c r="AM63" s="228">
        <v>2.58</v>
      </c>
      <c r="AN63" s="228">
        <v>-0.98</v>
      </c>
      <c r="AO63" s="229">
        <v>6.7999999999999996E-3</v>
      </c>
      <c r="AP63" s="228">
        <v>232.77</v>
      </c>
      <c r="AQ63" s="228">
        <v>234.03</v>
      </c>
      <c r="AR63" s="228">
        <v>0</v>
      </c>
      <c r="AS63" s="230">
        <v>2262</v>
      </c>
      <c r="AT63" s="230">
        <v>3206</v>
      </c>
      <c r="AU63" s="228">
        <v>-945</v>
      </c>
      <c r="AV63" s="229">
        <v>-0.29470000000000002</v>
      </c>
      <c r="AW63" s="230">
        <v>1021</v>
      </c>
      <c r="AX63" s="230">
        <v>1718</v>
      </c>
      <c r="AY63" s="228">
        <v>-697</v>
      </c>
      <c r="AZ63" s="229">
        <v>-0.40539999999999998</v>
      </c>
      <c r="BA63" s="230">
        <v>1204</v>
      </c>
      <c r="BB63" s="230">
        <v>1467</v>
      </c>
      <c r="BC63" s="228">
        <v>-263</v>
      </c>
      <c r="BD63" s="229">
        <v>-0.1792</v>
      </c>
      <c r="BE63" s="228">
        <v>36</v>
      </c>
      <c r="BF63" s="228">
        <v>21</v>
      </c>
      <c r="BG63" s="228">
        <v>14</v>
      </c>
      <c r="BH63" s="229">
        <v>0.67390000000000005</v>
      </c>
      <c r="BI63" s="230">
        <v>5366</v>
      </c>
      <c r="BJ63" s="230">
        <v>5609</v>
      </c>
      <c r="BK63" s="228">
        <v>-243</v>
      </c>
      <c r="BL63" s="229">
        <v>-4.3400000000000001E-2</v>
      </c>
      <c r="BM63" s="230">
        <v>2812</v>
      </c>
      <c r="BN63" s="230">
        <v>3131</v>
      </c>
      <c r="BO63" s="228">
        <v>-319</v>
      </c>
      <c r="BP63" s="229">
        <v>-0.1018</v>
      </c>
      <c r="BQ63" s="230">
        <v>10439</v>
      </c>
      <c r="BR63" s="230">
        <v>11946</v>
      </c>
      <c r="BS63" s="230">
        <v>-1507</v>
      </c>
      <c r="BT63" s="229">
        <v>-0.12620000000000001</v>
      </c>
      <c r="BU63" s="230">
        <v>22792688</v>
      </c>
      <c r="BV63" s="230">
        <v>26604461</v>
      </c>
      <c r="BW63" s="230">
        <v>-3811773</v>
      </c>
      <c r="BX63" s="229">
        <v>-0.14330000000000001</v>
      </c>
      <c r="BY63" s="230">
        <v>2430</v>
      </c>
      <c r="BZ63" s="230">
        <v>2437</v>
      </c>
      <c r="CA63" s="228">
        <v>-6</v>
      </c>
      <c r="CB63" s="229">
        <v>-2.5999999999999999E-3</v>
      </c>
      <c r="CC63" s="228">
        <v>540</v>
      </c>
      <c r="CD63" s="230">
        <v>1001</v>
      </c>
      <c r="CE63" s="228">
        <v>-462</v>
      </c>
      <c r="CF63" s="229">
        <v>-0.46100000000000002</v>
      </c>
      <c r="CG63" s="230">
        <v>1853</v>
      </c>
      <c r="CH63" s="230">
        <v>1406</v>
      </c>
      <c r="CI63" s="228">
        <v>447</v>
      </c>
      <c r="CJ63" s="229">
        <v>0.31769999999999998</v>
      </c>
      <c r="CK63" s="228">
        <v>37</v>
      </c>
      <c r="CL63" s="228">
        <v>29</v>
      </c>
      <c r="CM63" s="228">
        <v>9</v>
      </c>
      <c r="CN63" s="229">
        <v>0.29549999999999998</v>
      </c>
      <c r="CO63" s="230">
        <v>1581</v>
      </c>
      <c r="CP63" s="230">
        <v>1762</v>
      </c>
      <c r="CQ63" s="228">
        <v>-180</v>
      </c>
      <c r="CR63" s="229">
        <v>-0.1023</v>
      </c>
      <c r="CS63" s="230">
        <v>1809</v>
      </c>
      <c r="CT63" s="230">
        <v>1695</v>
      </c>
      <c r="CU63" s="228">
        <v>115</v>
      </c>
      <c r="CV63" s="229">
        <v>6.7699999999999996E-2</v>
      </c>
      <c r="CW63" s="230">
        <v>5821</v>
      </c>
      <c r="CX63" s="230">
        <v>5893</v>
      </c>
      <c r="CY63" s="228">
        <v>-72</v>
      </c>
      <c r="CZ63" s="229">
        <v>-1.2200000000000001E-2</v>
      </c>
      <c r="DA63" s="228">
        <v>24.37</v>
      </c>
      <c r="DB63" s="228">
        <v>23.63</v>
      </c>
      <c r="DC63" s="228">
        <v>0.74</v>
      </c>
      <c r="DD63" s="228">
        <v>0.74</v>
      </c>
      <c r="DE63" s="228">
        <v>29.89</v>
      </c>
      <c r="DF63" s="228">
        <v>29.71</v>
      </c>
      <c r="DG63" s="228">
        <v>-5.52</v>
      </c>
      <c r="DH63" s="228">
        <v>0.18</v>
      </c>
      <c r="DI63" s="228">
        <v>24.23</v>
      </c>
      <c r="DJ63" s="228">
        <v>23.8</v>
      </c>
      <c r="DK63" s="228">
        <v>0.43</v>
      </c>
      <c r="DL63" s="228">
        <v>0.43</v>
      </c>
      <c r="DM63" s="228">
        <v>24.62</v>
      </c>
      <c r="DN63" s="228">
        <v>23.36</v>
      </c>
      <c r="DO63" s="228">
        <v>1.26</v>
      </c>
      <c r="DP63" s="228">
        <v>1.26</v>
      </c>
      <c r="DQ63" s="228">
        <v>1.1399999999999999</v>
      </c>
      <c r="DR63" s="228">
        <v>0.96</v>
      </c>
      <c r="DS63" s="228">
        <v>0.18</v>
      </c>
      <c r="DT63" s="229">
        <v>0.1875</v>
      </c>
      <c r="DU63" s="228">
        <v>235</v>
      </c>
      <c r="DV63" s="228">
        <v>225</v>
      </c>
      <c r="DW63" s="228">
        <v>0.52</v>
      </c>
      <c r="DX63" s="228">
        <v>0.56000000000000005</v>
      </c>
      <c r="DY63" s="228">
        <v>-0.04</v>
      </c>
      <c r="DZ63" s="229">
        <v>-7.1400000000000005E-2</v>
      </c>
      <c r="EA63" s="229">
        <v>0.77790000000000004</v>
      </c>
      <c r="EB63" s="230">
        <v>61420000</v>
      </c>
      <c r="EC63" s="229">
        <v>5.5999999999999999E-3</v>
      </c>
      <c r="ED63" s="229">
        <v>0.77790000000000004</v>
      </c>
      <c r="EE63" s="228">
        <v>1.26</v>
      </c>
      <c r="EF63" s="229">
        <v>5.4000000000000003E-3</v>
      </c>
      <c r="EG63" s="230">
        <v>11644290</v>
      </c>
      <c r="EH63" s="230">
        <v>13533180</v>
      </c>
      <c r="EI63" s="229">
        <v>-0.1396</v>
      </c>
      <c r="EJ63" s="229">
        <v>0.51090000000000002</v>
      </c>
      <c r="EK63" s="231">
        <v>5478</v>
      </c>
      <c r="EL63" s="231">
        <v>2748.82</v>
      </c>
      <c r="EM63" s="231">
        <v>2259.4299999999998</v>
      </c>
      <c r="EN63" s="228">
        <v>175.83</v>
      </c>
      <c r="EO63" s="231">
        <v>10486.24</v>
      </c>
      <c r="EP63" s="231">
        <v>11845.1</v>
      </c>
      <c r="EQ63" s="231">
        <v>-1358.86</v>
      </c>
      <c r="ER63" s="229">
        <v>-0.1147</v>
      </c>
      <c r="ES63" s="231">
        <v>1545.4</v>
      </c>
      <c r="ET63" s="231">
        <v>1660.08</v>
      </c>
      <c r="EU63" s="231">
        <v>2441</v>
      </c>
      <c r="EV63" s="231">
        <v>338654719</v>
      </c>
      <c r="EW63" s="231">
        <v>5646.48</v>
      </c>
      <c r="EX63" s="231">
        <v>5627.14</v>
      </c>
      <c r="EY63" s="228">
        <v>19.34</v>
      </c>
      <c r="EZ63" s="229">
        <v>3.3999999999999998E-3</v>
      </c>
      <c r="FA63" s="229">
        <v>0.73560000000000003</v>
      </c>
      <c r="FB63" s="227" t="s">
        <v>556</v>
      </c>
      <c r="FC63">
        <f t="shared" si="0"/>
        <v>1890</v>
      </c>
    </row>
    <row r="64" spans="1:159" ht="17.25" thickBot="1" x14ac:dyDescent="0.3">
      <c r="A64" s="226">
        <v>45957</v>
      </c>
      <c r="B64" s="227" t="s">
        <v>181</v>
      </c>
      <c r="C64" s="227" t="s">
        <v>480</v>
      </c>
      <c r="D64" s="228">
        <v>65</v>
      </c>
      <c r="E64" s="228">
        <v>1</v>
      </c>
      <c r="F64" s="231">
        <v>27568.6</v>
      </c>
      <c r="G64" s="231">
        <v>27400.6</v>
      </c>
      <c r="H64" s="228">
        <v>168</v>
      </c>
      <c r="I64" s="229">
        <v>6.1000000000000004E-3</v>
      </c>
      <c r="J64" s="231">
        <v>27519</v>
      </c>
      <c r="K64" s="231">
        <v>27395.3</v>
      </c>
      <c r="L64" s="228">
        <v>123.7</v>
      </c>
      <c r="M64" s="229">
        <v>4.4999999999999997E-3</v>
      </c>
      <c r="N64" s="231">
        <v>27568.6</v>
      </c>
      <c r="O64" s="231">
        <v>27400.6</v>
      </c>
      <c r="P64" s="228">
        <v>168</v>
      </c>
      <c r="Q64" s="229">
        <v>6.1000000000000004E-3</v>
      </c>
      <c r="R64" s="231">
        <v>27678</v>
      </c>
      <c r="S64" s="231">
        <v>27528.400000000001</v>
      </c>
      <c r="T64" s="228">
        <v>149.6</v>
      </c>
      <c r="U64" s="229">
        <v>5.4000000000000003E-3</v>
      </c>
      <c r="V64" s="228">
        <v>0</v>
      </c>
      <c r="W64" s="228">
        <v>0</v>
      </c>
      <c r="X64" s="228">
        <v>0</v>
      </c>
      <c r="Y64" s="229">
        <v>0</v>
      </c>
      <c r="Z64" s="228">
        <v>49.6</v>
      </c>
      <c r="AA64" s="228">
        <v>5.3</v>
      </c>
      <c r="AB64" s="228">
        <v>44.3</v>
      </c>
      <c r="AC64" s="229">
        <v>1.8E-3</v>
      </c>
      <c r="AD64" s="228">
        <v>49.6</v>
      </c>
      <c r="AE64" s="228">
        <v>5.3</v>
      </c>
      <c r="AF64" s="228">
        <v>44.3</v>
      </c>
      <c r="AG64" s="229">
        <v>1.8E-3</v>
      </c>
      <c r="AH64" s="228">
        <v>159</v>
      </c>
      <c r="AI64" s="228">
        <v>133.1</v>
      </c>
      <c r="AJ64" s="228">
        <v>25.9</v>
      </c>
      <c r="AK64" s="229">
        <v>5.7999999999999996E-3</v>
      </c>
      <c r="AL64" s="228">
        <v>0</v>
      </c>
      <c r="AM64" s="228">
        <v>0</v>
      </c>
      <c r="AN64" s="228">
        <v>0</v>
      </c>
      <c r="AO64" s="229">
        <v>0</v>
      </c>
      <c r="AP64" s="231">
        <v>27576.400000000001</v>
      </c>
      <c r="AQ64" s="231">
        <v>27681.06</v>
      </c>
      <c r="AR64" s="228">
        <v>0</v>
      </c>
      <c r="AS64" s="228">
        <v>153</v>
      </c>
      <c r="AT64" s="228">
        <v>99</v>
      </c>
      <c r="AU64" s="228">
        <v>55</v>
      </c>
      <c r="AV64" s="229">
        <v>0.55449999999999999</v>
      </c>
      <c r="AW64" s="228">
        <v>77</v>
      </c>
      <c r="AX64" s="228">
        <v>64</v>
      </c>
      <c r="AY64" s="228">
        <v>12</v>
      </c>
      <c r="AZ64" s="229">
        <v>0.18940000000000001</v>
      </c>
      <c r="BA64" s="228">
        <v>77</v>
      </c>
      <c r="BB64" s="228">
        <v>34</v>
      </c>
      <c r="BC64" s="228">
        <v>42</v>
      </c>
      <c r="BD64" s="229">
        <v>1.2407999999999999</v>
      </c>
      <c r="BE64" s="228">
        <v>0</v>
      </c>
      <c r="BF64" s="228">
        <v>0</v>
      </c>
      <c r="BG64" s="228">
        <v>0</v>
      </c>
      <c r="BH64" s="229">
        <v>0</v>
      </c>
      <c r="BI64" s="230">
        <v>64531</v>
      </c>
      <c r="BJ64" s="230">
        <v>39669</v>
      </c>
      <c r="BK64" s="230">
        <v>24862</v>
      </c>
      <c r="BL64" s="229">
        <v>0.62670000000000003</v>
      </c>
      <c r="BM64" s="230">
        <v>67426</v>
      </c>
      <c r="BN64" s="230">
        <v>40194</v>
      </c>
      <c r="BO64" s="230">
        <v>27232</v>
      </c>
      <c r="BP64" s="229">
        <v>0.67749999999999999</v>
      </c>
      <c r="BQ64" s="230">
        <v>132110</v>
      </c>
      <c r="BR64" s="230">
        <v>79961</v>
      </c>
      <c r="BS64" s="230">
        <v>52149</v>
      </c>
      <c r="BT64" s="229">
        <v>0.6522</v>
      </c>
      <c r="BU64" s="228">
        <v>0</v>
      </c>
      <c r="BV64" s="228">
        <v>0</v>
      </c>
      <c r="BW64" s="228">
        <v>0</v>
      </c>
      <c r="BX64" s="229">
        <v>0</v>
      </c>
      <c r="BY64" s="228">
        <v>124</v>
      </c>
      <c r="BZ64" s="228">
        <v>123</v>
      </c>
      <c r="CA64" s="228">
        <v>1</v>
      </c>
      <c r="CB64" s="229">
        <v>7.3000000000000001E-3</v>
      </c>
      <c r="CC64" s="228">
        <v>74</v>
      </c>
      <c r="CD64" s="228">
        <v>99</v>
      </c>
      <c r="CE64" s="228">
        <v>-26</v>
      </c>
      <c r="CF64" s="229">
        <v>-0.25950000000000001</v>
      </c>
      <c r="CG64" s="228">
        <v>50</v>
      </c>
      <c r="CH64" s="228">
        <v>24</v>
      </c>
      <c r="CI64" s="228">
        <v>27</v>
      </c>
      <c r="CJ64" s="229">
        <v>1.1288</v>
      </c>
      <c r="CK64" s="228">
        <v>0</v>
      </c>
      <c r="CL64" s="228">
        <v>0</v>
      </c>
      <c r="CM64" s="228">
        <v>0</v>
      </c>
      <c r="CN64" s="229">
        <v>0</v>
      </c>
      <c r="CO64" s="230">
        <v>4902</v>
      </c>
      <c r="CP64" s="230">
        <v>5170</v>
      </c>
      <c r="CQ64" s="228">
        <v>-269</v>
      </c>
      <c r="CR64" s="229">
        <v>-5.1999999999999998E-2</v>
      </c>
      <c r="CS64" s="230">
        <v>5286</v>
      </c>
      <c r="CT64" s="230">
        <v>5321</v>
      </c>
      <c r="CU64" s="228">
        <v>-35</v>
      </c>
      <c r="CV64" s="229">
        <v>-6.7000000000000002E-3</v>
      </c>
      <c r="CW64" s="230">
        <v>10311</v>
      </c>
      <c r="CX64" s="230">
        <v>10615</v>
      </c>
      <c r="CY64" s="228">
        <v>-303</v>
      </c>
      <c r="CZ64" s="229">
        <v>-2.86E-2</v>
      </c>
      <c r="DA64" s="228">
        <v>12.25</v>
      </c>
      <c r="DB64" s="228">
        <v>11.45</v>
      </c>
      <c r="DC64" s="228">
        <v>0.8</v>
      </c>
      <c r="DD64" s="228">
        <v>0.8</v>
      </c>
      <c r="DE64" s="228">
        <v>17.489999999999998</v>
      </c>
      <c r="DF64" s="228">
        <v>17.52</v>
      </c>
      <c r="DG64" s="228">
        <v>-5.24</v>
      </c>
      <c r="DH64" s="228">
        <v>-0.03</v>
      </c>
      <c r="DI64" s="228">
        <v>12.25</v>
      </c>
      <c r="DJ64" s="228">
        <v>11.57</v>
      </c>
      <c r="DK64" s="228">
        <v>0.68</v>
      </c>
      <c r="DL64" s="228">
        <v>0.68</v>
      </c>
      <c r="DM64" s="228">
        <v>12.25</v>
      </c>
      <c r="DN64" s="228">
        <v>11.39</v>
      </c>
      <c r="DO64" s="228">
        <v>0.86</v>
      </c>
      <c r="DP64" s="228">
        <v>0.86</v>
      </c>
      <c r="DQ64" s="228">
        <v>1.08</v>
      </c>
      <c r="DR64" s="228">
        <v>1.03</v>
      </c>
      <c r="DS64" s="228">
        <v>0.05</v>
      </c>
      <c r="DT64" s="229">
        <v>4.8500000000000001E-2</v>
      </c>
      <c r="DU64" s="231">
        <v>27700</v>
      </c>
      <c r="DV64" s="231">
        <v>27500</v>
      </c>
      <c r="DW64" s="228">
        <v>1.04</v>
      </c>
      <c r="DX64" s="228">
        <v>1.01</v>
      </c>
      <c r="DY64" s="228">
        <v>0.03</v>
      </c>
      <c r="DZ64" s="229">
        <v>2.9700000000000001E-2</v>
      </c>
      <c r="EA64" s="229">
        <v>0.40610000000000002</v>
      </c>
      <c r="EB64" s="230">
        <v>8580</v>
      </c>
      <c r="EC64" s="229">
        <v>4.0000000000000001E-3</v>
      </c>
      <c r="ED64" s="229">
        <v>0.40610000000000002</v>
      </c>
      <c r="EE64" s="228">
        <v>104.66</v>
      </c>
      <c r="EF64" s="229">
        <v>3.8E-3</v>
      </c>
      <c r="EG64" s="228">
        <v>0</v>
      </c>
      <c r="EH64" s="228">
        <v>0</v>
      </c>
      <c r="EI64" s="229">
        <v>0</v>
      </c>
      <c r="EJ64" s="229">
        <v>0</v>
      </c>
      <c r="EK64" s="231">
        <v>65056.84</v>
      </c>
      <c r="EL64" s="231">
        <v>66739.16</v>
      </c>
      <c r="EM64" s="228">
        <v>153.55000000000001</v>
      </c>
      <c r="EN64" s="228">
        <v>0</v>
      </c>
      <c r="EO64" s="231">
        <v>131949.54</v>
      </c>
      <c r="EP64" s="231">
        <v>79772.570000000007</v>
      </c>
      <c r="EQ64" s="231">
        <v>52176.97</v>
      </c>
      <c r="ER64" s="229">
        <v>0.65410000000000001</v>
      </c>
      <c r="ES64" s="231">
        <v>4943.26</v>
      </c>
      <c r="ET64" s="231">
        <v>5156.5600000000004</v>
      </c>
      <c r="EU64" s="228">
        <v>124.2</v>
      </c>
      <c r="EV64" s="228">
        <v>0</v>
      </c>
      <c r="EW64" s="231">
        <v>10224.030000000001</v>
      </c>
      <c r="EX64" s="231">
        <v>10486.67</v>
      </c>
      <c r="EY64" s="228">
        <v>-262.64</v>
      </c>
      <c r="EZ64" s="229">
        <v>-2.5000000000000001E-2</v>
      </c>
      <c r="FA64" s="229">
        <v>0</v>
      </c>
      <c r="FB64" s="227" t="s">
        <v>555</v>
      </c>
      <c r="FC64">
        <f t="shared" si="0"/>
        <v>50</v>
      </c>
    </row>
    <row r="65" spans="1:159" ht="17.25" thickBot="1" x14ac:dyDescent="0.3">
      <c r="A65" s="226">
        <v>45957</v>
      </c>
      <c r="B65" s="227" t="s">
        <v>170</v>
      </c>
      <c r="C65" s="227" t="s">
        <v>678</v>
      </c>
      <c r="D65" s="228">
        <v>775</v>
      </c>
      <c r="E65" s="228">
        <v>1</v>
      </c>
      <c r="F65" s="231">
        <v>1053.05</v>
      </c>
      <c r="G65" s="231">
        <v>1039</v>
      </c>
      <c r="H65" s="228">
        <v>14.05</v>
      </c>
      <c r="I65" s="229">
        <v>1.35E-2</v>
      </c>
      <c r="J65" s="231">
        <v>1052.55</v>
      </c>
      <c r="K65" s="231">
        <v>1037.3</v>
      </c>
      <c r="L65" s="228">
        <v>15.25</v>
      </c>
      <c r="M65" s="229">
        <v>1.47E-2</v>
      </c>
      <c r="N65" s="231">
        <v>1053.05</v>
      </c>
      <c r="O65" s="231">
        <v>1039</v>
      </c>
      <c r="P65" s="228">
        <v>14.05</v>
      </c>
      <c r="Q65" s="229">
        <v>1.35E-2</v>
      </c>
      <c r="R65" s="231">
        <v>1058.9000000000001</v>
      </c>
      <c r="S65" s="231">
        <v>1044.4000000000001</v>
      </c>
      <c r="T65" s="228">
        <v>14.5</v>
      </c>
      <c r="U65" s="229">
        <v>1.3899999999999999E-2</v>
      </c>
      <c r="V65" s="231">
        <v>1061</v>
      </c>
      <c r="W65" s="231">
        <v>1048.3</v>
      </c>
      <c r="X65" s="228">
        <v>12.7</v>
      </c>
      <c r="Y65" s="229">
        <v>1.21E-2</v>
      </c>
      <c r="Z65" s="228">
        <v>0.5</v>
      </c>
      <c r="AA65" s="228">
        <v>1.7</v>
      </c>
      <c r="AB65" s="228">
        <v>-1.2</v>
      </c>
      <c r="AC65" s="229">
        <v>5.0000000000000001E-4</v>
      </c>
      <c r="AD65" s="228">
        <v>0.5</v>
      </c>
      <c r="AE65" s="228">
        <v>1.7</v>
      </c>
      <c r="AF65" s="228">
        <v>-1.2</v>
      </c>
      <c r="AG65" s="229">
        <v>5.0000000000000001E-4</v>
      </c>
      <c r="AH65" s="228">
        <v>6.35</v>
      </c>
      <c r="AI65" s="228">
        <v>7.1</v>
      </c>
      <c r="AJ65" s="228">
        <v>-0.75</v>
      </c>
      <c r="AK65" s="229">
        <v>6.0000000000000001E-3</v>
      </c>
      <c r="AL65" s="228">
        <v>8.4499999999999993</v>
      </c>
      <c r="AM65" s="228">
        <v>11</v>
      </c>
      <c r="AN65" s="228">
        <v>-2.5499999999999998</v>
      </c>
      <c r="AO65" s="229">
        <v>8.0000000000000002E-3</v>
      </c>
      <c r="AP65" s="231">
        <v>1047.96</v>
      </c>
      <c r="AQ65" s="231">
        <v>1054.05</v>
      </c>
      <c r="AR65" s="228">
        <v>0</v>
      </c>
      <c r="AS65" s="228">
        <v>721</v>
      </c>
      <c r="AT65" s="228">
        <v>910</v>
      </c>
      <c r="AU65" s="228">
        <v>-189</v>
      </c>
      <c r="AV65" s="229">
        <v>-0.20730000000000001</v>
      </c>
      <c r="AW65" s="228">
        <v>313</v>
      </c>
      <c r="AX65" s="228">
        <v>440</v>
      </c>
      <c r="AY65" s="228">
        <v>-127</v>
      </c>
      <c r="AZ65" s="229">
        <v>-0.28910000000000002</v>
      </c>
      <c r="BA65" s="228">
        <v>406</v>
      </c>
      <c r="BB65" s="228">
        <v>469</v>
      </c>
      <c r="BC65" s="228">
        <v>-63</v>
      </c>
      <c r="BD65" s="229">
        <v>-0.1343</v>
      </c>
      <c r="BE65" s="228">
        <v>3</v>
      </c>
      <c r="BF65" s="228">
        <v>1</v>
      </c>
      <c r="BG65" s="228">
        <v>1</v>
      </c>
      <c r="BH65" s="229">
        <v>1</v>
      </c>
      <c r="BI65" s="228">
        <v>585</v>
      </c>
      <c r="BJ65" s="228">
        <v>792</v>
      </c>
      <c r="BK65" s="228">
        <v>-207</v>
      </c>
      <c r="BL65" s="229">
        <v>-0.26129999999999998</v>
      </c>
      <c r="BM65" s="228">
        <v>413</v>
      </c>
      <c r="BN65" s="228">
        <v>475</v>
      </c>
      <c r="BO65" s="228">
        <v>-62</v>
      </c>
      <c r="BP65" s="229">
        <v>-0.1303</v>
      </c>
      <c r="BQ65" s="230">
        <v>1719</v>
      </c>
      <c r="BR65" s="230">
        <v>2177</v>
      </c>
      <c r="BS65" s="228">
        <v>-457</v>
      </c>
      <c r="BT65" s="229">
        <v>-0.2102</v>
      </c>
      <c r="BU65" s="230">
        <v>1585090</v>
      </c>
      <c r="BV65" s="230">
        <v>2466340</v>
      </c>
      <c r="BW65" s="230">
        <v>-881250</v>
      </c>
      <c r="BX65" s="229">
        <v>-0.35730000000000001</v>
      </c>
      <c r="BY65" s="230">
        <v>1013</v>
      </c>
      <c r="BZ65" s="228">
        <v>990</v>
      </c>
      <c r="CA65" s="228">
        <v>23</v>
      </c>
      <c r="CB65" s="229">
        <v>2.3300000000000001E-2</v>
      </c>
      <c r="CC65" s="228">
        <v>92</v>
      </c>
      <c r="CD65" s="228">
        <v>311</v>
      </c>
      <c r="CE65" s="228">
        <v>-219</v>
      </c>
      <c r="CF65" s="229">
        <v>-0.70330000000000004</v>
      </c>
      <c r="CG65" s="228">
        <v>916</v>
      </c>
      <c r="CH65" s="228">
        <v>674</v>
      </c>
      <c r="CI65" s="228">
        <v>241</v>
      </c>
      <c r="CJ65" s="229">
        <v>0.35809999999999997</v>
      </c>
      <c r="CK65" s="228">
        <v>5</v>
      </c>
      <c r="CL65" s="228">
        <v>4</v>
      </c>
      <c r="CM65" s="228">
        <v>1</v>
      </c>
      <c r="CN65" s="229">
        <v>0.1273</v>
      </c>
      <c r="CO65" s="228">
        <v>382</v>
      </c>
      <c r="CP65" s="228">
        <v>427</v>
      </c>
      <c r="CQ65" s="228">
        <v>-45</v>
      </c>
      <c r="CR65" s="229">
        <v>-0.1051</v>
      </c>
      <c r="CS65" s="228">
        <v>272</v>
      </c>
      <c r="CT65" s="228">
        <v>293</v>
      </c>
      <c r="CU65" s="228">
        <v>-21</v>
      </c>
      <c r="CV65" s="229">
        <v>-7.1599999999999997E-2</v>
      </c>
      <c r="CW65" s="230">
        <v>1668</v>
      </c>
      <c r="CX65" s="230">
        <v>1710</v>
      </c>
      <c r="CY65" s="228">
        <v>-43</v>
      </c>
      <c r="CZ65" s="229">
        <v>-2.5000000000000001E-2</v>
      </c>
      <c r="DA65" s="228">
        <v>28.84</v>
      </c>
      <c r="DB65" s="228">
        <v>29.99</v>
      </c>
      <c r="DC65" s="228">
        <v>-1.1499999999999999</v>
      </c>
      <c r="DD65" s="228">
        <v>-1.1499999999999999</v>
      </c>
      <c r="DE65" s="228">
        <v>36.93</v>
      </c>
      <c r="DF65" s="228">
        <v>36.97</v>
      </c>
      <c r="DG65" s="228">
        <v>-8.09</v>
      </c>
      <c r="DH65" s="228">
        <v>-0.04</v>
      </c>
      <c r="DI65" s="228">
        <v>28.88</v>
      </c>
      <c r="DJ65" s="228">
        <v>30.31</v>
      </c>
      <c r="DK65" s="228">
        <v>-1.43</v>
      </c>
      <c r="DL65" s="228">
        <v>-1.43</v>
      </c>
      <c r="DM65" s="228">
        <v>28.79</v>
      </c>
      <c r="DN65" s="228">
        <v>28.28</v>
      </c>
      <c r="DO65" s="228">
        <v>0.51</v>
      </c>
      <c r="DP65" s="228">
        <v>0.51</v>
      </c>
      <c r="DQ65" s="228">
        <v>0.71</v>
      </c>
      <c r="DR65" s="228">
        <v>0.69</v>
      </c>
      <c r="DS65" s="228">
        <v>0.02</v>
      </c>
      <c r="DT65" s="229">
        <v>2.9000000000000001E-2</v>
      </c>
      <c r="DU65" s="231">
        <v>1100</v>
      </c>
      <c r="DV65" s="231">
        <v>1000</v>
      </c>
      <c r="DW65" s="228">
        <v>0.71</v>
      </c>
      <c r="DX65" s="228">
        <v>0.6</v>
      </c>
      <c r="DY65" s="228">
        <v>0.11</v>
      </c>
      <c r="DZ65" s="229">
        <v>0.18329999999999999</v>
      </c>
      <c r="EA65" s="229">
        <v>0.90880000000000005</v>
      </c>
      <c r="EB65" s="230">
        <v>6445675</v>
      </c>
      <c r="EC65" s="229">
        <v>5.5999999999999999E-3</v>
      </c>
      <c r="ED65" s="229">
        <v>0.90880000000000005</v>
      </c>
      <c r="EE65" s="228">
        <v>6.09</v>
      </c>
      <c r="EF65" s="229">
        <v>5.7999999999999996E-3</v>
      </c>
      <c r="EG65" s="230">
        <v>848228</v>
      </c>
      <c r="EH65" s="230">
        <v>1794147</v>
      </c>
      <c r="EI65" s="229">
        <v>-0.5272</v>
      </c>
      <c r="EJ65" s="229">
        <v>0.53510000000000002</v>
      </c>
      <c r="EK65" s="228">
        <v>604.70000000000005</v>
      </c>
      <c r="EL65" s="228">
        <v>397.21</v>
      </c>
      <c r="EM65" s="228">
        <v>720.24</v>
      </c>
      <c r="EN65" s="228">
        <v>66.47</v>
      </c>
      <c r="EO65" s="231">
        <v>1722.15</v>
      </c>
      <c r="EP65" s="231">
        <v>2200.6799999999998</v>
      </c>
      <c r="EQ65" s="228">
        <v>-478.52</v>
      </c>
      <c r="ER65" s="229">
        <v>-0.21740000000000001</v>
      </c>
      <c r="ES65" s="228">
        <v>397.75</v>
      </c>
      <c r="ET65" s="228">
        <v>259.91000000000003</v>
      </c>
      <c r="EU65" s="231">
        <v>1018.33</v>
      </c>
      <c r="EV65" s="231">
        <v>62490435</v>
      </c>
      <c r="EW65" s="231">
        <v>1675.99</v>
      </c>
      <c r="EX65" s="231">
        <v>1704.3</v>
      </c>
      <c r="EY65" s="228">
        <v>-28.31</v>
      </c>
      <c r="EZ65" s="229">
        <v>-1.66E-2</v>
      </c>
      <c r="FA65" s="229">
        <v>0.25340000000000001</v>
      </c>
      <c r="FB65" s="227" t="s">
        <v>555</v>
      </c>
      <c r="FC65">
        <f t="shared" si="0"/>
        <v>921</v>
      </c>
    </row>
    <row r="66" spans="1:159" ht="17.25" thickBot="1" x14ac:dyDescent="0.3">
      <c r="A66" s="226">
        <v>45957</v>
      </c>
      <c r="B66" s="227" t="s">
        <v>193</v>
      </c>
      <c r="C66" s="227" t="s">
        <v>213</v>
      </c>
      <c r="D66" s="228">
        <v>3150</v>
      </c>
      <c r="E66" s="228">
        <v>1</v>
      </c>
      <c r="F66" s="228">
        <v>179.96</v>
      </c>
      <c r="G66" s="228">
        <v>180.79</v>
      </c>
      <c r="H66" s="228">
        <v>-0.83</v>
      </c>
      <c r="I66" s="229">
        <v>-4.5999999999999999E-3</v>
      </c>
      <c r="J66" s="228">
        <v>180.17</v>
      </c>
      <c r="K66" s="228">
        <v>181.02</v>
      </c>
      <c r="L66" s="228">
        <v>-0.85</v>
      </c>
      <c r="M66" s="229">
        <v>-4.7000000000000002E-3</v>
      </c>
      <c r="N66" s="228">
        <v>179.96</v>
      </c>
      <c r="O66" s="228">
        <v>180.79</v>
      </c>
      <c r="P66" s="228">
        <v>-0.83</v>
      </c>
      <c r="Q66" s="229">
        <v>-4.5999999999999999E-3</v>
      </c>
      <c r="R66" s="228">
        <v>180.87</v>
      </c>
      <c r="S66" s="228">
        <v>181.48</v>
      </c>
      <c r="T66" s="228">
        <v>-0.61</v>
      </c>
      <c r="U66" s="229">
        <v>-3.3999999999999998E-3</v>
      </c>
      <c r="V66" s="228">
        <v>182.18</v>
      </c>
      <c r="W66" s="228">
        <v>182.49</v>
      </c>
      <c r="X66" s="228">
        <v>-0.31</v>
      </c>
      <c r="Y66" s="229">
        <v>-1.6999999999999999E-3</v>
      </c>
      <c r="Z66" s="228">
        <v>-0.21</v>
      </c>
      <c r="AA66" s="228">
        <v>-0.23</v>
      </c>
      <c r="AB66" s="228">
        <v>0.02</v>
      </c>
      <c r="AC66" s="229">
        <v>-1.1999999999999999E-3</v>
      </c>
      <c r="AD66" s="228">
        <v>-0.21</v>
      </c>
      <c r="AE66" s="228">
        <v>-0.23</v>
      </c>
      <c r="AF66" s="228">
        <v>0.02</v>
      </c>
      <c r="AG66" s="229">
        <v>-1.1999999999999999E-3</v>
      </c>
      <c r="AH66" s="228">
        <v>0.7</v>
      </c>
      <c r="AI66" s="228">
        <v>0.46</v>
      </c>
      <c r="AJ66" s="228">
        <v>0.24</v>
      </c>
      <c r="AK66" s="229">
        <v>3.8999999999999998E-3</v>
      </c>
      <c r="AL66" s="228">
        <v>2.0099999999999998</v>
      </c>
      <c r="AM66" s="228">
        <v>1.47</v>
      </c>
      <c r="AN66" s="228">
        <v>0.54</v>
      </c>
      <c r="AO66" s="229">
        <v>1.12E-2</v>
      </c>
      <c r="AP66" s="228">
        <v>180.4</v>
      </c>
      <c r="AQ66" s="228">
        <v>181.32</v>
      </c>
      <c r="AR66" s="228">
        <v>0</v>
      </c>
      <c r="AS66" s="228">
        <v>959</v>
      </c>
      <c r="AT66" s="230">
        <v>1355</v>
      </c>
      <c r="AU66" s="228">
        <v>-396</v>
      </c>
      <c r="AV66" s="229">
        <v>-0.29220000000000002</v>
      </c>
      <c r="AW66" s="228">
        <v>451</v>
      </c>
      <c r="AX66" s="228">
        <v>706</v>
      </c>
      <c r="AY66" s="228">
        <v>-256</v>
      </c>
      <c r="AZ66" s="229">
        <v>-0.36220000000000002</v>
      </c>
      <c r="BA66" s="228">
        <v>496</v>
      </c>
      <c r="BB66" s="228">
        <v>641</v>
      </c>
      <c r="BC66" s="228">
        <v>-146</v>
      </c>
      <c r="BD66" s="229">
        <v>-0.2271</v>
      </c>
      <c r="BE66" s="228">
        <v>13</v>
      </c>
      <c r="BF66" s="228">
        <v>7</v>
      </c>
      <c r="BG66" s="228">
        <v>6</v>
      </c>
      <c r="BH66" s="229">
        <v>0.78739999999999999</v>
      </c>
      <c r="BI66" s="228">
        <v>541</v>
      </c>
      <c r="BJ66" s="228">
        <v>834</v>
      </c>
      <c r="BK66" s="228">
        <v>-294</v>
      </c>
      <c r="BL66" s="229">
        <v>-0.35199999999999998</v>
      </c>
      <c r="BM66" s="228">
        <v>236</v>
      </c>
      <c r="BN66" s="228">
        <v>410</v>
      </c>
      <c r="BO66" s="228">
        <v>-175</v>
      </c>
      <c r="BP66" s="229">
        <v>-0.42620000000000002</v>
      </c>
      <c r="BQ66" s="230">
        <v>1735</v>
      </c>
      <c r="BR66" s="230">
        <v>2600</v>
      </c>
      <c r="BS66" s="228">
        <v>-864</v>
      </c>
      <c r="BT66" s="229">
        <v>-0.33250000000000002</v>
      </c>
      <c r="BU66" s="230">
        <v>8350184</v>
      </c>
      <c r="BV66" s="230">
        <v>16712160</v>
      </c>
      <c r="BW66" s="230">
        <v>-8361976</v>
      </c>
      <c r="BX66" s="229">
        <v>-0.50039999999999996</v>
      </c>
      <c r="BY66" s="230">
        <v>1592</v>
      </c>
      <c r="BZ66" s="230">
        <v>1621</v>
      </c>
      <c r="CA66" s="228">
        <v>-29</v>
      </c>
      <c r="CB66" s="229">
        <v>-1.78E-2</v>
      </c>
      <c r="CC66" s="228">
        <v>306</v>
      </c>
      <c r="CD66" s="228">
        <v>675</v>
      </c>
      <c r="CE66" s="228">
        <v>-369</v>
      </c>
      <c r="CF66" s="229">
        <v>-0.54669999999999996</v>
      </c>
      <c r="CG66" s="230">
        <v>1253</v>
      </c>
      <c r="CH66" s="228">
        <v>922</v>
      </c>
      <c r="CI66" s="228">
        <v>331</v>
      </c>
      <c r="CJ66" s="229">
        <v>0.35899999999999999</v>
      </c>
      <c r="CK66" s="228">
        <v>33</v>
      </c>
      <c r="CL66" s="228">
        <v>24</v>
      </c>
      <c r="CM66" s="228">
        <v>9</v>
      </c>
      <c r="CN66" s="229">
        <v>0.36659999999999998</v>
      </c>
      <c r="CO66" s="228">
        <v>720</v>
      </c>
      <c r="CP66" s="228">
        <v>713</v>
      </c>
      <c r="CQ66" s="228">
        <v>7</v>
      </c>
      <c r="CR66" s="229">
        <v>1.0500000000000001E-2</v>
      </c>
      <c r="CS66" s="228">
        <v>501</v>
      </c>
      <c r="CT66" s="228">
        <v>477</v>
      </c>
      <c r="CU66" s="228">
        <v>24</v>
      </c>
      <c r="CV66" s="229">
        <v>5.04E-2</v>
      </c>
      <c r="CW66" s="230">
        <v>2814</v>
      </c>
      <c r="CX66" s="230">
        <v>2811</v>
      </c>
      <c r="CY66" s="228">
        <v>3</v>
      </c>
      <c r="CZ66" s="229">
        <v>1E-3</v>
      </c>
      <c r="DA66" s="228">
        <v>26.8</v>
      </c>
      <c r="DB66" s="228">
        <v>24.85</v>
      </c>
      <c r="DC66" s="228">
        <v>1.95</v>
      </c>
      <c r="DD66" s="228">
        <v>1.95</v>
      </c>
      <c r="DE66" s="228">
        <v>35.979999999999997</v>
      </c>
      <c r="DF66" s="228">
        <v>36.07</v>
      </c>
      <c r="DG66" s="228">
        <v>-9.18</v>
      </c>
      <c r="DH66" s="228">
        <v>-0.09</v>
      </c>
      <c r="DI66" s="228">
        <v>27.14</v>
      </c>
      <c r="DJ66" s="228">
        <v>25.25</v>
      </c>
      <c r="DK66" s="228">
        <v>1.89</v>
      </c>
      <c r="DL66" s="228">
        <v>1.89</v>
      </c>
      <c r="DM66" s="228">
        <v>26.13</v>
      </c>
      <c r="DN66" s="228">
        <v>24.04</v>
      </c>
      <c r="DO66" s="228">
        <v>2.09</v>
      </c>
      <c r="DP66" s="228">
        <v>2.09</v>
      </c>
      <c r="DQ66" s="228">
        <v>0.7</v>
      </c>
      <c r="DR66" s="228">
        <v>0.67</v>
      </c>
      <c r="DS66" s="228">
        <v>0.03</v>
      </c>
      <c r="DT66" s="229">
        <v>4.48E-2</v>
      </c>
      <c r="DU66" s="228">
        <v>190</v>
      </c>
      <c r="DV66" s="228">
        <v>180</v>
      </c>
      <c r="DW66" s="228">
        <v>0.44</v>
      </c>
      <c r="DX66" s="228">
        <v>0.49</v>
      </c>
      <c r="DY66" s="228">
        <v>-0.05</v>
      </c>
      <c r="DZ66" s="229">
        <v>-0.10199999999999999</v>
      </c>
      <c r="EA66" s="229">
        <v>0.80789999999999995</v>
      </c>
      <c r="EB66" s="230">
        <v>52586100</v>
      </c>
      <c r="EC66" s="229">
        <v>5.1000000000000004E-3</v>
      </c>
      <c r="ED66" s="229">
        <v>0.80789999999999995</v>
      </c>
      <c r="EE66" s="228">
        <v>0.92</v>
      </c>
      <c r="EF66" s="229">
        <v>5.1000000000000004E-3</v>
      </c>
      <c r="EG66" s="230">
        <v>5225220</v>
      </c>
      <c r="EH66" s="230">
        <v>11899948</v>
      </c>
      <c r="EI66" s="229">
        <v>-0.56089999999999995</v>
      </c>
      <c r="EJ66" s="229">
        <v>0.62580000000000002</v>
      </c>
      <c r="EK66" s="228">
        <v>562.32000000000005</v>
      </c>
      <c r="EL66" s="228">
        <v>241.2</v>
      </c>
      <c r="EM66" s="228">
        <v>963.95</v>
      </c>
      <c r="EN66" s="228">
        <v>109.84</v>
      </c>
      <c r="EO66" s="231">
        <v>1767.47</v>
      </c>
      <c r="EP66" s="231">
        <v>2660.24</v>
      </c>
      <c r="EQ66" s="228">
        <v>-892.77</v>
      </c>
      <c r="ER66" s="229">
        <v>-0.33560000000000001</v>
      </c>
      <c r="ES66" s="228">
        <v>749.51</v>
      </c>
      <c r="ET66" s="228">
        <v>503.98</v>
      </c>
      <c r="EU66" s="231">
        <v>1598.81</v>
      </c>
      <c r="EV66" s="231">
        <v>402429848</v>
      </c>
      <c r="EW66" s="231">
        <v>2852.31</v>
      </c>
      <c r="EX66" s="231">
        <v>2851.94</v>
      </c>
      <c r="EY66" s="228">
        <v>0.37</v>
      </c>
      <c r="EZ66" s="229">
        <v>1E-4</v>
      </c>
      <c r="FA66" s="229">
        <v>0.38850000000000001</v>
      </c>
      <c r="FB66" s="227" t="s">
        <v>568</v>
      </c>
      <c r="FC66">
        <f t="shared" si="0"/>
        <v>1286</v>
      </c>
    </row>
    <row r="67" spans="1:159" ht="17.25" thickBot="1" x14ac:dyDescent="0.3">
      <c r="A67" s="226">
        <v>45957</v>
      </c>
      <c r="B67" s="227" t="s">
        <v>170</v>
      </c>
      <c r="C67" s="227" t="s">
        <v>214</v>
      </c>
      <c r="D67" s="228">
        <v>375</v>
      </c>
      <c r="E67" s="228">
        <v>1</v>
      </c>
      <c r="F67" s="231">
        <v>1817.3</v>
      </c>
      <c r="G67" s="231">
        <v>1817.7</v>
      </c>
      <c r="H67" s="228">
        <v>-0.4</v>
      </c>
      <c r="I67" s="229">
        <v>-2.0000000000000001E-4</v>
      </c>
      <c r="J67" s="231">
        <v>1812.7</v>
      </c>
      <c r="K67" s="231">
        <v>1818.8</v>
      </c>
      <c r="L67" s="228">
        <v>-6.1</v>
      </c>
      <c r="M67" s="229">
        <v>-3.3999999999999998E-3</v>
      </c>
      <c r="N67" s="231">
        <v>1817.3</v>
      </c>
      <c r="O67" s="231">
        <v>1817.7</v>
      </c>
      <c r="P67" s="228">
        <v>-0.4</v>
      </c>
      <c r="Q67" s="229">
        <v>-2.0000000000000001E-4</v>
      </c>
      <c r="R67" s="231">
        <v>1826.7</v>
      </c>
      <c r="S67" s="231">
        <v>1828.3</v>
      </c>
      <c r="T67" s="228">
        <v>-1.6</v>
      </c>
      <c r="U67" s="229">
        <v>-8.9999999999999998E-4</v>
      </c>
      <c r="V67" s="231">
        <v>1837.9</v>
      </c>
      <c r="W67" s="231">
        <v>1839</v>
      </c>
      <c r="X67" s="228">
        <v>-1.1000000000000001</v>
      </c>
      <c r="Y67" s="229">
        <v>-5.9999999999999995E-4</v>
      </c>
      <c r="Z67" s="228">
        <v>4.5999999999999996</v>
      </c>
      <c r="AA67" s="228">
        <v>-1.1000000000000001</v>
      </c>
      <c r="AB67" s="228">
        <v>5.7</v>
      </c>
      <c r="AC67" s="229">
        <v>2.5000000000000001E-3</v>
      </c>
      <c r="AD67" s="228">
        <v>4.5999999999999996</v>
      </c>
      <c r="AE67" s="228">
        <v>-1.1000000000000001</v>
      </c>
      <c r="AF67" s="228">
        <v>5.7</v>
      </c>
      <c r="AG67" s="229">
        <v>2.5000000000000001E-3</v>
      </c>
      <c r="AH67" s="228">
        <v>14</v>
      </c>
      <c r="AI67" s="228">
        <v>9.5</v>
      </c>
      <c r="AJ67" s="228">
        <v>4.5</v>
      </c>
      <c r="AK67" s="229">
        <v>7.7000000000000002E-3</v>
      </c>
      <c r="AL67" s="228">
        <v>25.2</v>
      </c>
      <c r="AM67" s="228">
        <v>20.2</v>
      </c>
      <c r="AN67" s="228">
        <v>5</v>
      </c>
      <c r="AO67" s="229">
        <v>1.3899999999999999E-2</v>
      </c>
      <c r="AP67" s="231">
        <v>1821.33</v>
      </c>
      <c r="AQ67" s="231">
        <v>1830.82</v>
      </c>
      <c r="AR67" s="228">
        <v>0</v>
      </c>
      <c r="AS67" s="230">
        <v>1132</v>
      </c>
      <c r="AT67" s="230">
        <v>1303</v>
      </c>
      <c r="AU67" s="228">
        <v>-171</v>
      </c>
      <c r="AV67" s="229">
        <v>-0.13100000000000001</v>
      </c>
      <c r="AW67" s="228">
        <v>456</v>
      </c>
      <c r="AX67" s="228">
        <v>637</v>
      </c>
      <c r="AY67" s="228">
        <v>-181</v>
      </c>
      <c r="AZ67" s="229">
        <v>-0.28460000000000002</v>
      </c>
      <c r="BA67" s="228">
        <v>671</v>
      </c>
      <c r="BB67" s="228">
        <v>663</v>
      </c>
      <c r="BC67" s="228">
        <v>8</v>
      </c>
      <c r="BD67" s="229">
        <v>1.15E-2</v>
      </c>
      <c r="BE67" s="228">
        <v>5</v>
      </c>
      <c r="BF67" s="228">
        <v>2</v>
      </c>
      <c r="BG67" s="228">
        <v>3</v>
      </c>
      <c r="BH67" s="229">
        <v>1.3938999999999999</v>
      </c>
      <c r="BI67" s="228">
        <v>943</v>
      </c>
      <c r="BJ67" s="228">
        <v>743</v>
      </c>
      <c r="BK67" s="228">
        <v>199</v>
      </c>
      <c r="BL67" s="229">
        <v>0.26790000000000003</v>
      </c>
      <c r="BM67" s="228">
        <v>249</v>
      </c>
      <c r="BN67" s="228">
        <v>291</v>
      </c>
      <c r="BO67" s="228">
        <v>-42</v>
      </c>
      <c r="BP67" s="229">
        <v>-0.14449999999999999</v>
      </c>
      <c r="BQ67" s="230">
        <v>2324</v>
      </c>
      <c r="BR67" s="230">
        <v>2337</v>
      </c>
      <c r="BS67" s="228">
        <v>-14</v>
      </c>
      <c r="BT67" s="229">
        <v>-5.7999999999999996E-3</v>
      </c>
      <c r="BU67" s="230">
        <v>1264432</v>
      </c>
      <c r="BV67" s="230">
        <v>546568</v>
      </c>
      <c r="BW67" s="230">
        <v>717864</v>
      </c>
      <c r="BX67" s="229">
        <v>1.3133999999999999</v>
      </c>
      <c r="BY67" s="230">
        <v>1694</v>
      </c>
      <c r="BZ67" s="230">
        <v>1572</v>
      </c>
      <c r="CA67" s="228">
        <v>122</v>
      </c>
      <c r="CB67" s="229">
        <v>7.7700000000000005E-2</v>
      </c>
      <c r="CC67" s="228">
        <v>256</v>
      </c>
      <c r="CD67" s="228">
        <v>634</v>
      </c>
      <c r="CE67" s="228">
        <v>-379</v>
      </c>
      <c r="CF67" s="229">
        <v>-0.5968</v>
      </c>
      <c r="CG67" s="230">
        <v>1432</v>
      </c>
      <c r="CH67" s="228">
        <v>933</v>
      </c>
      <c r="CI67" s="228">
        <v>499</v>
      </c>
      <c r="CJ67" s="229">
        <v>0.53459999999999996</v>
      </c>
      <c r="CK67" s="228">
        <v>7</v>
      </c>
      <c r="CL67" s="228">
        <v>5</v>
      </c>
      <c r="CM67" s="228">
        <v>2</v>
      </c>
      <c r="CN67" s="229">
        <v>0.44119999999999998</v>
      </c>
      <c r="CO67" s="228">
        <v>530</v>
      </c>
      <c r="CP67" s="228">
        <v>511</v>
      </c>
      <c r="CQ67" s="228">
        <v>19</v>
      </c>
      <c r="CR67" s="229">
        <v>3.6600000000000001E-2</v>
      </c>
      <c r="CS67" s="228">
        <v>283</v>
      </c>
      <c r="CT67" s="228">
        <v>270</v>
      </c>
      <c r="CU67" s="228">
        <v>13</v>
      </c>
      <c r="CV67" s="229">
        <v>0.05</v>
      </c>
      <c r="CW67" s="230">
        <v>2507</v>
      </c>
      <c r="CX67" s="230">
        <v>2353</v>
      </c>
      <c r="CY67" s="228">
        <v>154</v>
      </c>
      <c r="CZ67" s="229">
        <v>6.5600000000000006E-2</v>
      </c>
      <c r="DA67" s="228">
        <v>31.29</v>
      </c>
      <c r="DB67" s="228">
        <v>30.87</v>
      </c>
      <c r="DC67" s="228">
        <v>0.42</v>
      </c>
      <c r="DD67" s="228">
        <v>0.42</v>
      </c>
      <c r="DE67" s="228">
        <v>37.74</v>
      </c>
      <c r="DF67" s="228">
        <v>37.83</v>
      </c>
      <c r="DG67" s="228">
        <v>-6.45</v>
      </c>
      <c r="DH67" s="228">
        <v>-0.09</v>
      </c>
      <c r="DI67" s="228">
        <v>31.23</v>
      </c>
      <c r="DJ67" s="228">
        <v>31.01</v>
      </c>
      <c r="DK67" s="228">
        <v>0.22</v>
      </c>
      <c r="DL67" s="228">
        <v>0.22</v>
      </c>
      <c r="DM67" s="228">
        <v>31.48</v>
      </c>
      <c r="DN67" s="228">
        <v>30.58</v>
      </c>
      <c r="DO67" s="228">
        <v>0.9</v>
      </c>
      <c r="DP67" s="228">
        <v>0.9</v>
      </c>
      <c r="DQ67" s="228">
        <v>0.53</v>
      </c>
      <c r="DR67" s="228">
        <v>0.53</v>
      </c>
      <c r="DS67" s="228">
        <v>0</v>
      </c>
      <c r="DT67" s="229">
        <v>0</v>
      </c>
      <c r="DU67" s="231">
        <v>2000</v>
      </c>
      <c r="DV67" s="231">
        <v>1800</v>
      </c>
      <c r="DW67" s="228">
        <v>0.26</v>
      </c>
      <c r="DX67" s="228">
        <v>0.39</v>
      </c>
      <c r="DY67" s="228">
        <v>-0.13</v>
      </c>
      <c r="DZ67" s="229">
        <v>-0.33329999999999999</v>
      </c>
      <c r="EA67" s="229">
        <v>0.84899999999999998</v>
      </c>
      <c r="EB67" s="230">
        <v>5159250</v>
      </c>
      <c r="EC67" s="229">
        <v>5.1999999999999998E-3</v>
      </c>
      <c r="ED67" s="229">
        <v>0.84899999999999998</v>
      </c>
      <c r="EE67" s="228">
        <v>9.49</v>
      </c>
      <c r="EF67" s="229">
        <v>5.1999999999999998E-3</v>
      </c>
      <c r="EG67" s="230">
        <v>894706</v>
      </c>
      <c r="EH67" s="230">
        <v>306657</v>
      </c>
      <c r="EI67" s="229">
        <v>1.9176</v>
      </c>
      <c r="EJ67" s="229">
        <v>0.70760000000000001</v>
      </c>
      <c r="EK67" s="228">
        <v>984.67</v>
      </c>
      <c r="EL67" s="228">
        <v>253.37</v>
      </c>
      <c r="EM67" s="231">
        <v>1138.0899999999999</v>
      </c>
      <c r="EN67" s="228">
        <v>82.77</v>
      </c>
      <c r="EO67" s="231">
        <v>2376.14</v>
      </c>
      <c r="EP67" s="231">
        <v>2406.71</v>
      </c>
      <c r="EQ67" s="228">
        <v>-30.58</v>
      </c>
      <c r="ER67" s="229">
        <v>-1.2699999999999999E-2</v>
      </c>
      <c r="ES67" s="228">
        <v>572.02</v>
      </c>
      <c r="ET67" s="228">
        <v>289.35000000000002</v>
      </c>
      <c r="EU67" s="231">
        <v>1701.73</v>
      </c>
      <c r="EV67" s="231">
        <v>22585180</v>
      </c>
      <c r="EW67" s="231">
        <v>2563.1</v>
      </c>
      <c r="EX67" s="231">
        <v>2409.88</v>
      </c>
      <c r="EY67" s="228">
        <v>153.22</v>
      </c>
      <c r="EZ67" s="229">
        <v>6.3600000000000004E-2</v>
      </c>
      <c r="FA67" s="229">
        <v>0.61080000000000001</v>
      </c>
      <c r="FB67" s="227" t="s">
        <v>567</v>
      </c>
      <c r="FC67">
        <f t="shared" ref="FC67:FC130" si="1">BY67-CC67</f>
        <v>1438</v>
      </c>
    </row>
    <row r="68" spans="1:159" ht="17.25" thickBot="1" x14ac:dyDescent="0.3">
      <c r="A68" s="226">
        <v>45957</v>
      </c>
      <c r="B68" s="227" t="s">
        <v>215</v>
      </c>
      <c r="C68" s="227" t="s">
        <v>631</v>
      </c>
      <c r="D68" s="228">
        <v>6975</v>
      </c>
      <c r="E68" s="228">
        <v>1</v>
      </c>
      <c r="F68" s="228">
        <v>92.51</v>
      </c>
      <c r="G68" s="228">
        <v>93.13</v>
      </c>
      <c r="H68" s="228">
        <v>-0.62</v>
      </c>
      <c r="I68" s="229">
        <v>-6.7000000000000002E-3</v>
      </c>
      <c r="J68" s="228">
        <v>92.34</v>
      </c>
      <c r="K68" s="228">
        <v>93.2</v>
      </c>
      <c r="L68" s="228">
        <v>-0.86</v>
      </c>
      <c r="M68" s="229">
        <v>-9.1999999999999998E-3</v>
      </c>
      <c r="N68" s="228">
        <v>92.51</v>
      </c>
      <c r="O68" s="228">
        <v>93.13</v>
      </c>
      <c r="P68" s="228">
        <v>-0.62</v>
      </c>
      <c r="Q68" s="229">
        <v>-6.7000000000000002E-3</v>
      </c>
      <c r="R68" s="228">
        <v>93.02</v>
      </c>
      <c r="S68" s="228">
        <v>93.66</v>
      </c>
      <c r="T68" s="228">
        <v>-0.64</v>
      </c>
      <c r="U68" s="229">
        <v>-6.7999999999999996E-3</v>
      </c>
      <c r="V68" s="228">
        <v>93.63</v>
      </c>
      <c r="W68" s="228">
        <v>94.33</v>
      </c>
      <c r="X68" s="228">
        <v>-0.7</v>
      </c>
      <c r="Y68" s="229">
        <v>-7.4000000000000003E-3</v>
      </c>
      <c r="Z68" s="228">
        <v>0.17</v>
      </c>
      <c r="AA68" s="228">
        <v>-7.0000000000000007E-2</v>
      </c>
      <c r="AB68" s="228">
        <v>0.24</v>
      </c>
      <c r="AC68" s="229">
        <v>1.8E-3</v>
      </c>
      <c r="AD68" s="228">
        <v>0.17</v>
      </c>
      <c r="AE68" s="228">
        <v>-7.0000000000000007E-2</v>
      </c>
      <c r="AF68" s="228">
        <v>0.24</v>
      </c>
      <c r="AG68" s="229">
        <v>1.8E-3</v>
      </c>
      <c r="AH68" s="228">
        <v>0.68</v>
      </c>
      <c r="AI68" s="228">
        <v>0.46</v>
      </c>
      <c r="AJ68" s="228">
        <v>0.22</v>
      </c>
      <c r="AK68" s="229">
        <v>7.4000000000000003E-3</v>
      </c>
      <c r="AL68" s="228">
        <v>1.29</v>
      </c>
      <c r="AM68" s="228">
        <v>1.1299999999999999</v>
      </c>
      <c r="AN68" s="228">
        <v>0.16</v>
      </c>
      <c r="AO68" s="229">
        <v>1.4E-2</v>
      </c>
      <c r="AP68" s="228">
        <v>92.56</v>
      </c>
      <c r="AQ68" s="228">
        <v>93.08</v>
      </c>
      <c r="AR68" s="228">
        <v>0</v>
      </c>
      <c r="AS68" s="230">
        <v>1030</v>
      </c>
      <c r="AT68" s="230">
        <v>1471</v>
      </c>
      <c r="AU68" s="228">
        <v>-441</v>
      </c>
      <c r="AV68" s="229">
        <v>-0.29970000000000002</v>
      </c>
      <c r="AW68" s="228">
        <v>488</v>
      </c>
      <c r="AX68" s="228">
        <v>745</v>
      </c>
      <c r="AY68" s="228">
        <v>-258</v>
      </c>
      <c r="AZ68" s="229">
        <v>-0.34570000000000001</v>
      </c>
      <c r="BA68" s="228">
        <v>525</v>
      </c>
      <c r="BB68" s="228">
        <v>721</v>
      </c>
      <c r="BC68" s="228">
        <v>-196</v>
      </c>
      <c r="BD68" s="229">
        <v>-0.27210000000000001</v>
      </c>
      <c r="BE68" s="228">
        <v>18</v>
      </c>
      <c r="BF68" s="228">
        <v>5</v>
      </c>
      <c r="BG68" s="228">
        <v>13</v>
      </c>
      <c r="BH68" s="229">
        <v>2.5640999999999998</v>
      </c>
      <c r="BI68" s="228">
        <v>546</v>
      </c>
      <c r="BJ68" s="230">
        <v>1358</v>
      </c>
      <c r="BK68" s="228">
        <v>-812</v>
      </c>
      <c r="BL68" s="229">
        <v>-0.59789999999999999</v>
      </c>
      <c r="BM68" s="228">
        <v>229</v>
      </c>
      <c r="BN68" s="228">
        <v>484</v>
      </c>
      <c r="BO68" s="228">
        <v>-255</v>
      </c>
      <c r="BP68" s="229">
        <v>-0.52659999999999996</v>
      </c>
      <c r="BQ68" s="230">
        <v>1805</v>
      </c>
      <c r="BR68" s="230">
        <v>3313</v>
      </c>
      <c r="BS68" s="230">
        <v>-1508</v>
      </c>
      <c r="BT68" s="229">
        <v>-0.4551</v>
      </c>
      <c r="BU68" s="230">
        <v>9440624</v>
      </c>
      <c r="BV68" s="230">
        <v>27201354</v>
      </c>
      <c r="BW68" s="230">
        <v>-17760730</v>
      </c>
      <c r="BX68" s="229">
        <v>-0.65290000000000004</v>
      </c>
      <c r="BY68" s="230">
        <v>2131</v>
      </c>
      <c r="BZ68" s="230">
        <v>2073</v>
      </c>
      <c r="CA68" s="228">
        <v>57</v>
      </c>
      <c r="CB68" s="229">
        <v>2.76E-2</v>
      </c>
      <c r="CC68" s="228">
        <v>509</v>
      </c>
      <c r="CD68" s="228">
        <v>892</v>
      </c>
      <c r="CE68" s="228">
        <v>-383</v>
      </c>
      <c r="CF68" s="229">
        <v>-0.42980000000000002</v>
      </c>
      <c r="CG68" s="230">
        <v>1600</v>
      </c>
      <c r="CH68" s="230">
        <v>1174</v>
      </c>
      <c r="CI68" s="228">
        <v>426</v>
      </c>
      <c r="CJ68" s="229">
        <v>0.36249999999999999</v>
      </c>
      <c r="CK68" s="228">
        <v>22</v>
      </c>
      <c r="CL68" s="228">
        <v>7</v>
      </c>
      <c r="CM68" s="228">
        <v>15</v>
      </c>
      <c r="CN68" s="229">
        <v>2.0901000000000001</v>
      </c>
      <c r="CO68" s="228">
        <v>862</v>
      </c>
      <c r="CP68" s="228">
        <v>851</v>
      </c>
      <c r="CQ68" s="228">
        <v>11</v>
      </c>
      <c r="CR68" s="229">
        <v>1.34E-2</v>
      </c>
      <c r="CS68" s="228">
        <v>432</v>
      </c>
      <c r="CT68" s="228">
        <v>403</v>
      </c>
      <c r="CU68" s="228">
        <v>29</v>
      </c>
      <c r="CV68" s="229">
        <v>7.1999999999999995E-2</v>
      </c>
      <c r="CW68" s="230">
        <v>3425</v>
      </c>
      <c r="CX68" s="230">
        <v>3328</v>
      </c>
      <c r="CY68" s="228">
        <v>98</v>
      </c>
      <c r="CZ68" s="229">
        <v>2.93E-2</v>
      </c>
      <c r="DA68" s="228">
        <v>28.39</v>
      </c>
      <c r="DB68" s="228">
        <v>28.08</v>
      </c>
      <c r="DC68" s="228">
        <v>0.31</v>
      </c>
      <c r="DD68" s="228">
        <v>0.31</v>
      </c>
      <c r="DE68" s="228">
        <v>36.909999999999997</v>
      </c>
      <c r="DF68" s="228">
        <v>37</v>
      </c>
      <c r="DG68" s="228">
        <v>-8.52</v>
      </c>
      <c r="DH68" s="228">
        <v>-0.09</v>
      </c>
      <c r="DI68" s="228">
        <v>28.77</v>
      </c>
      <c r="DJ68" s="228">
        <v>28.25</v>
      </c>
      <c r="DK68" s="228">
        <v>0.52</v>
      </c>
      <c r="DL68" s="228">
        <v>0.52</v>
      </c>
      <c r="DM68" s="228">
        <v>27.42</v>
      </c>
      <c r="DN68" s="228">
        <v>27.31</v>
      </c>
      <c r="DO68" s="228">
        <v>0.11</v>
      </c>
      <c r="DP68" s="228">
        <v>0.11</v>
      </c>
      <c r="DQ68" s="228">
        <v>0.5</v>
      </c>
      <c r="DR68" s="228">
        <v>0.47</v>
      </c>
      <c r="DS68" s="228">
        <v>0.03</v>
      </c>
      <c r="DT68" s="229">
        <v>6.3799999999999996E-2</v>
      </c>
      <c r="DU68" s="228">
        <v>95</v>
      </c>
      <c r="DV68" s="228">
        <v>85</v>
      </c>
      <c r="DW68" s="228">
        <v>0.42</v>
      </c>
      <c r="DX68" s="228">
        <v>0.36</v>
      </c>
      <c r="DY68" s="228">
        <v>0.06</v>
      </c>
      <c r="DZ68" s="229">
        <v>0.16669999999999999</v>
      </c>
      <c r="EA68" s="229">
        <v>0.76129999999999998</v>
      </c>
      <c r="EB68" s="230">
        <v>127705275</v>
      </c>
      <c r="EC68" s="229">
        <v>5.4999999999999997E-3</v>
      </c>
      <c r="ED68" s="229">
        <v>0.76129999999999998</v>
      </c>
      <c r="EE68" s="228">
        <v>0.52</v>
      </c>
      <c r="EF68" s="229">
        <v>5.5999999999999999E-3</v>
      </c>
      <c r="EG68" s="230">
        <v>5894383</v>
      </c>
      <c r="EH68" s="230">
        <v>15803004</v>
      </c>
      <c r="EI68" s="229">
        <v>-0.627</v>
      </c>
      <c r="EJ68" s="229">
        <v>0.62439999999999996</v>
      </c>
      <c r="EK68" s="228">
        <v>565.77</v>
      </c>
      <c r="EL68" s="228">
        <v>231.39</v>
      </c>
      <c r="EM68" s="231">
        <v>1033.8499999999999</v>
      </c>
      <c r="EN68" s="228">
        <v>115.18</v>
      </c>
      <c r="EO68" s="231">
        <v>1831.01</v>
      </c>
      <c r="EP68" s="231">
        <v>3390.53</v>
      </c>
      <c r="EQ68" s="231">
        <v>-1559.52</v>
      </c>
      <c r="ER68" s="229">
        <v>-0.46</v>
      </c>
      <c r="ES68" s="228">
        <v>886.68</v>
      </c>
      <c r="ET68" s="228">
        <v>410.3</v>
      </c>
      <c r="EU68" s="231">
        <v>2139.73</v>
      </c>
      <c r="EV68" s="231">
        <v>534704421</v>
      </c>
      <c r="EW68" s="231">
        <v>3436.7</v>
      </c>
      <c r="EX68" s="231">
        <v>3351.07</v>
      </c>
      <c r="EY68" s="228">
        <v>85.63</v>
      </c>
      <c r="EZ68" s="229">
        <v>2.5600000000000001E-2</v>
      </c>
      <c r="FA68" s="229">
        <v>0.69240000000000002</v>
      </c>
      <c r="FB68" s="227" t="s">
        <v>567</v>
      </c>
      <c r="FC68">
        <f t="shared" si="1"/>
        <v>1622</v>
      </c>
    </row>
    <row r="69" spans="1:159" ht="17.25" thickBot="1" x14ac:dyDescent="0.3">
      <c r="A69" s="226">
        <v>45957</v>
      </c>
      <c r="B69" s="227" t="s">
        <v>168</v>
      </c>
      <c r="C69" s="227" t="s">
        <v>217</v>
      </c>
      <c r="D69" s="228">
        <v>500</v>
      </c>
      <c r="E69" s="228">
        <v>1</v>
      </c>
      <c r="F69" s="231">
        <v>1128.0999999999999</v>
      </c>
      <c r="G69" s="231">
        <v>1129.5</v>
      </c>
      <c r="H69" s="228">
        <v>-1.4</v>
      </c>
      <c r="I69" s="229">
        <v>-1.1999999999999999E-3</v>
      </c>
      <c r="J69" s="231">
        <v>1124.7</v>
      </c>
      <c r="K69" s="231">
        <v>1130.4000000000001</v>
      </c>
      <c r="L69" s="228">
        <v>-5.7</v>
      </c>
      <c r="M69" s="229">
        <v>-5.0000000000000001E-3</v>
      </c>
      <c r="N69" s="231">
        <v>1128.0999999999999</v>
      </c>
      <c r="O69" s="231">
        <v>1129.5</v>
      </c>
      <c r="P69" s="228">
        <v>-1.4</v>
      </c>
      <c r="Q69" s="229">
        <v>-1.1999999999999999E-3</v>
      </c>
      <c r="R69" s="231">
        <v>1115.8</v>
      </c>
      <c r="S69" s="231">
        <v>1121</v>
      </c>
      <c r="T69" s="228">
        <v>-5.2</v>
      </c>
      <c r="U69" s="229">
        <v>-4.5999999999999999E-3</v>
      </c>
      <c r="V69" s="231">
        <v>1114.2</v>
      </c>
      <c r="W69" s="231">
        <v>1118.4000000000001</v>
      </c>
      <c r="X69" s="228">
        <v>-4.2</v>
      </c>
      <c r="Y69" s="229">
        <v>-3.8E-3</v>
      </c>
      <c r="Z69" s="228">
        <v>3.4</v>
      </c>
      <c r="AA69" s="228">
        <v>-0.9</v>
      </c>
      <c r="AB69" s="228">
        <v>4.3</v>
      </c>
      <c r="AC69" s="229">
        <v>3.0000000000000001E-3</v>
      </c>
      <c r="AD69" s="228">
        <v>3.4</v>
      </c>
      <c r="AE69" s="228">
        <v>-0.9</v>
      </c>
      <c r="AF69" s="228">
        <v>4.3</v>
      </c>
      <c r="AG69" s="229">
        <v>3.0000000000000001E-3</v>
      </c>
      <c r="AH69" s="228">
        <v>-8.9</v>
      </c>
      <c r="AI69" s="228">
        <v>-9.4</v>
      </c>
      <c r="AJ69" s="228">
        <v>0.5</v>
      </c>
      <c r="AK69" s="229">
        <v>-7.9000000000000008E-3</v>
      </c>
      <c r="AL69" s="228">
        <v>-10.5</v>
      </c>
      <c r="AM69" s="228">
        <v>-12</v>
      </c>
      <c r="AN69" s="228">
        <v>1.5</v>
      </c>
      <c r="AO69" s="229">
        <v>-9.2999999999999992E-3</v>
      </c>
      <c r="AP69" s="231">
        <v>1129.8800000000001</v>
      </c>
      <c r="AQ69" s="231">
        <v>1118.5</v>
      </c>
      <c r="AR69" s="228">
        <v>0</v>
      </c>
      <c r="AS69" s="228">
        <v>921</v>
      </c>
      <c r="AT69" s="230">
        <v>1058</v>
      </c>
      <c r="AU69" s="228">
        <v>-137</v>
      </c>
      <c r="AV69" s="229">
        <v>-0.1295</v>
      </c>
      <c r="AW69" s="228">
        <v>458</v>
      </c>
      <c r="AX69" s="228">
        <v>541</v>
      </c>
      <c r="AY69" s="228">
        <v>-83</v>
      </c>
      <c r="AZ69" s="229">
        <v>-0.15340000000000001</v>
      </c>
      <c r="BA69" s="228">
        <v>460</v>
      </c>
      <c r="BB69" s="228">
        <v>515</v>
      </c>
      <c r="BC69" s="228">
        <v>-55</v>
      </c>
      <c r="BD69" s="229">
        <v>-0.1066</v>
      </c>
      <c r="BE69" s="228">
        <v>3</v>
      </c>
      <c r="BF69" s="228">
        <v>3</v>
      </c>
      <c r="BG69" s="228">
        <v>1</v>
      </c>
      <c r="BH69" s="229">
        <v>0.27079999999999999</v>
      </c>
      <c r="BI69" s="228">
        <v>281</v>
      </c>
      <c r="BJ69" s="228">
        <v>374</v>
      </c>
      <c r="BK69" s="228">
        <v>-94</v>
      </c>
      <c r="BL69" s="229">
        <v>-0.25090000000000001</v>
      </c>
      <c r="BM69" s="228">
        <v>139</v>
      </c>
      <c r="BN69" s="228">
        <v>213</v>
      </c>
      <c r="BO69" s="228">
        <v>-74</v>
      </c>
      <c r="BP69" s="229">
        <v>-0.34610000000000002</v>
      </c>
      <c r="BQ69" s="230">
        <v>1341</v>
      </c>
      <c r="BR69" s="230">
        <v>1646</v>
      </c>
      <c r="BS69" s="228">
        <v>-305</v>
      </c>
      <c r="BT69" s="229">
        <v>-0.1852</v>
      </c>
      <c r="BU69" s="230">
        <v>1561502</v>
      </c>
      <c r="BV69" s="230">
        <v>1427381</v>
      </c>
      <c r="BW69" s="230">
        <v>134121</v>
      </c>
      <c r="BX69" s="229">
        <v>9.4E-2</v>
      </c>
      <c r="BY69" s="230">
        <v>1509</v>
      </c>
      <c r="BZ69" s="230">
        <v>1439</v>
      </c>
      <c r="CA69" s="228">
        <v>70</v>
      </c>
      <c r="CB69" s="229">
        <v>4.8899999999999999E-2</v>
      </c>
      <c r="CC69" s="228">
        <v>247</v>
      </c>
      <c r="CD69" s="228">
        <v>460</v>
      </c>
      <c r="CE69" s="228">
        <v>-213</v>
      </c>
      <c r="CF69" s="229">
        <v>-0.46250000000000002</v>
      </c>
      <c r="CG69" s="230">
        <v>1252</v>
      </c>
      <c r="CH69" s="228">
        <v>972</v>
      </c>
      <c r="CI69" s="228">
        <v>281</v>
      </c>
      <c r="CJ69" s="229">
        <v>0.28889999999999999</v>
      </c>
      <c r="CK69" s="228">
        <v>10</v>
      </c>
      <c r="CL69" s="228">
        <v>8</v>
      </c>
      <c r="CM69" s="228">
        <v>2</v>
      </c>
      <c r="CN69" s="229">
        <v>0.28989999999999999</v>
      </c>
      <c r="CO69" s="228">
        <v>328</v>
      </c>
      <c r="CP69" s="228">
        <v>371</v>
      </c>
      <c r="CQ69" s="228">
        <v>-43</v>
      </c>
      <c r="CR69" s="229">
        <v>-0.1169</v>
      </c>
      <c r="CS69" s="228">
        <v>249</v>
      </c>
      <c r="CT69" s="228">
        <v>260</v>
      </c>
      <c r="CU69" s="228">
        <v>-12</v>
      </c>
      <c r="CV69" s="229">
        <v>-4.48E-2</v>
      </c>
      <c r="CW69" s="230">
        <v>2086</v>
      </c>
      <c r="CX69" s="230">
        <v>2071</v>
      </c>
      <c r="CY69" s="228">
        <v>15</v>
      </c>
      <c r="CZ69" s="229">
        <v>7.4000000000000003E-3</v>
      </c>
      <c r="DA69" s="228">
        <v>27.36</v>
      </c>
      <c r="DB69" s="228">
        <v>26.7</v>
      </c>
      <c r="DC69" s="228">
        <v>0.66</v>
      </c>
      <c r="DD69" s="228">
        <v>0.66</v>
      </c>
      <c r="DE69" s="228">
        <v>29.51</v>
      </c>
      <c r="DF69" s="228">
        <v>29.58</v>
      </c>
      <c r="DG69" s="228">
        <v>-2.15</v>
      </c>
      <c r="DH69" s="228">
        <v>-7.0000000000000007E-2</v>
      </c>
      <c r="DI69" s="228">
        <v>27.62</v>
      </c>
      <c r="DJ69" s="228">
        <v>26.91</v>
      </c>
      <c r="DK69" s="228">
        <v>0.71</v>
      </c>
      <c r="DL69" s="228">
        <v>0.71</v>
      </c>
      <c r="DM69" s="228">
        <v>26.89</v>
      </c>
      <c r="DN69" s="228">
        <v>26.34</v>
      </c>
      <c r="DO69" s="228">
        <v>0.55000000000000004</v>
      </c>
      <c r="DP69" s="228">
        <v>0.55000000000000004</v>
      </c>
      <c r="DQ69" s="228">
        <v>0.76</v>
      </c>
      <c r="DR69" s="228">
        <v>0.7</v>
      </c>
      <c r="DS69" s="228">
        <v>0.06</v>
      </c>
      <c r="DT69" s="229">
        <v>8.5699999999999998E-2</v>
      </c>
      <c r="DU69" s="231">
        <v>1200</v>
      </c>
      <c r="DV69" s="231">
        <v>1000</v>
      </c>
      <c r="DW69" s="228">
        <v>0.5</v>
      </c>
      <c r="DX69" s="228">
        <v>0.56999999999999995</v>
      </c>
      <c r="DY69" s="228">
        <v>-7.0000000000000007E-2</v>
      </c>
      <c r="DZ69" s="229">
        <v>-0.12280000000000001</v>
      </c>
      <c r="EA69" s="229">
        <v>0.83630000000000004</v>
      </c>
      <c r="EB69" s="230">
        <v>8681000</v>
      </c>
      <c r="EC69" s="229">
        <v>-1.09E-2</v>
      </c>
      <c r="ED69" s="229">
        <v>0.83630000000000004</v>
      </c>
      <c r="EE69" s="228">
        <v>-11.38</v>
      </c>
      <c r="EF69" s="229">
        <v>-1.01E-2</v>
      </c>
      <c r="EG69" s="230">
        <v>1081482</v>
      </c>
      <c r="EH69" s="230">
        <v>903380</v>
      </c>
      <c r="EI69" s="229">
        <v>0.19719999999999999</v>
      </c>
      <c r="EJ69" s="229">
        <v>0.69259999999999999</v>
      </c>
      <c r="EK69" s="228">
        <v>294.13</v>
      </c>
      <c r="EL69" s="228">
        <v>139.37</v>
      </c>
      <c r="EM69" s="228">
        <v>918.15</v>
      </c>
      <c r="EN69" s="228">
        <v>121.4</v>
      </c>
      <c r="EO69" s="231">
        <v>1351.65</v>
      </c>
      <c r="EP69" s="231">
        <v>1653.13</v>
      </c>
      <c r="EQ69" s="228">
        <v>-301.49</v>
      </c>
      <c r="ER69" s="229">
        <v>-0.18240000000000001</v>
      </c>
      <c r="ES69" s="228">
        <v>346.21</v>
      </c>
      <c r="ET69" s="228">
        <v>240.68</v>
      </c>
      <c r="EU69" s="231">
        <v>1495.56</v>
      </c>
      <c r="EV69" s="231">
        <v>58001204</v>
      </c>
      <c r="EW69" s="231">
        <v>2082.46</v>
      </c>
      <c r="EX69" s="231">
        <v>2079.71</v>
      </c>
      <c r="EY69" s="228">
        <v>2.75</v>
      </c>
      <c r="EZ69" s="229">
        <v>1.2999999999999999E-3</v>
      </c>
      <c r="FA69" s="229">
        <v>0.31879999999999997</v>
      </c>
      <c r="FB69" s="227" t="s">
        <v>567</v>
      </c>
      <c r="FC69">
        <f t="shared" si="1"/>
        <v>1262</v>
      </c>
    </row>
    <row r="70" spans="1:159" ht="17.25" thickBot="1" x14ac:dyDescent="0.3">
      <c r="A70" s="226">
        <v>45957</v>
      </c>
      <c r="B70" s="227" t="s">
        <v>206</v>
      </c>
      <c r="C70" s="227" t="s">
        <v>218</v>
      </c>
      <c r="D70" s="228">
        <v>275</v>
      </c>
      <c r="E70" s="228">
        <v>1</v>
      </c>
      <c r="F70" s="231">
        <v>2318.1</v>
      </c>
      <c r="G70" s="231">
        <v>2284.6</v>
      </c>
      <c r="H70" s="228">
        <v>33.5</v>
      </c>
      <c r="I70" s="229">
        <v>1.47E-2</v>
      </c>
      <c r="J70" s="231">
        <v>2320.3000000000002</v>
      </c>
      <c r="K70" s="231">
        <v>2287.8000000000002</v>
      </c>
      <c r="L70" s="228">
        <v>32.5</v>
      </c>
      <c r="M70" s="229">
        <v>1.4200000000000001E-2</v>
      </c>
      <c r="N70" s="231">
        <v>2318.1</v>
      </c>
      <c r="O70" s="231">
        <v>2284.6</v>
      </c>
      <c r="P70" s="228">
        <v>33.5</v>
      </c>
      <c r="Q70" s="229">
        <v>1.47E-2</v>
      </c>
      <c r="R70" s="231">
        <v>2330.8000000000002</v>
      </c>
      <c r="S70" s="231">
        <v>2297.5</v>
      </c>
      <c r="T70" s="228">
        <v>33.299999999999997</v>
      </c>
      <c r="U70" s="229">
        <v>1.4500000000000001E-2</v>
      </c>
      <c r="V70" s="231">
        <v>2345.1999999999998</v>
      </c>
      <c r="W70" s="231">
        <v>2313.4</v>
      </c>
      <c r="X70" s="228">
        <v>31.8</v>
      </c>
      <c r="Y70" s="229">
        <v>1.37E-2</v>
      </c>
      <c r="Z70" s="228">
        <v>-2.2000000000000002</v>
      </c>
      <c r="AA70" s="228">
        <v>-3.2</v>
      </c>
      <c r="AB70" s="228">
        <v>1</v>
      </c>
      <c r="AC70" s="229">
        <v>-8.9999999999999998E-4</v>
      </c>
      <c r="AD70" s="228">
        <v>-2.2000000000000002</v>
      </c>
      <c r="AE70" s="228">
        <v>-3.2</v>
      </c>
      <c r="AF70" s="228">
        <v>1</v>
      </c>
      <c r="AG70" s="229">
        <v>-8.9999999999999998E-4</v>
      </c>
      <c r="AH70" s="228">
        <v>10.5</v>
      </c>
      <c r="AI70" s="228">
        <v>9.6999999999999993</v>
      </c>
      <c r="AJ70" s="228">
        <v>0.8</v>
      </c>
      <c r="AK70" s="229">
        <v>4.4999999999999997E-3</v>
      </c>
      <c r="AL70" s="228">
        <v>24.9</v>
      </c>
      <c r="AM70" s="228">
        <v>25.6</v>
      </c>
      <c r="AN70" s="228">
        <v>-0.7</v>
      </c>
      <c r="AO70" s="229">
        <v>1.0699999999999999E-2</v>
      </c>
      <c r="AP70" s="231">
        <v>2327.9</v>
      </c>
      <c r="AQ70" s="231">
        <v>2341.64</v>
      </c>
      <c r="AR70" s="228">
        <v>0</v>
      </c>
      <c r="AS70" s="230">
        <v>1237</v>
      </c>
      <c r="AT70" s="230">
        <v>1745</v>
      </c>
      <c r="AU70" s="228">
        <v>-508</v>
      </c>
      <c r="AV70" s="229">
        <v>-0.2913</v>
      </c>
      <c r="AW70" s="228">
        <v>582</v>
      </c>
      <c r="AX70" s="228">
        <v>875</v>
      </c>
      <c r="AY70" s="228">
        <v>-292</v>
      </c>
      <c r="AZ70" s="229">
        <v>-0.33429999999999999</v>
      </c>
      <c r="BA70" s="228">
        <v>643</v>
      </c>
      <c r="BB70" s="228">
        <v>866</v>
      </c>
      <c r="BC70" s="228">
        <v>-223</v>
      </c>
      <c r="BD70" s="229">
        <v>-0.2576</v>
      </c>
      <c r="BE70" s="228">
        <v>11</v>
      </c>
      <c r="BF70" s="228">
        <v>4</v>
      </c>
      <c r="BG70" s="228">
        <v>7</v>
      </c>
      <c r="BH70" s="229">
        <v>1.7538</v>
      </c>
      <c r="BI70" s="230">
        <v>1736</v>
      </c>
      <c r="BJ70" s="228">
        <v>876</v>
      </c>
      <c r="BK70" s="228">
        <v>860</v>
      </c>
      <c r="BL70" s="229">
        <v>0.98170000000000002</v>
      </c>
      <c r="BM70" s="228">
        <v>929</v>
      </c>
      <c r="BN70" s="228">
        <v>712</v>
      </c>
      <c r="BO70" s="228">
        <v>217</v>
      </c>
      <c r="BP70" s="229">
        <v>0.30420000000000003</v>
      </c>
      <c r="BQ70" s="230">
        <v>3902</v>
      </c>
      <c r="BR70" s="230">
        <v>3333</v>
      </c>
      <c r="BS70" s="228">
        <v>568</v>
      </c>
      <c r="BT70" s="229">
        <v>0.17050000000000001</v>
      </c>
      <c r="BU70" s="230">
        <v>975149</v>
      </c>
      <c r="BV70" s="230">
        <v>409482</v>
      </c>
      <c r="BW70" s="230">
        <v>565667</v>
      </c>
      <c r="BX70" s="229">
        <v>1.3814</v>
      </c>
      <c r="BY70" s="230">
        <v>2039</v>
      </c>
      <c r="BZ70" s="230">
        <v>2042</v>
      </c>
      <c r="CA70" s="228">
        <v>-2</v>
      </c>
      <c r="CB70" s="229">
        <v>-1.1999999999999999E-3</v>
      </c>
      <c r="CC70" s="228">
        <v>313</v>
      </c>
      <c r="CD70" s="228">
        <v>716</v>
      </c>
      <c r="CE70" s="228">
        <v>-403</v>
      </c>
      <c r="CF70" s="229">
        <v>-0.56320000000000003</v>
      </c>
      <c r="CG70" s="230">
        <v>1711</v>
      </c>
      <c r="CH70" s="230">
        <v>1315</v>
      </c>
      <c r="CI70" s="228">
        <v>395</v>
      </c>
      <c r="CJ70" s="229">
        <v>0.3004</v>
      </c>
      <c r="CK70" s="228">
        <v>16</v>
      </c>
      <c r="CL70" s="228">
        <v>11</v>
      </c>
      <c r="CM70" s="228">
        <v>5</v>
      </c>
      <c r="CN70" s="229">
        <v>0.503</v>
      </c>
      <c r="CO70" s="228">
        <v>628</v>
      </c>
      <c r="CP70" s="228">
        <v>629</v>
      </c>
      <c r="CQ70" s="228">
        <v>-1</v>
      </c>
      <c r="CR70" s="229">
        <v>-1.2999999999999999E-3</v>
      </c>
      <c r="CS70" s="228">
        <v>588</v>
      </c>
      <c r="CT70" s="228">
        <v>642</v>
      </c>
      <c r="CU70" s="228">
        <v>-53</v>
      </c>
      <c r="CV70" s="229">
        <v>-8.3299999999999999E-2</v>
      </c>
      <c r="CW70" s="230">
        <v>3256</v>
      </c>
      <c r="CX70" s="230">
        <v>3313</v>
      </c>
      <c r="CY70" s="228">
        <v>-57</v>
      </c>
      <c r="CZ70" s="229">
        <v>-1.7100000000000001E-2</v>
      </c>
      <c r="DA70" s="228">
        <v>34.1</v>
      </c>
      <c r="DB70" s="228">
        <v>33.72</v>
      </c>
      <c r="DC70" s="228">
        <v>0.38</v>
      </c>
      <c r="DD70" s="228">
        <v>0.38</v>
      </c>
      <c r="DE70" s="228">
        <v>43.99</v>
      </c>
      <c r="DF70" s="228">
        <v>44.05</v>
      </c>
      <c r="DG70" s="228">
        <v>-9.89</v>
      </c>
      <c r="DH70" s="228">
        <v>-0.06</v>
      </c>
      <c r="DI70" s="228">
        <v>33.99</v>
      </c>
      <c r="DJ70" s="228">
        <v>33.49</v>
      </c>
      <c r="DK70" s="228">
        <v>0.5</v>
      </c>
      <c r="DL70" s="228">
        <v>0.5</v>
      </c>
      <c r="DM70" s="228">
        <v>34.380000000000003</v>
      </c>
      <c r="DN70" s="228">
        <v>34</v>
      </c>
      <c r="DO70" s="228">
        <v>0.38</v>
      </c>
      <c r="DP70" s="228">
        <v>0.38</v>
      </c>
      <c r="DQ70" s="228">
        <v>0.94</v>
      </c>
      <c r="DR70" s="228">
        <v>1.02</v>
      </c>
      <c r="DS70" s="228">
        <v>-0.08</v>
      </c>
      <c r="DT70" s="229">
        <v>-7.8399999999999997E-2</v>
      </c>
      <c r="DU70" s="231">
        <v>2400</v>
      </c>
      <c r="DV70" s="231">
        <v>2100</v>
      </c>
      <c r="DW70" s="228">
        <v>0.54</v>
      </c>
      <c r="DX70" s="228">
        <v>0.81</v>
      </c>
      <c r="DY70" s="228">
        <v>-0.27</v>
      </c>
      <c r="DZ70" s="229">
        <v>-0.33329999999999999</v>
      </c>
      <c r="EA70" s="229">
        <v>0.84670000000000001</v>
      </c>
      <c r="EB70" s="230">
        <v>5720825</v>
      </c>
      <c r="EC70" s="229">
        <v>5.4999999999999997E-3</v>
      </c>
      <c r="ED70" s="229">
        <v>0.84670000000000001</v>
      </c>
      <c r="EE70" s="228">
        <v>13.74</v>
      </c>
      <c r="EF70" s="229">
        <v>5.8999999999999999E-3</v>
      </c>
      <c r="EG70" s="230">
        <v>408967</v>
      </c>
      <c r="EH70" s="230">
        <v>208904</v>
      </c>
      <c r="EI70" s="229">
        <v>0.9577</v>
      </c>
      <c r="EJ70" s="229">
        <v>0.4194</v>
      </c>
      <c r="EK70" s="231">
        <v>1788.46</v>
      </c>
      <c r="EL70" s="228">
        <v>902.12</v>
      </c>
      <c r="EM70" s="231">
        <v>1245.75</v>
      </c>
      <c r="EN70" s="228">
        <v>138.13999999999999</v>
      </c>
      <c r="EO70" s="231">
        <v>3936.34</v>
      </c>
      <c r="EP70" s="231">
        <v>3300.9</v>
      </c>
      <c r="EQ70" s="228">
        <v>635.42999999999995</v>
      </c>
      <c r="ER70" s="229">
        <v>0.1925</v>
      </c>
      <c r="ES70" s="228">
        <v>617.33000000000004</v>
      </c>
      <c r="ET70" s="228">
        <v>540.45000000000005</v>
      </c>
      <c r="EU70" s="231">
        <v>2048.91</v>
      </c>
      <c r="EV70" s="231">
        <v>24082879</v>
      </c>
      <c r="EW70" s="231">
        <v>3206.69</v>
      </c>
      <c r="EX70" s="231">
        <v>3219.13</v>
      </c>
      <c r="EY70" s="228">
        <v>-12.44</v>
      </c>
      <c r="EZ70" s="229">
        <v>-3.8999999999999998E-3</v>
      </c>
      <c r="FA70" s="229">
        <v>0.58320000000000005</v>
      </c>
      <c r="FB70" s="227" t="s">
        <v>556</v>
      </c>
      <c r="FC70">
        <f t="shared" si="1"/>
        <v>1726</v>
      </c>
    </row>
    <row r="71" spans="1:159" ht="17.25" thickBot="1" x14ac:dyDescent="0.3">
      <c r="A71" s="226">
        <v>45957</v>
      </c>
      <c r="B71" s="227" t="s">
        <v>157</v>
      </c>
      <c r="C71" s="227" t="s">
        <v>219</v>
      </c>
      <c r="D71" s="228">
        <v>250</v>
      </c>
      <c r="E71" s="228">
        <v>1</v>
      </c>
      <c r="F71" s="231">
        <v>2922.6</v>
      </c>
      <c r="G71" s="231">
        <v>2841.8</v>
      </c>
      <c r="H71" s="228">
        <v>80.8</v>
      </c>
      <c r="I71" s="229">
        <v>2.8400000000000002E-2</v>
      </c>
      <c r="J71" s="231">
        <v>2923.9</v>
      </c>
      <c r="K71" s="231">
        <v>2841.3</v>
      </c>
      <c r="L71" s="228">
        <v>82.6</v>
      </c>
      <c r="M71" s="229">
        <v>2.9100000000000001E-2</v>
      </c>
      <c r="N71" s="231">
        <v>2922.6</v>
      </c>
      <c r="O71" s="231">
        <v>2841.8</v>
      </c>
      <c r="P71" s="228">
        <v>80.8</v>
      </c>
      <c r="Q71" s="229">
        <v>2.8400000000000002E-2</v>
      </c>
      <c r="R71" s="231">
        <v>2942.4</v>
      </c>
      <c r="S71" s="231">
        <v>2859</v>
      </c>
      <c r="T71" s="228">
        <v>83.4</v>
      </c>
      <c r="U71" s="229">
        <v>2.92E-2</v>
      </c>
      <c r="V71" s="231">
        <v>2967.2</v>
      </c>
      <c r="W71" s="231">
        <v>2878.6</v>
      </c>
      <c r="X71" s="228">
        <v>88.6</v>
      </c>
      <c r="Y71" s="229">
        <v>3.0800000000000001E-2</v>
      </c>
      <c r="Z71" s="228">
        <v>-1.3</v>
      </c>
      <c r="AA71" s="228">
        <v>0.5</v>
      </c>
      <c r="AB71" s="228">
        <v>-1.8</v>
      </c>
      <c r="AC71" s="229">
        <v>-4.0000000000000002E-4</v>
      </c>
      <c r="AD71" s="228">
        <v>-1.3</v>
      </c>
      <c r="AE71" s="228">
        <v>0.5</v>
      </c>
      <c r="AF71" s="228">
        <v>-1.8</v>
      </c>
      <c r="AG71" s="229">
        <v>-4.0000000000000002E-4</v>
      </c>
      <c r="AH71" s="228">
        <v>18.5</v>
      </c>
      <c r="AI71" s="228">
        <v>17.7</v>
      </c>
      <c r="AJ71" s="228">
        <v>0.8</v>
      </c>
      <c r="AK71" s="229">
        <v>6.3E-3</v>
      </c>
      <c r="AL71" s="228">
        <v>43.3</v>
      </c>
      <c r="AM71" s="228">
        <v>37.299999999999997</v>
      </c>
      <c r="AN71" s="228">
        <v>6</v>
      </c>
      <c r="AO71" s="229">
        <v>1.4800000000000001E-2</v>
      </c>
      <c r="AP71" s="231">
        <v>2898.02</v>
      </c>
      <c r="AQ71" s="231">
        <v>2917.33</v>
      </c>
      <c r="AR71" s="228">
        <v>0</v>
      </c>
      <c r="AS71" s="230">
        <v>2191</v>
      </c>
      <c r="AT71" s="230">
        <v>3632</v>
      </c>
      <c r="AU71" s="230">
        <v>-1441</v>
      </c>
      <c r="AV71" s="229">
        <v>-0.39679999999999999</v>
      </c>
      <c r="AW71" s="228">
        <v>929</v>
      </c>
      <c r="AX71" s="230">
        <v>1774</v>
      </c>
      <c r="AY71" s="228">
        <v>-844</v>
      </c>
      <c r="AZ71" s="229">
        <v>-0.47610000000000002</v>
      </c>
      <c r="BA71" s="230">
        <v>1255</v>
      </c>
      <c r="BB71" s="230">
        <v>1855</v>
      </c>
      <c r="BC71" s="228">
        <v>-600</v>
      </c>
      <c r="BD71" s="229">
        <v>-0.32340000000000002</v>
      </c>
      <c r="BE71" s="228">
        <v>6</v>
      </c>
      <c r="BF71" s="228">
        <v>3</v>
      </c>
      <c r="BG71" s="228">
        <v>3</v>
      </c>
      <c r="BH71" s="229">
        <v>1.1282000000000001</v>
      </c>
      <c r="BI71" s="230">
        <v>2337</v>
      </c>
      <c r="BJ71" s="228">
        <v>837</v>
      </c>
      <c r="BK71" s="230">
        <v>1500</v>
      </c>
      <c r="BL71" s="229">
        <v>1.7922</v>
      </c>
      <c r="BM71" s="228">
        <v>837</v>
      </c>
      <c r="BN71" s="228">
        <v>458</v>
      </c>
      <c r="BO71" s="228">
        <v>378</v>
      </c>
      <c r="BP71" s="229">
        <v>0.8256</v>
      </c>
      <c r="BQ71" s="230">
        <v>5364</v>
      </c>
      <c r="BR71" s="230">
        <v>4927</v>
      </c>
      <c r="BS71" s="228">
        <v>437</v>
      </c>
      <c r="BT71" s="229">
        <v>8.8700000000000001E-2</v>
      </c>
      <c r="BU71" s="230">
        <v>778209</v>
      </c>
      <c r="BV71" s="230">
        <v>464526</v>
      </c>
      <c r="BW71" s="230">
        <v>313683</v>
      </c>
      <c r="BX71" s="229">
        <v>0.67530000000000001</v>
      </c>
      <c r="BY71" s="230">
        <v>4526</v>
      </c>
      <c r="BZ71" s="230">
        <v>4486</v>
      </c>
      <c r="CA71" s="228">
        <v>40</v>
      </c>
      <c r="CB71" s="229">
        <v>8.8999999999999999E-3</v>
      </c>
      <c r="CC71" s="228">
        <v>760</v>
      </c>
      <c r="CD71" s="230">
        <v>1507</v>
      </c>
      <c r="CE71" s="228">
        <v>-747</v>
      </c>
      <c r="CF71" s="229">
        <v>-0.49569999999999997</v>
      </c>
      <c r="CG71" s="230">
        <v>3756</v>
      </c>
      <c r="CH71" s="230">
        <v>2971</v>
      </c>
      <c r="CI71" s="228">
        <v>786</v>
      </c>
      <c r="CJ71" s="229">
        <v>0.26440000000000002</v>
      </c>
      <c r="CK71" s="228">
        <v>9</v>
      </c>
      <c r="CL71" s="228">
        <v>7</v>
      </c>
      <c r="CM71" s="228">
        <v>2</v>
      </c>
      <c r="CN71" s="229">
        <v>0.25740000000000002</v>
      </c>
      <c r="CO71" s="228">
        <v>645</v>
      </c>
      <c r="CP71" s="228">
        <v>534</v>
      </c>
      <c r="CQ71" s="228">
        <v>110</v>
      </c>
      <c r="CR71" s="229">
        <v>0.20680000000000001</v>
      </c>
      <c r="CS71" s="228">
        <v>404</v>
      </c>
      <c r="CT71" s="228">
        <v>321</v>
      </c>
      <c r="CU71" s="228">
        <v>83</v>
      </c>
      <c r="CV71" s="229">
        <v>0.25890000000000002</v>
      </c>
      <c r="CW71" s="230">
        <v>5574</v>
      </c>
      <c r="CX71" s="230">
        <v>5341</v>
      </c>
      <c r="CY71" s="228">
        <v>234</v>
      </c>
      <c r="CZ71" s="229">
        <v>4.3700000000000003E-2</v>
      </c>
      <c r="DA71" s="228">
        <v>24.74</v>
      </c>
      <c r="DB71" s="228">
        <v>22.31</v>
      </c>
      <c r="DC71" s="228">
        <v>2.4300000000000002</v>
      </c>
      <c r="DD71" s="228">
        <v>2.4300000000000002</v>
      </c>
      <c r="DE71" s="228">
        <v>25.53</v>
      </c>
      <c r="DF71" s="228">
        <v>25.3</v>
      </c>
      <c r="DG71" s="228">
        <v>-0.79</v>
      </c>
      <c r="DH71" s="228">
        <v>0.23</v>
      </c>
      <c r="DI71" s="228">
        <v>24.97</v>
      </c>
      <c r="DJ71" s="228">
        <v>22.42</v>
      </c>
      <c r="DK71" s="228">
        <v>2.5499999999999998</v>
      </c>
      <c r="DL71" s="228">
        <v>2.5499999999999998</v>
      </c>
      <c r="DM71" s="228">
        <v>23.97</v>
      </c>
      <c r="DN71" s="228">
        <v>22.1</v>
      </c>
      <c r="DO71" s="228">
        <v>1.87</v>
      </c>
      <c r="DP71" s="228">
        <v>1.87</v>
      </c>
      <c r="DQ71" s="228">
        <v>0.63</v>
      </c>
      <c r="DR71" s="228">
        <v>0.6</v>
      </c>
      <c r="DS71" s="228">
        <v>0.03</v>
      </c>
      <c r="DT71" s="229">
        <v>0.05</v>
      </c>
      <c r="DU71" s="231">
        <v>2960</v>
      </c>
      <c r="DV71" s="231">
        <v>2900</v>
      </c>
      <c r="DW71" s="228">
        <v>0.36</v>
      </c>
      <c r="DX71" s="228">
        <v>0.55000000000000004</v>
      </c>
      <c r="DY71" s="228">
        <v>-0.19</v>
      </c>
      <c r="DZ71" s="229">
        <v>-0.34549999999999997</v>
      </c>
      <c r="EA71" s="229">
        <v>0.83199999999999996</v>
      </c>
      <c r="EB71" s="230">
        <v>10190250</v>
      </c>
      <c r="EC71" s="229">
        <v>6.7999999999999996E-3</v>
      </c>
      <c r="ED71" s="229">
        <v>0.83199999999999996</v>
      </c>
      <c r="EE71" s="228">
        <v>19.309999999999999</v>
      </c>
      <c r="EF71" s="229">
        <v>6.7000000000000002E-3</v>
      </c>
      <c r="EG71" s="230">
        <v>414208</v>
      </c>
      <c r="EH71" s="230">
        <v>284222</v>
      </c>
      <c r="EI71" s="229">
        <v>0.45729999999999998</v>
      </c>
      <c r="EJ71" s="229">
        <v>0.5323</v>
      </c>
      <c r="EK71" s="231">
        <v>2384.4699999999998</v>
      </c>
      <c r="EL71" s="228">
        <v>815.13</v>
      </c>
      <c r="EM71" s="231">
        <v>2180.52</v>
      </c>
      <c r="EN71" s="228">
        <v>215.79</v>
      </c>
      <c r="EO71" s="231">
        <v>5380.12</v>
      </c>
      <c r="EP71" s="231">
        <v>4832.72</v>
      </c>
      <c r="EQ71" s="228">
        <v>547.41</v>
      </c>
      <c r="ER71" s="229">
        <v>0.1133</v>
      </c>
      <c r="ES71" s="228">
        <v>657.61</v>
      </c>
      <c r="ET71" s="228">
        <v>382.45</v>
      </c>
      <c r="EU71" s="231">
        <v>4551.38</v>
      </c>
      <c r="EV71" s="231">
        <v>38514157</v>
      </c>
      <c r="EW71" s="231">
        <v>5591.44</v>
      </c>
      <c r="EX71" s="231">
        <v>5221.67</v>
      </c>
      <c r="EY71" s="228">
        <v>369.77</v>
      </c>
      <c r="EZ71" s="229">
        <v>7.0800000000000002E-2</v>
      </c>
      <c r="FA71" s="229">
        <v>0.49519999999999997</v>
      </c>
      <c r="FB71" s="227" t="s">
        <v>555</v>
      </c>
      <c r="FC71">
        <f t="shared" si="1"/>
        <v>3766</v>
      </c>
    </row>
    <row r="72" spans="1:159" ht="17.25" thickBot="1" x14ac:dyDescent="0.3">
      <c r="A72" s="226">
        <v>45957</v>
      </c>
      <c r="B72" s="227" t="s">
        <v>184</v>
      </c>
      <c r="C72" s="227" t="s">
        <v>513</v>
      </c>
      <c r="D72" s="228">
        <v>150</v>
      </c>
      <c r="E72" s="228">
        <v>1</v>
      </c>
      <c r="F72" s="231">
        <v>4763.5</v>
      </c>
      <c r="G72" s="231">
        <v>4815.3999999999996</v>
      </c>
      <c r="H72" s="228">
        <v>-51.9</v>
      </c>
      <c r="I72" s="229">
        <v>-1.0800000000000001E-2</v>
      </c>
      <c r="J72" s="231">
        <v>4756.8</v>
      </c>
      <c r="K72" s="231">
        <v>4814.2</v>
      </c>
      <c r="L72" s="228">
        <v>-57.4</v>
      </c>
      <c r="M72" s="229">
        <v>-1.1900000000000001E-2</v>
      </c>
      <c r="N72" s="231">
        <v>4763.5</v>
      </c>
      <c r="O72" s="231">
        <v>4815.3999999999996</v>
      </c>
      <c r="P72" s="228">
        <v>-51.9</v>
      </c>
      <c r="Q72" s="229">
        <v>-1.0800000000000001E-2</v>
      </c>
      <c r="R72" s="231">
        <v>4788.6000000000004</v>
      </c>
      <c r="S72" s="231">
        <v>4840.8</v>
      </c>
      <c r="T72" s="228">
        <v>-52.2</v>
      </c>
      <c r="U72" s="229">
        <v>-1.0800000000000001E-2</v>
      </c>
      <c r="V72" s="231">
        <v>4817.8</v>
      </c>
      <c r="W72" s="231">
        <v>4876.3999999999996</v>
      </c>
      <c r="X72" s="228">
        <v>-58.6</v>
      </c>
      <c r="Y72" s="229">
        <v>-1.2E-2</v>
      </c>
      <c r="Z72" s="228">
        <v>6.7</v>
      </c>
      <c r="AA72" s="228">
        <v>1.2</v>
      </c>
      <c r="AB72" s="228">
        <v>5.5</v>
      </c>
      <c r="AC72" s="229">
        <v>1.4E-3</v>
      </c>
      <c r="AD72" s="228">
        <v>6.7</v>
      </c>
      <c r="AE72" s="228">
        <v>1.2</v>
      </c>
      <c r="AF72" s="228">
        <v>5.5</v>
      </c>
      <c r="AG72" s="229">
        <v>1.4E-3</v>
      </c>
      <c r="AH72" s="228">
        <v>31.8</v>
      </c>
      <c r="AI72" s="228">
        <v>26.6</v>
      </c>
      <c r="AJ72" s="228">
        <v>5.2</v>
      </c>
      <c r="AK72" s="229">
        <v>6.7000000000000002E-3</v>
      </c>
      <c r="AL72" s="228">
        <v>61</v>
      </c>
      <c r="AM72" s="228">
        <v>62.2</v>
      </c>
      <c r="AN72" s="228">
        <v>-1.2</v>
      </c>
      <c r="AO72" s="229">
        <v>1.2800000000000001E-2</v>
      </c>
      <c r="AP72" s="231">
        <v>4780.17</v>
      </c>
      <c r="AQ72" s="231">
        <v>4805.7700000000004</v>
      </c>
      <c r="AR72" s="228">
        <v>0</v>
      </c>
      <c r="AS72" s="230">
        <v>2991</v>
      </c>
      <c r="AT72" s="230">
        <v>3200</v>
      </c>
      <c r="AU72" s="228">
        <v>-209</v>
      </c>
      <c r="AV72" s="229">
        <v>-6.54E-2</v>
      </c>
      <c r="AW72" s="230">
        <v>1406</v>
      </c>
      <c r="AX72" s="230">
        <v>1639</v>
      </c>
      <c r="AY72" s="228">
        <v>-233</v>
      </c>
      <c r="AZ72" s="229">
        <v>-0.14219999999999999</v>
      </c>
      <c r="BA72" s="230">
        <v>1484</v>
      </c>
      <c r="BB72" s="230">
        <v>1531</v>
      </c>
      <c r="BC72" s="228">
        <v>-47</v>
      </c>
      <c r="BD72" s="229">
        <v>-3.09E-2</v>
      </c>
      <c r="BE72" s="228">
        <v>101</v>
      </c>
      <c r="BF72" s="228">
        <v>30</v>
      </c>
      <c r="BG72" s="228">
        <v>71</v>
      </c>
      <c r="BH72" s="229">
        <v>2.3586999999999998</v>
      </c>
      <c r="BI72" s="230">
        <v>4580</v>
      </c>
      <c r="BJ72" s="230">
        <v>5314</v>
      </c>
      <c r="BK72" s="228">
        <v>-734</v>
      </c>
      <c r="BL72" s="229">
        <v>-0.13800000000000001</v>
      </c>
      <c r="BM72" s="230">
        <v>1884</v>
      </c>
      <c r="BN72" s="230">
        <v>1756</v>
      </c>
      <c r="BO72" s="228">
        <v>127</v>
      </c>
      <c r="BP72" s="229">
        <v>7.2499999999999995E-2</v>
      </c>
      <c r="BQ72" s="230">
        <v>9455</v>
      </c>
      <c r="BR72" s="230">
        <v>10270</v>
      </c>
      <c r="BS72" s="228">
        <v>-815</v>
      </c>
      <c r="BT72" s="229">
        <v>-7.9399999999999998E-2</v>
      </c>
      <c r="BU72" s="230">
        <v>763459</v>
      </c>
      <c r="BV72" s="230">
        <v>658333</v>
      </c>
      <c r="BW72" s="230">
        <v>105126</v>
      </c>
      <c r="BX72" s="229">
        <v>0.15970000000000001</v>
      </c>
      <c r="BY72" s="230">
        <v>4745</v>
      </c>
      <c r="BZ72" s="230">
        <v>4708</v>
      </c>
      <c r="CA72" s="228">
        <v>37</v>
      </c>
      <c r="CB72" s="229">
        <v>7.9000000000000008E-3</v>
      </c>
      <c r="CC72" s="230">
        <v>1015</v>
      </c>
      <c r="CD72" s="230">
        <v>2146</v>
      </c>
      <c r="CE72" s="230">
        <v>-1131</v>
      </c>
      <c r="CF72" s="229">
        <v>-0.52690000000000003</v>
      </c>
      <c r="CG72" s="230">
        <v>3602</v>
      </c>
      <c r="CH72" s="230">
        <v>2478</v>
      </c>
      <c r="CI72" s="230">
        <v>1124</v>
      </c>
      <c r="CJ72" s="229">
        <v>0.45369999999999999</v>
      </c>
      <c r="CK72" s="228">
        <v>127</v>
      </c>
      <c r="CL72" s="228">
        <v>84</v>
      </c>
      <c r="CM72" s="228">
        <v>44</v>
      </c>
      <c r="CN72" s="229">
        <v>0.52139999999999997</v>
      </c>
      <c r="CO72" s="230">
        <v>2349</v>
      </c>
      <c r="CP72" s="230">
        <v>2435</v>
      </c>
      <c r="CQ72" s="228">
        <v>-87</v>
      </c>
      <c r="CR72" s="229">
        <v>-3.5700000000000003E-2</v>
      </c>
      <c r="CS72" s="230">
        <v>1230</v>
      </c>
      <c r="CT72" s="230">
        <v>1251</v>
      </c>
      <c r="CU72" s="228">
        <v>-21</v>
      </c>
      <c r="CV72" s="229">
        <v>-1.7100000000000001E-2</v>
      </c>
      <c r="CW72" s="230">
        <v>8323</v>
      </c>
      <c r="CX72" s="230">
        <v>8394</v>
      </c>
      <c r="CY72" s="228">
        <v>-71</v>
      </c>
      <c r="CZ72" s="229">
        <v>-8.5000000000000006E-3</v>
      </c>
      <c r="DA72" s="228">
        <v>29.28</v>
      </c>
      <c r="DB72" s="228">
        <v>28.57</v>
      </c>
      <c r="DC72" s="228">
        <v>0.71</v>
      </c>
      <c r="DD72" s="228">
        <v>0.71</v>
      </c>
      <c r="DE72" s="228">
        <v>39.31</v>
      </c>
      <c r="DF72" s="228">
        <v>39.380000000000003</v>
      </c>
      <c r="DG72" s="228">
        <v>-10.029999999999999</v>
      </c>
      <c r="DH72" s="228">
        <v>-7.0000000000000007E-2</v>
      </c>
      <c r="DI72" s="228">
        <v>29.55</v>
      </c>
      <c r="DJ72" s="228">
        <v>28.84</v>
      </c>
      <c r="DK72" s="228">
        <v>0.71</v>
      </c>
      <c r="DL72" s="228">
        <v>0.71</v>
      </c>
      <c r="DM72" s="228">
        <v>28.79</v>
      </c>
      <c r="DN72" s="228">
        <v>27.91</v>
      </c>
      <c r="DO72" s="228">
        <v>0.88</v>
      </c>
      <c r="DP72" s="228">
        <v>0.88</v>
      </c>
      <c r="DQ72" s="228">
        <v>0.52</v>
      </c>
      <c r="DR72" s="228">
        <v>0.51</v>
      </c>
      <c r="DS72" s="228">
        <v>0.01</v>
      </c>
      <c r="DT72" s="229">
        <v>1.9599999999999999E-2</v>
      </c>
      <c r="DU72" s="231">
        <v>5000</v>
      </c>
      <c r="DV72" s="231">
        <v>4800</v>
      </c>
      <c r="DW72" s="228">
        <v>0.41</v>
      </c>
      <c r="DX72" s="228">
        <v>0.33</v>
      </c>
      <c r="DY72" s="228">
        <v>0.08</v>
      </c>
      <c r="DZ72" s="229">
        <v>0.2424</v>
      </c>
      <c r="EA72" s="229">
        <v>0.78600000000000003</v>
      </c>
      <c r="EB72" s="230">
        <v>5377350</v>
      </c>
      <c r="EC72" s="229">
        <v>5.3E-3</v>
      </c>
      <c r="ED72" s="229">
        <v>0.78600000000000003</v>
      </c>
      <c r="EE72" s="228">
        <v>25.6</v>
      </c>
      <c r="EF72" s="229">
        <v>5.4000000000000003E-3</v>
      </c>
      <c r="EG72" s="230">
        <v>398758</v>
      </c>
      <c r="EH72" s="230">
        <v>191559</v>
      </c>
      <c r="EI72" s="229">
        <v>1.0815999999999999</v>
      </c>
      <c r="EJ72" s="229">
        <v>0.52229999999999999</v>
      </c>
      <c r="EK72" s="231">
        <v>4788.6499999999996</v>
      </c>
      <c r="EL72" s="231">
        <v>1881.23</v>
      </c>
      <c r="EM72" s="231">
        <v>3010.23</v>
      </c>
      <c r="EN72" s="228">
        <v>204.6</v>
      </c>
      <c r="EO72" s="231">
        <v>9680.11</v>
      </c>
      <c r="EP72" s="231">
        <v>10601.68</v>
      </c>
      <c r="EQ72" s="228">
        <v>-921.57</v>
      </c>
      <c r="ER72" s="229">
        <v>-8.6900000000000005E-2</v>
      </c>
      <c r="ES72" s="231">
        <v>2466.41</v>
      </c>
      <c r="ET72" s="231">
        <v>1221.73</v>
      </c>
      <c r="EU72" s="231">
        <v>4765.3100000000004</v>
      </c>
      <c r="EV72" s="231">
        <v>28450886</v>
      </c>
      <c r="EW72" s="231">
        <v>8453.44</v>
      </c>
      <c r="EX72" s="231">
        <v>8581.7199999999993</v>
      </c>
      <c r="EY72" s="228">
        <v>-128.28</v>
      </c>
      <c r="EZ72" s="229">
        <v>-1.49E-2</v>
      </c>
      <c r="FA72" s="229">
        <v>0.61419999999999997</v>
      </c>
      <c r="FB72" s="227" t="s">
        <v>567</v>
      </c>
      <c r="FC72">
        <f t="shared" si="1"/>
        <v>3730</v>
      </c>
    </row>
    <row r="73" spans="1:159" ht="17.25" thickBot="1" x14ac:dyDescent="0.3">
      <c r="A73" s="226">
        <v>45957</v>
      </c>
      <c r="B73" s="227" t="s">
        <v>184</v>
      </c>
      <c r="C73" s="227" t="s">
        <v>220</v>
      </c>
      <c r="D73" s="228">
        <v>500</v>
      </c>
      <c r="E73" s="228">
        <v>1</v>
      </c>
      <c r="F73" s="231">
        <v>1492.1</v>
      </c>
      <c r="G73" s="231">
        <v>1495.1</v>
      </c>
      <c r="H73" s="228">
        <v>-3</v>
      </c>
      <c r="I73" s="229">
        <v>-2E-3</v>
      </c>
      <c r="J73" s="231">
        <v>1492.6</v>
      </c>
      <c r="K73" s="231">
        <v>1494.9</v>
      </c>
      <c r="L73" s="228">
        <v>-2.2999999999999998</v>
      </c>
      <c r="M73" s="229">
        <v>-1.5E-3</v>
      </c>
      <c r="N73" s="231">
        <v>1492.1</v>
      </c>
      <c r="O73" s="231">
        <v>1495.1</v>
      </c>
      <c r="P73" s="228">
        <v>-3</v>
      </c>
      <c r="Q73" s="229">
        <v>-2E-3</v>
      </c>
      <c r="R73" s="231">
        <v>1498.1</v>
      </c>
      <c r="S73" s="231">
        <v>1501.9</v>
      </c>
      <c r="T73" s="228">
        <v>-3.8</v>
      </c>
      <c r="U73" s="229">
        <v>-2.5000000000000001E-3</v>
      </c>
      <c r="V73" s="231">
        <v>1506.8</v>
      </c>
      <c r="W73" s="231">
        <v>1511.7</v>
      </c>
      <c r="X73" s="228">
        <v>-4.9000000000000004</v>
      </c>
      <c r="Y73" s="229">
        <v>-3.2000000000000002E-3</v>
      </c>
      <c r="Z73" s="228">
        <v>-0.5</v>
      </c>
      <c r="AA73" s="228">
        <v>0.2</v>
      </c>
      <c r="AB73" s="228">
        <v>-0.7</v>
      </c>
      <c r="AC73" s="229">
        <v>-2.9999999999999997E-4</v>
      </c>
      <c r="AD73" s="228">
        <v>-0.5</v>
      </c>
      <c r="AE73" s="228">
        <v>0.2</v>
      </c>
      <c r="AF73" s="228">
        <v>-0.7</v>
      </c>
      <c r="AG73" s="229">
        <v>-2.9999999999999997E-4</v>
      </c>
      <c r="AH73" s="228">
        <v>5.5</v>
      </c>
      <c r="AI73" s="228">
        <v>7</v>
      </c>
      <c r="AJ73" s="228">
        <v>-1.5</v>
      </c>
      <c r="AK73" s="229">
        <v>3.7000000000000002E-3</v>
      </c>
      <c r="AL73" s="228">
        <v>14.2</v>
      </c>
      <c r="AM73" s="228">
        <v>16.8</v>
      </c>
      <c r="AN73" s="228">
        <v>-2.6</v>
      </c>
      <c r="AO73" s="229">
        <v>9.4999999999999998E-3</v>
      </c>
      <c r="AP73" s="231">
        <v>1489.58</v>
      </c>
      <c r="AQ73" s="231">
        <v>1496.44</v>
      </c>
      <c r="AR73" s="228">
        <v>0</v>
      </c>
      <c r="AS73" s="228">
        <v>781</v>
      </c>
      <c r="AT73" s="230">
        <v>1211</v>
      </c>
      <c r="AU73" s="228">
        <v>-430</v>
      </c>
      <c r="AV73" s="229">
        <v>-0.35499999999999998</v>
      </c>
      <c r="AW73" s="228">
        <v>369</v>
      </c>
      <c r="AX73" s="228">
        <v>602</v>
      </c>
      <c r="AY73" s="228">
        <v>-233</v>
      </c>
      <c r="AZ73" s="229">
        <v>-0.3876</v>
      </c>
      <c r="BA73" s="228">
        <v>405</v>
      </c>
      <c r="BB73" s="228">
        <v>602</v>
      </c>
      <c r="BC73" s="228">
        <v>-196</v>
      </c>
      <c r="BD73" s="229">
        <v>-0.32640000000000002</v>
      </c>
      <c r="BE73" s="228">
        <v>7</v>
      </c>
      <c r="BF73" s="228">
        <v>7</v>
      </c>
      <c r="BG73" s="228">
        <v>0</v>
      </c>
      <c r="BH73" s="229">
        <v>-2.1299999999999999E-2</v>
      </c>
      <c r="BI73" s="228">
        <v>477</v>
      </c>
      <c r="BJ73" s="228">
        <v>738</v>
      </c>
      <c r="BK73" s="228">
        <v>-261</v>
      </c>
      <c r="BL73" s="229">
        <v>-0.35399999999999998</v>
      </c>
      <c r="BM73" s="228">
        <v>389</v>
      </c>
      <c r="BN73" s="228">
        <v>352</v>
      </c>
      <c r="BO73" s="228">
        <v>38</v>
      </c>
      <c r="BP73" s="229">
        <v>0.1069</v>
      </c>
      <c r="BQ73" s="230">
        <v>1647</v>
      </c>
      <c r="BR73" s="230">
        <v>2301</v>
      </c>
      <c r="BS73" s="228">
        <v>-654</v>
      </c>
      <c r="BT73" s="229">
        <v>-0.28410000000000002</v>
      </c>
      <c r="BU73" s="230">
        <v>598174</v>
      </c>
      <c r="BV73" s="230">
        <v>1024011</v>
      </c>
      <c r="BW73" s="230">
        <v>-425837</v>
      </c>
      <c r="BX73" s="229">
        <v>-0.41589999999999999</v>
      </c>
      <c r="BY73" s="230">
        <v>1498</v>
      </c>
      <c r="BZ73" s="230">
        <v>1480</v>
      </c>
      <c r="CA73" s="228">
        <v>18</v>
      </c>
      <c r="CB73" s="229">
        <v>1.1900000000000001E-2</v>
      </c>
      <c r="CC73" s="228">
        <v>297</v>
      </c>
      <c r="CD73" s="228">
        <v>545</v>
      </c>
      <c r="CE73" s="228">
        <v>-248</v>
      </c>
      <c r="CF73" s="229">
        <v>-0.45500000000000002</v>
      </c>
      <c r="CG73" s="230">
        <v>1185</v>
      </c>
      <c r="CH73" s="228">
        <v>922</v>
      </c>
      <c r="CI73" s="228">
        <v>263</v>
      </c>
      <c r="CJ73" s="229">
        <v>0.28489999999999999</v>
      </c>
      <c r="CK73" s="228">
        <v>16</v>
      </c>
      <c r="CL73" s="228">
        <v>13</v>
      </c>
      <c r="CM73" s="228">
        <v>3</v>
      </c>
      <c r="CN73" s="229">
        <v>0.23430000000000001</v>
      </c>
      <c r="CO73" s="228">
        <v>381</v>
      </c>
      <c r="CP73" s="228">
        <v>438</v>
      </c>
      <c r="CQ73" s="228">
        <v>-58</v>
      </c>
      <c r="CR73" s="229">
        <v>-0.1313</v>
      </c>
      <c r="CS73" s="228">
        <v>243</v>
      </c>
      <c r="CT73" s="228">
        <v>273</v>
      </c>
      <c r="CU73" s="228">
        <v>-30</v>
      </c>
      <c r="CV73" s="229">
        <v>-0.111</v>
      </c>
      <c r="CW73" s="230">
        <v>2121</v>
      </c>
      <c r="CX73" s="230">
        <v>2191</v>
      </c>
      <c r="CY73" s="228">
        <v>-70</v>
      </c>
      <c r="CZ73" s="229">
        <v>-3.2000000000000001E-2</v>
      </c>
      <c r="DA73" s="228">
        <v>21.81</v>
      </c>
      <c r="DB73" s="228">
        <v>22.43</v>
      </c>
      <c r="DC73" s="228">
        <v>-0.62</v>
      </c>
      <c r="DD73" s="228">
        <v>-0.62</v>
      </c>
      <c r="DE73" s="228">
        <v>28.23</v>
      </c>
      <c r="DF73" s="228">
        <v>28.3</v>
      </c>
      <c r="DG73" s="228">
        <v>-6.42</v>
      </c>
      <c r="DH73" s="228">
        <v>-7.0000000000000007E-2</v>
      </c>
      <c r="DI73" s="228">
        <v>22</v>
      </c>
      <c r="DJ73" s="228">
        <v>22.63</v>
      </c>
      <c r="DK73" s="228">
        <v>-0.63</v>
      </c>
      <c r="DL73" s="228">
        <v>-0.63</v>
      </c>
      <c r="DM73" s="228">
        <v>21.55</v>
      </c>
      <c r="DN73" s="228">
        <v>22.06</v>
      </c>
      <c r="DO73" s="228">
        <v>-0.51</v>
      </c>
      <c r="DP73" s="228">
        <v>-0.51</v>
      </c>
      <c r="DQ73" s="228">
        <v>0.64</v>
      </c>
      <c r="DR73" s="228">
        <v>0.62</v>
      </c>
      <c r="DS73" s="228">
        <v>0.02</v>
      </c>
      <c r="DT73" s="229">
        <v>3.2300000000000002E-2</v>
      </c>
      <c r="DU73" s="231">
        <v>1600</v>
      </c>
      <c r="DV73" s="231">
        <v>1500</v>
      </c>
      <c r="DW73" s="228">
        <v>0.82</v>
      </c>
      <c r="DX73" s="228">
        <v>0.48</v>
      </c>
      <c r="DY73" s="228">
        <v>0.34</v>
      </c>
      <c r="DZ73" s="229">
        <v>0.70830000000000004</v>
      </c>
      <c r="EA73" s="229">
        <v>0.80159999999999998</v>
      </c>
      <c r="EB73" s="230">
        <v>6267000</v>
      </c>
      <c r="EC73" s="229">
        <v>4.0000000000000001E-3</v>
      </c>
      <c r="ED73" s="229">
        <v>0.80159999999999998</v>
      </c>
      <c r="EE73" s="228">
        <v>6.86</v>
      </c>
      <c r="EF73" s="229">
        <v>4.5999999999999999E-3</v>
      </c>
      <c r="EG73" s="230">
        <v>309832</v>
      </c>
      <c r="EH73" s="230">
        <v>621598</v>
      </c>
      <c r="EI73" s="229">
        <v>-0.50160000000000005</v>
      </c>
      <c r="EJ73" s="229">
        <v>0.51800000000000002</v>
      </c>
      <c r="EK73" s="228">
        <v>493.4</v>
      </c>
      <c r="EL73" s="228">
        <v>382.71</v>
      </c>
      <c r="EM73" s="228">
        <v>781.73</v>
      </c>
      <c r="EN73" s="228">
        <v>99.61</v>
      </c>
      <c r="EO73" s="231">
        <v>1657.84</v>
      </c>
      <c r="EP73" s="231">
        <v>2335.36</v>
      </c>
      <c r="EQ73" s="228">
        <v>-677.52</v>
      </c>
      <c r="ER73" s="229">
        <v>-0.29010000000000002</v>
      </c>
      <c r="ES73" s="228">
        <v>397.78</v>
      </c>
      <c r="ET73" s="228">
        <v>238.9</v>
      </c>
      <c r="EU73" s="231">
        <v>1502.99</v>
      </c>
      <c r="EV73" s="231">
        <v>38133766</v>
      </c>
      <c r="EW73" s="231">
        <v>2139.6799999999998</v>
      </c>
      <c r="EX73" s="231">
        <v>2214.9299999999998</v>
      </c>
      <c r="EY73" s="228">
        <v>-75.25</v>
      </c>
      <c r="EZ73" s="229">
        <v>-3.4000000000000002E-2</v>
      </c>
      <c r="FA73" s="229">
        <v>0.37280000000000002</v>
      </c>
      <c r="FB73" s="227" t="s">
        <v>567</v>
      </c>
      <c r="FC73">
        <f t="shared" si="1"/>
        <v>1201</v>
      </c>
    </row>
    <row r="74" spans="1:159" ht="17.25" thickBot="1" x14ac:dyDescent="0.3">
      <c r="A74" s="226">
        <v>45957</v>
      </c>
      <c r="B74" s="227" t="s">
        <v>221</v>
      </c>
      <c r="C74" s="227" t="s">
        <v>222</v>
      </c>
      <c r="D74" s="228">
        <v>350</v>
      </c>
      <c r="E74" s="228">
        <v>1</v>
      </c>
      <c r="F74" s="231">
        <v>1535.4</v>
      </c>
      <c r="G74" s="231">
        <v>1522.6</v>
      </c>
      <c r="H74" s="228">
        <v>12.8</v>
      </c>
      <c r="I74" s="229">
        <v>8.3999999999999995E-3</v>
      </c>
      <c r="J74" s="231">
        <v>1533.5</v>
      </c>
      <c r="K74" s="231">
        <v>1523.8</v>
      </c>
      <c r="L74" s="228">
        <v>9.6999999999999993</v>
      </c>
      <c r="M74" s="229">
        <v>6.4000000000000003E-3</v>
      </c>
      <c r="N74" s="231">
        <v>1535.4</v>
      </c>
      <c r="O74" s="231">
        <v>1522.6</v>
      </c>
      <c r="P74" s="228">
        <v>12.8</v>
      </c>
      <c r="Q74" s="229">
        <v>8.3999999999999995E-3</v>
      </c>
      <c r="R74" s="231">
        <v>1544.1</v>
      </c>
      <c r="S74" s="231">
        <v>1530.8</v>
      </c>
      <c r="T74" s="228">
        <v>13.3</v>
      </c>
      <c r="U74" s="229">
        <v>8.6999999999999994E-3</v>
      </c>
      <c r="V74" s="231">
        <v>1554.2</v>
      </c>
      <c r="W74" s="231">
        <v>1540</v>
      </c>
      <c r="X74" s="228">
        <v>14.2</v>
      </c>
      <c r="Y74" s="229">
        <v>9.1999999999999998E-3</v>
      </c>
      <c r="Z74" s="228">
        <v>1.9</v>
      </c>
      <c r="AA74" s="228">
        <v>-1.2</v>
      </c>
      <c r="AB74" s="228">
        <v>3.1</v>
      </c>
      <c r="AC74" s="229">
        <v>1.1999999999999999E-3</v>
      </c>
      <c r="AD74" s="228">
        <v>1.9</v>
      </c>
      <c r="AE74" s="228">
        <v>-1.2</v>
      </c>
      <c r="AF74" s="228">
        <v>3.1</v>
      </c>
      <c r="AG74" s="229">
        <v>1.1999999999999999E-3</v>
      </c>
      <c r="AH74" s="228">
        <v>10.6</v>
      </c>
      <c r="AI74" s="228">
        <v>7</v>
      </c>
      <c r="AJ74" s="228">
        <v>3.6</v>
      </c>
      <c r="AK74" s="229">
        <v>6.8999999999999999E-3</v>
      </c>
      <c r="AL74" s="228">
        <v>20.7</v>
      </c>
      <c r="AM74" s="228">
        <v>16.2</v>
      </c>
      <c r="AN74" s="228">
        <v>4.5</v>
      </c>
      <c r="AO74" s="229">
        <v>1.35E-2</v>
      </c>
      <c r="AP74" s="231">
        <v>1539.09</v>
      </c>
      <c r="AQ74" s="231">
        <v>1547.61</v>
      </c>
      <c r="AR74" s="228">
        <v>0</v>
      </c>
      <c r="AS74" s="230">
        <v>2041</v>
      </c>
      <c r="AT74" s="230">
        <v>2161</v>
      </c>
      <c r="AU74" s="228">
        <v>-120</v>
      </c>
      <c r="AV74" s="229">
        <v>-5.5300000000000002E-2</v>
      </c>
      <c r="AW74" s="228">
        <v>961</v>
      </c>
      <c r="AX74" s="230">
        <v>1068</v>
      </c>
      <c r="AY74" s="228">
        <v>-107</v>
      </c>
      <c r="AZ74" s="229">
        <v>-0.1002</v>
      </c>
      <c r="BA74" s="230">
        <v>1072</v>
      </c>
      <c r="BB74" s="230">
        <v>1085</v>
      </c>
      <c r="BC74" s="228">
        <v>-14</v>
      </c>
      <c r="BD74" s="229">
        <v>-1.2500000000000001E-2</v>
      </c>
      <c r="BE74" s="228">
        <v>9</v>
      </c>
      <c r="BF74" s="228">
        <v>8</v>
      </c>
      <c r="BG74" s="228">
        <v>1</v>
      </c>
      <c r="BH74" s="229">
        <v>0.13189999999999999</v>
      </c>
      <c r="BI74" s="230">
        <v>1421</v>
      </c>
      <c r="BJ74" s="230">
        <v>1674</v>
      </c>
      <c r="BK74" s="228">
        <v>-253</v>
      </c>
      <c r="BL74" s="229">
        <v>-0.15090000000000001</v>
      </c>
      <c r="BM74" s="228">
        <v>802</v>
      </c>
      <c r="BN74" s="230">
        <v>1118</v>
      </c>
      <c r="BO74" s="228">
        <v>-316</v>
      </c>
      <c r="BP74" s="229">
        <v>-0.28260000000000002</v>
      </c>
      <c r="BQ74" s="230">
        <v>4265</v>
      </c>
      <c r="BR74" s="230">
        <v>4953</v>
      </c>
      <c r="BS74" s="228">
        <v>-688</v>
      </c>
      <c r="BT74" s="229">
        <v>-0.1389</v>
      </c>
      <c r="BU74" s="230">
        <v>1432622</v>
      </c>
      <c r="BV74" s="230">
        <v>1556662</v>
      </c>
      <c r="BW74" s="230">
        <v>-124040</v>
      </c>
      <c r="BX74" s="229">
        <v>-7.9699999999999993E-2</v>
      </c>
      <c r="BY74" s="230">
        <v>2809</v>
      </c>
      <c r="BZ74" s="230">
        <v>2767</v>
      </c>
      <c r="CA74" s="228">
        <v>42</v>
      </c>
      <c r="CB74" s="229">
        <v>1.5299999999999999E-2</v>
      </c>
      <c r="CC74" s="228">
        <v>496</v>
      </c>
      <c r="CD74" s="230">
        <v>1235</v>
      </c>
      <c r="CE74" s="228">
        <v>-740</v>
      </c>
      <c r="CF74" s="229">
        <v>-0.59870000000000001</v>
      </c>
      <c r="CG74" s="230">
        <v>2289</v>
      </c>
      <c r="CH74" s="230">
        <v>1511</v>
      </c>
      <c r="CI74" s="228">
        <v>778</v>
      </c>
      <c r="CJ74" s="229">
        <v>0.51490000000000002</v>
      </c>
      <c r="CK74" s="228">
        <v>24</v>
      </c>
      <c r="CL74" s="228">
        <v>21</v>
      </c>
      <c r="CM74" s="228">
        <v>4</v>
      </c>
      <c r="CN74" s="229">
        <v>0.19109999999999999</v>
      </c>
      <c r="CO74" s="230">
        <v>1119</v>
      </c>
      <c r="CP74" s="230">
        <v>1231</v>
      </c>
      <c r="CQ74" s="228">
        <v>-112</v>
      </c>
      <c r="CR74" s="229">
        <v>-9.0800000000000006E-2</v>
      </c>
      <c r="CS74" s="228">
        <v>755</v>
      </c>
      <c r="CT74" s="228">
        <v>775</v>
      </c>
      <c r="CU74" s="228">
        <v>-20</v>
      </c>
      <c r="CV74" s="229">
        <v>-2.5600000000000001E-2</v>
      </c>
      <c r="CW74" s="230">
        <v>4684</v>
      </c>
      <c r="CX74" s="230">
        <v>4773</v>
      </c>
      <c r="CY74" s="228">
        <v>-89</v>
      </c>
      <c r="CZ74" s="229">
        <v>-1.8700000000000001E-2</v>
      </c>
      <c r="DA74" s="228">
        <v>21.27</v>
      </c>
      <c r="DB74" s="228">
        <v>21.16</v>
      </c>
      <c r="DC74" s="228">
        <v>0.11</v>
      </c>
      <c r="DD74" s="228">
        <v>0.11</v>
      </c>
      <c r="DE74" s="228">
        <v>28.77</v>
      </c>
      <c r="DF74" s="228">
        <v>28.83</v>
      </c>
      <c r="DG74" s="228">
        <v>-7.5</v>
      </c>
      <c r="DH74" s="228">
        <v>-0.06</v>
      </c>
      <c r="DI74" s="228">
        <v>21.25</v>
      </c>
      <c r="DJ74" s="228">
        <v>21.09</v>
      </c>
      <c r="DK74" s="228">
        <v>0.16</v>
      </c>
      <c r="DL74" s="228">
        <v>0.16</v>
      </c>
      <c r="DM74" s="228">
        <v>21.3</v>
      </c>
      <c r="DN74" s="228">
        <v>21.29</v>
      </c>
      <c r="DO74" s="228">
        <v>0.01</v>
      </c>
      <c r="DP74" s="228">
        <v>0.01</v>
      </c>
      <c r="DQ74" s="228">
        <v>0.67</v>
      </c>
      <c r="DR74" s="228">
        <v>0.63</v>
      </c>
      <c r="DS74" s="228">
        <v>0.04</v>
      </c>
      <c r="DT74" s="229">
        <v>6.3500000000000001E-2</v>
      </c>
      <c r="DU74" s="231">
        <v>1600</v>
      </c>
      <c r="DV74" s="231">
        <v>1500</v>
      </c>
      <c r="DW74" s="228">
        <v>0.56000000000000005</v>
      </c>
      <c r="DX74" s="228">
        <v>0.67</v>
      </c>
      <c r="DY74" s="228">
        <v>-0.11</v>
      </c>
      <c r="DZ74" s="229">
        <v>-0.16420000000000001</v>
      </c>
      <c r="EA74" s="229">
        <v>0.82350000000000001</v>
      </c>
      <c r="EB74" s="230">
        <v>9973950</v>
      </c>
      <c r="EC74" s="229">
        <v>5.7000000000000002E-3</v>
      </c>
      <c r="ED74" s="229">
        <v>0.82350000000000001</v>
      </c>
      <c r="EE74" s="228">
        <v>8.52</v>
      </c>
      <c r="EF74" s="229">
        <v>5.4999999999999997E-3</v>
      </c>
      <c r="EG74" s="230">
        <v>854993</v>
      </c>
      <c r="EH74" s="230">
        <v>984153</v>
      </c>
      <c r="EI74" s="229">
        <v>-0.13120000000000001</v>
      </c>
      <c r="EJ74" s="229">
        <v>0.5968</v>
      </c>
      <c r="EK74" s="231">
        <v>1461.2</v>
      </c>
      <c r="EL74" s="228">
        <v>789.51</v>
      </c>
      <c r="EM74" s="231">
        <v>2052.02</v>
      </c>
      <c r="EN74" s="228">
        <v>205.25</v>
      </c>
      <c r="EO74" s="231">
        <v>4302.7299999999996</v>
      </c>
      <c r="EP74" s="231">
        <v>4961.1499999999996</v>
      </c>
      <c r="EQ74" s="228">
        <v>-658.42</v>
      </c>
      <c r="ER74" s="229">
        <v>-0.13270000000000001</v>
      </c>
      <c r="ES74" s="231">
        <v>1137.19</v>
      </c>
      <c r="ET74" s="228">
        <v>702.11</v>
      </c>
      <c r="EU74" s="231">
        <v>2822.26</v>
      </c>
      <c r="EV74" s="231">
        <v>145993539</v>
      </c>
      <c r="EW74" s="231">
        <v>4661.55</v>
      </c>
      <c r="EX74" s="231">
        <v>4718.95</v>
      </c>
      <c r="EY74" s="228">
        <v>-57.4</v>
      </c>
      <c r="EZ74" s="229">
        <v>-1.2200000000000001E-2</v>
      </c>
      <c r="FA74" s="229">
        <v>0.2089</v>
      </c>
      <c r="FB74" s="227" t="s">
        <v>555</v>
      </c>
      <c r="FC74">
        <f t="shared" si="1"/>
        <v>2313</v>
      </c>
    </row>
    <row r="75" spans="1:159" ht="17.25" thickBot="1" x14ac:dyDescent="0.3">
      <c r="A75" s="226">
        <v>45957</v>
      </c>
      <c r="B75" s="227" t="s">
        <v>175</v>
      </c>
      <c r="C75" s="227" t="s">
        <v>475</v>
      </c>
      <c r="D75" s="228">
        <v>150</v>
      </c>
      <c r="E75" s="228">
        <v>1</v>
      </c>
      <c r="F75" s="231">
        <v>5570</v>
      </c>
      <c r="G75" s="231">
        <v>5536</v>
      </c>
      <c r="H75" s="228">
        <v>34</v>
      </c>
      <c r="I75" s="229">
        <v>6.1000000000000004E-3</v>
      </c>
      <c r="J75" s="231">
        <v>5559</v>
      </c>
      <c r="K75" s="231">
        <v>5543.5</v>
      </c>
      <c r="L75" s="228">
        <v>15.5</v>
      </c>
      <c r="M75" s="229">
        <v>2.8E-3</v>
      </c>
      <c r="N75" s="231">
        <v>5570</v>
      </c>
      <c r="O75" s="231">
        <v>5536</v>
      </c>
      <c r="P75" s="228">
        <v>34</v>
      </c>
      <c r="Q75" s="229">
        <v>6.1000000000000004E-3</v>
      </c>
      <c r="R75" s="231">
        <v>5598.5</v>
      </c>
      <c r="S75" s="231">
        <v>5563.5</v>
      </c>
      <c r="T75" s="228">
        <v>35</v>
      </c>
      <c r="U75" s="229">
        <v>6.3E-3</v>
      </c>
      <c r="V75" s="231">
        <v>5626</v>
      </c>
      <c r="W75" s="231">
        <v>5598.5</v>
      </c>
      <c r="X75" s="228">
        <v>27.5</v>
      </c>
      <c r="Y75" s="229">
        <v>4.8999999999999998E-3</v>
      </c>
      <c r="Z75" s="228">
        <v>11</v>
      </c>
      <c r="AA75" s="228">
        <v>-7.5</v>
      </c>
      <c r="AB75" s="228">
        <v>18.5</v>
      </c>
      <c r="AC75" s="229">
        <v>2E-3</v>
      </c>
      <c r="AD75" s="228">
        <v>11</v>
      </c>
      <c r="AE75" s="228">
        <v>-7.5</v>
      </c>
      <c r="AF75" s="228">
        <v>18.5</v>
      </c>
      <c r="AG75" s="229">
        <v>2E-3</v>
      </c>
      <c r="AH75" s="228">
        <v>39.5</v>
      </c>
      <c r="AI75" s="228">
        <v>20</v>
      </c>
      <c r="AJ75" s="228">
        <v>19.5</v>
      </c>
      <c r="AK75" s="229">
        <v>7.1000000000000004E-3</v>
      </c>
      <c r="AL75" s="228">
        <v>67</v>
      </c>
      <c r="AM75" s="228">
        <v>55</v>
      </c>
      <c r="AN75" s="228">
        <v>12</v>
      </c>
      <c r="AO75" s="229">
        <v>1.21E-2</v>
      </c>
      <c r="AP75" s="231">
        <v>5579.21</v>
      </c>
      <c r="AQ75" s="231">
        <v>5609.14</v>
      </c>
      <c r="AR75" s="228">
        <v>0</v>
      </c>
      <c r="AS75" s="228">
        <v>904</v>
      </c>
      <c r="AT75" s="230">
        <v>1060</v>
      </c>
      <c r="AU75" s="228">
        <v>-157</v>
      </c>
      <c r="AV75" s="229">
        <v>-0.1477</v>
      </c>
      <c r="AW75" s="228">
        <v>429</v>
      </c>
      <c r="AX75" s="228">
        <v>537</v>
      </c>
      <c r="AY75" s="228">
        <v>-108</v>
      </c>
      <c r="AZ75" s="229">
        <v>-0.20130000000000001</v>
      </c>
      <c r="BA75" s="228">
        <v>471</v>
      </c>
      <c r="BB75" s="228">
        <v>519</v>
      </c>
      <c r="BC75" s="228">
        <v>-49</v>
      </c>
      <c r="BD75" s="229">
        <v>-9.35E-2</v>
      </c>
      <c r="BE75" s="228">
        <v>4</v>
      </c>
      <c r="BF75" s="228">
        <v>4</v>
      </c>
      <c r="BG75" s="228">
        <v>0</v>
      </c>
      <c r="BH75" s="229">
        <v>2.1700000000000001E-2</v>
      </c>
      <c r="BI75" s="230">
        <v>1167</v>
      </c>
      <c r="BJ75" s="230">
        <v>2161</v>
      </c>
      <c r="BK75" s="228">
        <v>-995</v>
      </c>
      <c r="BL75" s="229">
        <v>-0.46029999999999999</v>
      </c>
      <c r="BM75" s="228">
        <v>437</v>
      </c>
      <c r="BN75" s="228">
        <v>935</v>
      </c>
      <c r="BO75" s="228">
        <v>-498</v>
      </c>
      <c r="BP75" s="229">
        <v>-0.53290000000000004</v>
      </c>
      <c r="BQ75" s="230">
        <v>2507</v>
      </c>
      <c r="BR75" s="230">
        <v>4156</v>
      </c>
      <c r="BS75" s="230">
        <v>-1650</v>
      </c>
      <c r="BT75" s="229">
        <v>-0.39689999999999998</v>
      </c>
      <c r="BU75" s="230">
        <v>366513</v>
      </c>
      <c r="BV75" s="230">
        <v>311489</v>
      </c>
      <c r="BW75" s="230">
        <v>55024</v>
      </c>
      <c r="BX75" s="229">
        <v>0.17660000000000001</v>
      </c>
      <c r="BY75" s="230">
        <v>1214</v>
      </c>
      <c r="BZ75" s="230">
        <v>1222</v>
      </c>
      <c r="CA75" s="228">
        <v>-8</v>
      </c>
      <c r="CB75" s="229">
        <v>-6.1999999999999998E-3</v>
      </c>
      <c r="CC75" s="228">
        <v>197</v>
      </c>
      <c r="CD75" s="228">
        <v>505</v>
      </c>
      <c r="CE75" s="228">
        <v>-307</v>
      </c>
      <c r="CF75" s="229">
        <v>-0.60940000000000005</v>
      </c>
      <c r="CG75" s="230">
        <v>1009</v>
      </c>
      <c r="CH75" s="228">
        <v>710</v>
      </c>
      <c r="CI75" s="228">
        <v>299</v>
      </c>
      <c r="CJ75" s="229">
        <v>0.42149999999999999</v>
      </c>
      <c r="CK75" s="228">
        <v>9</v>
      </c>
      <c r="CL75" s="228">
        <v>8</v>
      </c>
      <c r="CM75" s="228">
        <v>1</v>
      </c>
      <c r="CN75" s="229">
        <v>0.1158</v>
      </c>
      <c r="CO75" s="228">
        <v>929</v>
      </c>
      <c r="CP75" s="230">
        <v>1144</v>
      </c>
      <c r="CQ75" s="228">
        <v>-215</v>
      </c>
      <c r="CR75" s="229">
        <v>-0.188</v>
      </c>
      <c r="CS75" s="228">
        <v>496</v>
      </c>
      <c r="CT75" s="228">
        <v>508</v>
      </c>
      <c r="CU75" s="228">
        <v>-11</v>
      </c>
      <c r="CV75" s="229">
        <v>-2.2599999999999999E-2</v>
      </c>
      <c r="CW75" s="230">
        <v>2640</v>
      </c>
      <c r="CX75" s="230">
        <v>2874</v>
      </c>
      <c r="CY75" s="228">
        <v>-234</v>
      </c>
      <c r="CZ75" s="229">
        <v>-8.14E-2</v>
      </c>
      <c r="DA75" s="228">
        <v>22.58</v>
      </c>
      <c r="DB75" s="228">
        <v>22.68</v>
      </c>
      <c r="DC75" s="228">
        <v>-0.1</v>
      </c>
      <c r="DD75" s="228">
        <v>-0.1</v>
      </c>
      <c r="DE75" s="228">
        <v>34.729999999999997</v>
      </c>
      <c r="DF75" s="228">
        <v>34.81</v>
      </c>
      <c r="DG75" s="228">
        <v>-12.15</v>
      </c>
      <c r="DH75" s="228">
        <v>-0.08</v>
      </c>
      <c r="DI75" s="228">
        <v>22.78</v>
      </c>
      <c r="DJ75" s="228">
        <v>22.89</v>
      </c>
      <c r="DK75" s="228">
        <v>-0.11</v>
      </c>
      <c r="DL75" s="228">
        <v>-0.11</v>
      </c>
      <c r="DM75" s="228">
        <v>22.13</v>
      </c>
      <c r="DN75" s="228">
        <v>22.16</v>
      </c>
      <c r="DO75" s="228">
        <v>-0.03</v>
      </c>
      <c r="DP75" s="228">
        <v>-0.03</v>
      </c>
      <c r="DQ75" s="228">
        <v>0.53</v>
      </c>
      <c r="DR75" s="228">
        <v>0.44</v>
      </c>
      <c r="DS75" s="228">
        <v>0.09</v>
      </c>
      <c r="DT75" s="229">
        <v>0.20449999999999999</v>
      </c>
      <c r="DU75" s="231">
        <v>6000</v>
      </c>
      <c r="DV75" s="231">
        <v>5400</v>
      </c>
      <c r="DW75" s="228">
        <v>0.37</v>
      </c>
      <c r="DX75" s="228">
        <v>0.43</v>
      </c>
      <c r="DY75" s="228">
        <v>-0.06</v>
      </c>
      <c r="DZ75" s="229">
        <v>-0.13950000000000001</v>
      </c>
      <c r="EA75" s="229">
        <v>0.8377</v>
      </c>
      <c r="EB75" s="230">
        <v>1288050</v>
      </c>
      <c r="EC75" s="229">
        <v>5.1000000000000004E-3</v>
      </c>
      <c r="ED75" s="229">
        <v>0.8377</v>
      </c>
      <c r="EE75" s="228">
        <v>29.93</v>
      </c>
      <c r="EF75" s="229">
        <v>5.4000000000000003E-3</v>
      </c>
      <c r="EG75" s="230">
        <v>267877</v>
      </c>
      <c r="EH75" s="230">
        <v>187017</v>
      </c>
      <c r="EI75" s="229">
        <v>0.43240000000000001</v>
      </c>
      <c r="EJ75" s="229">
        <v>0.73089999999999999</v>
      </c>
      <c r="EK75" s="231">
        <v>1221.83</v>
      </c>
      <c r="EL75" s="228">
        <v>433.88</v>
      </c>
      <c r="EM75" s="228">
        <v>907.82</v>
      </c>
      <c r="EN75" s="228">
        <v>72.28</v>
      </c>
      <c r="EO75" s="231">
        <v>2563.54</v>
      </c>
      <c r="EP75" s="231">
        <v>4262.97</v>
      </c>
      <c r="EQ75" s="231">
        <v>-1699.43</v>
      </c>
      <c r="ER75" s="229">
        <v>-0.3987</v>
      </c>
      <c r="ES75" s="228">
        <v>986.13</v>
      </c>
      <c r="ET75" s="228">
        <v>490.68</v>
      </c>
      <c r="EU75" s="231">
        <v>1219.73</v>
      </c>
      <c r="EV75" s="231">
        <v>15259458</v>
      </c>
      <c r="EW75" s="231">
        <v>2696.54</v>
      </c>
      <c r="EX75" s="231">
        <v>2933.13</v>
      </c>
      <c r="EY75" s="228">
        <v>-236.59</v>
      </c>
      <c r="EZ75" s="229">
        <v>-8.0699999999999994E-2</v>
      </c>
      <c r="FA75" s="229">
        <v>0.31059999999999999</v>
      </c>
      <c r="FB75" s="227" t="s">
        <v>556</v>
      </c>
      <c r="FC75">
        <f t="shared" si="1"/>
        <v>1017</v>
      </c>
    </row>
    <row r="76" spans="1:159" ht="17.25" thickBot="1" x14ac:dyDescent="0.3">
      <c r="A76" s="226">
        <v>45957</v>
      </c>
      <c r="B76" s="227" t="s">
        <v>172</v>
      </c>
      <c r="C76" s="227" t="s">
        <v>224</v>
      </c>
      <c r="D76" s="228">
        <v>1100</v>
      </c>
      <c r="E76" s="228">
        <v>1</v>
      </c>
      <c r="F76" s="231">
        <v>1004.3</v>
      </c>
      <c r="G76" s="228">
        <v>994.15</v>
      </c>
      <c r="H76" s="228">
        <v>10.15</v>
      </c>
      <c r="I76" s="229">
        <v>1.0200000000000001E-2</v>
      </c>
      <c r="J76" s="231">
        <v>1002.95</v>
      </c>
      <c r="K76" s="228">
        <v>994.75</v>
      </c>
      <c r="L76" s="228">
        <v>8.1999999999999993</v>
      </c>
      <c r="M76" s="229">
        <v>8.2000000000000007E-3</v>
      </c>
      <c r="N76" s="231">
        <v>1004.3</v>
      </c>
      <c r="O76" s="228">
        <v>994.15</v>
      </c>
      <c r="P76" s="228">
        <v>10.15</v>
      </c>
      <c r="Q76" s="229">
        <v>1.0200000000000001E-2</v>
      </c>
      <c r="R76" s="231">
        <v>1009.95</v>
      </c>
      <c r="S76" s="231">
        <v>1000</v>
      </c>
      <c r="T76" s="228">
        <v>9.9499999999999993</v>
      </c>
      <c r="U76" s="229">
        <v>0.01</v>
      </c>
      <c r="V76" s="231">
        <v>1016.75</v>
      </c>
      <c r="W76" s="231">
        <v>1006.25</v>
      </c>
      <c r="X76" s="228">
        <v>10.5</v>
      </c>
      <c r="Y76" s="229">
        <v>1.04E-2</v>
      </c>
      <c r="Z76" s="228">
        <v>1.35</v>
      </c>
      <c r="AA76" s="228">
        <v>-0.6</v>
      </c>
      <c r="AB76" s="228">
        <v>1.95</v>
      </c>
      <c r="AC76" s="229">
        <v>1.2999999999999999E-3</v>
      </c>
      <c r="AD76" s="228">
        <v>1.35</v>
      </c>
      <c r="AE76" s="228">
        <v>-0.6</v>
      </c>
      <c r="AF76" s="228">
        <v>1.95</v>
      </c>
      <c r="AG76" s="229">
        <v>1.2999999999999999E-3</v>
      </c>
      <c r="AH76" s="228">
        <v>7</v>
      </c>
      <c r="AI76" s="228">
        <v>5.25</v>
      </c>
      <c r="AJ76" s="228">
        <v>1.75</v>
      </c>
      <c r="AK76" s="229">
        <v>7.0000000000000001E-3</v>
      </c>
      <c r="AL76" s="228">
        <v>13.8</v>
      </c>
      <c r="AM76" s="228">
        <v>11.5</v>
      </c>
      <c r="AN76" s="228">
        <v>2.2999999999999998</v>
      </c>
      <c r="AO76" s="229">
        <v>1.38E-2</v>
      </c>
      <c r="AP76" s="231">
        <v>1005.41</v>
      </c>
      <c r="AQ76" s="231">
        <v>1011.17</v>
      </c>
      <c r="AR76" s="228">
        <v>0</v>
      </c>
      <c r="AS76" s="230">
        <v>11118</v>
      </c>
      <c r="AT76" s="230">
        <v>14477</v>
      </c>
      <c r="AU76" s="230">
        <v>-3358</v>
      </c>
      <c r="AV76" s="229">
        <v>-0.23200000000000001</v>
      </c>
      <c r="AW76" s="230">
        <v>5361</v>
      </c>
      <c r="AX76" s="230">
        <v>7393</v>
      </c>
      <c r="AY76" s="230">
        <v>-2032</v>
      </c>
      <c r="AZ76" s="229">
        <v>-0.27479999999999999</v>
      </c>
      <c r="BA76" s="230">
        <v>5713</v>
      </c>
      <c r="BB76" s="230">
        <v>7050</v>
      </c>
      <c r="BC76" s="230">
        <v>-1337</v>
      </c>
      <c r="BD76" s="229">
        <v>-0.18959999999999999</v>
      </c>
      <c r="BE76" s="228">
        <v>44</v>
      </c>
      <c r="BF76" s="228">
        <v>34</v>
      </c>
      <c r="BG76" s="228">
        <v>10</v>
      </c>
      <c r="BH76" s="229">
        <v>0.2984</v>
      </c>
      <c r="BI76" s="230">
        <v>8977</v>
      </c>
      <c r="BJ76" s="230">
        <v>9512</v>
      </c>
      <c r="BK76" s="228">
        <v>-535</v>
      </c>
      <c r="BL76" s="229">
        <v>-5.6300000000000003E-2</v>
      </c>
      <c r="BM76" s="230">
        <v>5966</v>
      </c>
      <c r="BN76" s="230">
        <v>8064</v>
      </c>
      <c r="BO76" s="230">
        <v>-2098</v>
      </c>
      <c r="BP76" s="229">
        <v>-0.26019999999999999</v>
      </c>
      <c r="BQ76" s="230">
        <v>26061</v>
      </c>
      <c r="BR76" s="230">
        <v>32053</v>
      </c>
      <c r="BS76" s="230">
        <v>-5992</v>
      </c>
      <c r="BT76" s="229">
        <v>-0.18690000000000001</v>
      </c>
      <c r="BU76" s="230">
        <v>15988637</v>
      </c>
      <c r="BV76" s="230">
        <v>18053780</v>
      </c>
      <c r="BW76" s="230">
        <v>-2065143</v>
      </c>
      <c r="BX76" s="229">
        <v>-0.1144</v>
      </c>
      <c r="BY76" s="230">
        <v>21155</v>
      </c>
      <c r="BZ76" s="230">
        <v>21346</v>
      </c>
      <c r="CA76" s="228">
        <v>-191</v>
      </c>
      <c r="CB76" s="229">
        <v>-8.8999999999999999E-3</v>
      </c>
      <c r="CC76" s="230">
        <v>3082</v>
      </c>
      <c r="CD76" s="230">
        <v>7621</v>
      </c>
      <c r="CE76" s="230">
        <v>-4539</v>
      </c>
      <c r="CF76" s="229">
        <v>-0.59560000000000002</v>
      </c>
      <c r="CG76" s="230">
        <v>17562</v>
      </c>
      <c r="CH76" s="230">
        <v>13226</v>
      </c>
      <c r="CI76" s="230">
        <v>4336</v>
      </c>
      <c r="CJ76" s="229">
        <v>0.32790000000000002</v>
      </c>
      <c r="CK76" s="228">
        <v>510</v>
      </c>
      <c r="CL76" s="228">
        <v>499</v>
      </c>
      <c r="CM76" s="228">
        <v>12</v>
      </c>
      <c r="CN76" s="229">
        <v>2.3699999999999999E-2</v>
      </c>
      <c r="CO76" s="230">
        <v>3381</v>
      </c>
      <c r="CP76" s="230">
        <v>3774</v>
      </c>
      <c r="CQ76" s="228">
        <v>-394</v>
      </c>
      <c r="CR76" s="229">
        <v>-0.1043</v>
      </c>
      <c r="CS76" s="230">
        <v>3180</v>
      </c>
      <c r="CT76" s="230">
        <v>3296</v>
      </c>
      <c r="CU76" s="228">
        <v>-116</v>
      </c>
      <c r="CV76" s="229">
        <v>-3.5299999999999998E-2</v>
      </c>
      <c r="CW76" s="230">
        <v>27715</v>
      </c>
      <c r="CX76" s="230">
        <v>28416</v>
      </c>
      <c r="CY76" s="228">
        <v>-701</v>
      </c>
      <c r="CZ76" s="229">
        <v>-2.47E-2</v>
      </c>
      <c r="DA76" s="228">
        <v>16.93</v>
      </c>
      <c r="DB76" s="228">
        <v>17</v>
      </c>
      <c r="DC76" s="228">
        <v>-7.0000000000000007E-2</v>
      </c>
      <c r="DD76" s="228">
        <v>-7.0000000000000007E-2</v>
      </c>
      <c r="DE76" s="228">
        <v>21.04</v>
      </c>
      <c r="DF76" s="228">
        <v>21.06</v>
      </c>
      <c r="DG76" s="228">
        <v>-4.1100000000000003</v>
      </c>
      <c r="DH76" s="228">
        <v>-0.02</v>
      </c>
      <c r="DI76" s="228">
        <v>16.71</v>
      </c>
      <c r="DJ76" s="228">
        <v>16.739999999999998</v>
      </c>
      <c r="DK76" s="228">
        <v>-0.03</v>
      </c>
      <c r="DL76" s="228">
        <v>-0.03</v>
      </c>
      <c r="DM76" s="228">
        <v>17.29</v>
      </c>
      <c r="DN76" s="228">
        <v>17.38</v>
      </c>
      <c r="DO76" s="228">
        <v>-0.09</v>
      </c>
      <c r="DP76" s="228">
        <v>-0.09</v>
      </c>
      <c r="DQ76" s="228">
        <v>0.94</v>
      </c>
      <c r="DR76" s="228">
        <v>0.87</v>
      </c>
      <c r="DS76" s="228">
        <v>7.0000000000000007E-2</v>
      </c>
      <c r="DT76" s="229">
        <v>8.0500000000000002E-2</v>
      </c>
      <c r="DU76" s="231">
        <v>1020</v>
      </c>
      <c r="DV76" s="231">
        <v>1000</v>
      </c>
      <c r="DW76" s="228">
        <v>0.66</v>
      </c>
      <c r="DX76" s="228">
        <v>0.85</v>
      </c>
      <c r="DY76" s="228">
        <v>-0.19</v>
      </c>
      <c r="DZ76" s="229">
        <v>-0.2235</v>
      </c>
      <c r="EA76" s="229">
        <v>0.85429999999999995</v>
      </c>
      <c r="EB76" s="230">
        <v>136657400</v>
      </c>
      <c r="EC76" s="229">
        <v>5.5999999999999999E-3</v>
      </c>
      <c r="ED76" s="229">
        <v>0.85429999999999995</v>
      </c>
      <c r="EE76" s="228">
        <v>5.76</v>
      </c>
      <c r="EF76" s="229">
        <v>5.7000000000000002E-3</v>
      </c>
      <c r="EG76" s="230">
        <v>11001548</v>
      </c>
      <c r="EH76" s="230">
        <v>10501298</v>
      </c>
      <c r="EI76" s="229">
        <v>4.7600000000000003E-2</v>
      </c>
      <c r="EJ76" s="229">
        <v>0.68810000000000004</v>
      </c>
      <c r="EK76" s="231">
        <v>9139.8799999999992</v>
      </c>
      <c r="EL76" s="231">
        <v>5906.34</v>
      </c>
      <c r="EM76" s="231">
        <v>11164.04</v>
      </c>
      <c r="EN76" s="228">
        <v>731.53</v>
      </c>
      <c r="EO76" s="231">
        <v>26210.26</v>
      </c>
      <c r="EP76" s="231">
        <v>32107.77</v>
      </c>
      <c r="EQ76" s="231">
        <v>-5897.51</v>
      </c>
      <c r="ER76" s="229">
        <v>-0.1837</v>
      </c>
      <c r="ES76" s="231">
        <v>3446.12</v>
      </c>
      <c r="ET76" s="231">
        <v>3059.67</v>
      </c>
      <c r="EU76" s="231">
        <v>21259.82</v>
      </c>
      <c r="EV76" s="231">
        <v>1329733550</v>
      </c>
      <c r="EW76" s="231">
        <v>27765.62</v>
      </c>
      <c r="EX76" s="231">
        <v>28218.41</v>
      </c>
      <c r="EY76" s="228">
        <v>-452.79</v>
      </c>
      <c r="EZ76" s="229">
        <v>-1.6E-2</v>
      </c>
      <c r="FA76" s="229">
        <v>0.20749999999999999</v>
      </c>
      <c r="FB76" s="227" t="s">
        <v>556</v>
      </c>
      <c r="FC76">
        <f t="shared" si="1"/>
        <v>18073</v>
      </c>
    </row>
    <row r="77" spans="1:159" ht="17.25" thickBot="1" x14ac:dyDescent="0.3">
      <c r="A77" s="226">
        <v>45957</v>
      </c>
      <c r="B77" s="227" t="s">
        <v>175</v>
      </c>
      <c r="C77" s="227" t="s">
        <v>225</v>
      </c>
      <c r="D77" s="228">
        <v>1100</v>
      </c>
      <c r="E77" s="228">
        <v>1</v>
      </c>
      <c r="F77" s="228">
        <v>739.3</v>
      </c>
      <c r="G77" s="228">
        <v>735.8</v>
      </c>
      <c r="H77" s="228">
        <v>3.5</v>
      </c>
      <c r="I77" s="229">
        <v>4.7999999999999996E-3</v>
      </c>
      <c r="J77" s="228">
        <v>737.25</v>
      </c>
      <c r="K77" s="228">
        <v>734.95</v>
      </c>
      <c r="L77" s="228">
        <v>2.2999999999999998</v>
      </c>
      <c r="M77" s="229">
        <v>3.0999999999999999E-3</v>
      </c>
      <c r="N77" s="228">
        <v>739.3</v>
      </c>
      <c r="O77" s="228">
        <v>735.8</v>
      </c>
      <c r="P77" s="228">
        <v>3.5</v>
      </c>
      <c r="Q77" s="229">
        <v>4.7999999999999996E-3</v>
      </c>
      <c r="R77" s="228">
        <v>742.15</v>
      </c>
      <c r="S77" s="228">
        <v>739.7</v>
      </c>
      <c r="T77" s="228">
        <v>2.4500000000000002</v>
      </c>
      <c r="U77" s="229">
        <v>3.3E-3</v>
      </c>
      <c r="V77" s="228">
        <v>746.75</v>
      </c>
      <c r="W77" s="228">
        <v>745.2</v>
      </c>
      <c r="X77" s="228">
        <v>1.55</v>
      </c>
      <c r="Y77" s="229">
        <v>2.0999999999999999E-3</v>
      </c>
      <c r="Z77" s="228">
        <v>2.0499999999999998</v>
      </c>
      <c r="AA77" s="228">
        <v>0.85</v>
      </c>
      <c r="AB77" s="228">
        <v>1.2</v>
      </c>
      <c r="AC77" s="229">
        <v>2.8E-3</v>
      </c>
      <c r="AD77" s="228">
        <v>2.0499999999999998</v>
      </c>
      <c r="AE77" s="228">
        <v>0.85</v>
      </c>
      <c r="AF77" s="228">
        <v>1.2</v>
      </c>
      <c r="AG77" s="229">
        <v>2.8E-3</v>
      </c>
      <c r="AH77" s="228">
        <v>4.9000000000000004</v>
      </c>
      <c r="AI77" s="228">
        <v>4.75</v>
      </c>
      <c r="AJ77" s="228">
        <v>0.15</v>
      </c>
      <c r="AK77" s="229">
        <v>6.6E-3</v>
      </c>
      <c r="AL77" s="228">
        <v>9.5</v>
      </c>
      <c r="AM77" s="228">
        <v>10.25</v>
      </c>
      <c r="AN77" s="228">
        <v>-0.75</v>
      </c>
      <c r="AO77" s="229">
        <v>1.29E-2</v>
      </c>
      <c r="AP77" s="228">
        <v>738.08</v>
      </c>
      <c r="AQ77" s="228">
        <v>741.91</v>
      </c>
      <c r="AR77" s="228">
        <v>0</v>
      </c>
      <c r="AS77" s="230">
        <v>2128</v>
      </c>
      <c r="AT77" s="230">
        <v>1769</v>
      </c>
      <c r="AU77" s="228">
        <v>360</v>
      </c>
      <c r="AV77" s="229">
        <v>0.20330000000000001</v>
      </c>
      <c r="AW77" s="230">
        <v>1001</v>
      </c>
      <c r="AX77" s="228">
        <v>862</v>
      </c>
      <c r="AY77" s="228">
        <v>139</v>
      </c>
      <c r="AZ77" s="229">
        <v>0.16159999999999999</v>
      </c>
      <c r="BA77" s="230">
        <v>1118</v>
      </c>
      <c r="BB77" s="228">
        <v>902</v>
      </c>
      <c r="BC77" s="228">
        <v>216</v>
      </c>
      <c r="BD77" s="229">
        <v>0.2394</v>
      </c>
      <c r="BE77" s="228">
        <v>9</v>
      </c>
      <c r="BF77" s="228">
        <v>4</v>
      </c>
      <c r="BG77" s="228">
        <v>4</v>
      </c>
      <c r="BH77" s="229">
        <v>0.96360000000000001</v>
      </c>
      <c r="BI77" s="230">
        <v>1234</v>
      </c>
      <c r="BJ77" s="228">
        <v>964</v>
      </c>
      <c r="BK77" s="228">
        <v>270</v>
      </c>
      <c r="BL77" s="229">
        <v>0.27960000000000002</v>
      </c>
      <c r="BM77" s="228">
        <v>540</v>
      </c>
      <c r="BN77" s="228">
        <v>324</v>
      </c>
      <c r="BO77" s="228">
        <v>216</v>
      </c>
      <c r="BP77" s="229">
        <v>0.6673</v>
      </c>
      <c r="BQ77" s="230">
        <v>3902</v>
      </c>
      <c r="BR77" s="230">
        <v>3057</v>
      </c>
      <c r="BS77" s="228">
        <v>845</v>
      </c>
      <c r="BT77" s="229">
        <v>0.27650000000000002</v>
      </c>
      <c r="BU77" s="230">
        <v>3804039</v>
      </c>
      <c r="BV77" s="230">
        <v>2769438</v>
      </c>
      <c r="BW77" s="230">
        <v>1034601</v>
      </c>
      <c r="BX77" s="229">
        <v>0.37359999999999999</v>
      </c>
      <c r="BY77" s="230">
        <v>2470</v>
      </c>
      <c r="BZ77" s="230">
        <v>2509</v>
      </c>
      <c r="CA77" s="228">
        <v>-39</v>
      </c>
      <c r="CB77" s="229">
        <v>-1.5599999999999999E-2</v>
      </c>
      <c r="CC77" s="228">
        <v>317</v>
      </c>
      <c r="CD77" s="230">
        <v>1074</v>
      </c>
      <c r="CE77" s="228">
        <v>-757</v>
      </c>
      <c r="CF77" s="229">
        <v>-0.70469999999999999</v>
      </c>
      <c r="CG77" s="230">
        <v>2136</v>
      </c>
      <c r="CH77" s="230">
        <v>1422</v>
      </c>
      <c r="CI77" s="228">
        <v>715</v>
      </c>
      <c r="CJ77" s="229">
        <v>0.50260000000000005</v>
      </c>
      <c r="CK77" s="228">
        <v>16</v>
      </c>
      <c r="CL77" s="228">
        <v>13</v>
      </c>
      <c r="CM77" s="228">
        <v>3</v>
      </c>
      <c r="CN77" s="229">
        <v>0.23169999999999999</v>
      </c>
      <c r="CO77" s="228">
        <v>961</v>
      </c>
      <c r="CP77" s="230">
        <v>1004</v>
      </c>
      <c r="CQ77" s="228">
        <v>-43</v>
      </c>
      <c r="CR77" s="229">
        <v>-4.3099999999999999E-2</v>
      </c>
      <c r="CS77" s="228">
        <v>482</v>
      </c>
      <c r="CT77" s="228">
        <v>525</v>
      </c>
      <c r="CU77" s="228">
        <v>-43</v>
      </c>
      <c r="CV77" s="229">
        <v>-8.1500000000000003E-2</v>
      </c>
      <c r="CW77" s="230">
        <v>3913</v>
      </c>
      <c r="CX77" s="230">
        <v>4038</v>
      </c>
      <c r="CY77" s="228">
        <v>-125</v>
      </c>
      <c r="CZ77" s="229">
        <v>-3.1E-2</v>
      </c>
      <c r="DA77" s="228">
        <v>19.98</v>
      </c>
      <c r="DB77" s="228">
        <v>19.79</v>
      </c>
      <c r="DC77" s="228">
        <v>0.19</v>
      </c>
      <c r="DD77" s="228">
        <v>0.19</v>
      </c>
      <c r="DE77" s="228">
        <v>25.79</v>
      </c>
      <c r="DF77" s="228">
        <v>25.85</v>
      </c>
      <c r="DG77" s="228">
        <v>-5.81</v>
      </c>
      <c r="DH77" s="228">
        <v>-0.06</v>
      </c>
      <c r="DI77" s="228">
        <v>20.27</v>
      </c>
      <c r="DJ77" s="228">
        <v>20.18</v>
      </c>
      <c r="DK77" s="228">
        <v>0.09</v>
      </c>
      <c r="DL77" s="228">
        <v>0.09</v>
      </c>
      <c r="DM77" s="228">
        <v>19.27</v>
      </c>
      <c r="DN77" s="228">
        <v>19.100000000000001</v>
      </c>
      <c r="DO77" s="228">
        <v>0.17</v>
      </c>
      <c r="DP77" s="228">
        <v>0.17</v>
      </c>
      <c r="DQ77" s="228">
        <v>0.5</v>
      </c>
      <c r="DR77" s="228">
        <v>0.52</v>
      </c>
      <c r="DS77" s="228">
        <v>-0.02</v>
      </c>
      <c r="DT77" s="229">
        <v>-3.85E-2</v>
      </c>
      <c r="DU77" s="228">
        <v>800</v>
      </c>
      <c r="DV77" s="228">
        <v>740</v>
      </c>
      <c r="DW77" s="228">
        <v>0.44</v>
      </c>
      <c r="DX77" s="228">
        <v>0.34</v>
      </c>
      <c r="DY77" s="228">
        <v>0.1</v>
      </c>
      <c r="DZ77" s="229">
        <v>0.29409999999999997</v>
      </c>
      <c r="EA77" s="229">
        <v>0.87160000000000004</v>
      </c>
      <c r="EB77" s="230">
        <v>19410600</v>
      </c>
      <c r="EC77" s="229">
        <v>3.8999999999999998E-3</v>
      </c>
      <c r="ED77" s="229">
        <v>0.87160000000000004</v>
      </c>
      <c r="EE77" s="228">
        <v>3.83</v>
      </c>
      <c r="EF77" s="229">
        <v>5.1999999999999998E-3</v>
      </c>
      <c r="EG77" s="230">
        <v>2513810</v>
      </c>
      <c r="EH77" s="230">
        <v>2074854</v>
      </c>
      <c r="EI77" s="229">
        <v>0.21160000000000001</v>
      </c>
      <c r="EJ77" s="229">
        <v>0.66080000000000005</v>
      </c>
      <c r="EK77" s="231">
        <v>1276.97</v>
      </c>
      <c r="EL77" s="228">
        <v>545.07000000000005</v>
      </c>
      <c r="EM77" s="231">
        <v>2130.5300000000002</v>
      </c>
      <c r="EN77" s="228">
        <v>106.04</v>
      </c>
      <c r="EO77" s="231">
        <v>3952.57</v>
      </c>
      <c r="EP77" s="231">
        <v>3098.12</v>
      </c>
      <c r="EQ77" s="228">
        <v>854.44</v>
      </c>
      <c r="ER77" s="229">
        <v>0.27579999999999999</v>
      </c>
      <c r="ES77" s="231">
        <v>1021.79</v>
      </c>
      <c r="ET77" s="228">
        <v>474.7</v>
      </c>
      <c r="EU77" s="231">
        <v>2478.1</v>
      </c>
      <c r="EV77" s="231">
        <v>119296253</v>
      </c>
      <c r="EW77" s="231">
        <v>3974.59</v>
      </c>
      <c r="EX77" s="231">
        <v>4090.22</v>
      </c>
      <c r="EY77" s="228">
        <v>-115.63</v>
      </c>
      <c r="EZ77" s="229">
        <v>-2.8299999999999999E-2</v>
      </c>
      <c r="FA77" s="229">
        <v>0.44369999999999998</v>
      </c>
      <c r="FB77" s="227" t="s">
        <v>556</v>
      </c>
      <c r="FC77">
        <f t="shared" si="1"/>
        <v>2153</v>
      </c>
    </row>
    <row r="78" spans="1:159" ht="17.25" thickBot="1" x14ac:dyDescent="0.3">
      <c r="A78" s="226">
        <v>45957</v>
      </c>
      <c r="B78" s="227" t="s">
        <v>162</v>
      </c>
      <c r="C78" s="227" t="s">
        <v>226</v>
      </c>
      <c r="D78" s="228">
        <v>150</v>
      </c>
      <c r="E78" s="228">
        <v>1</v>
      </c>
      <c r="F78" s="231">
        <v>5650</v>
      </c>
      <c r="G78" s="231">
        <v>5535</v>
      </c>
      <c r="H78" s="228">
        <v>115</v>
      </c>
      <c r="I78" s="229">
        <v>2.0799999999999999E-2</v>
      </c>
      <c r="J78" s="231">
        <v>5646.5</v>
      </c>
      <c r="K78" s="231">
        <v>5540.5</v>
      </c>
      <c r="L78" s="228">
        <v>106</v>
      </c>
      <c r="M78" s="229">
        <v>1.9099999999999999E-2</v>
      </c>
      <c r="N78" s="231">
        <v>5650</v>
      </c>
      <c r="O78" s="231">
        <v>5535</v>
      </c>
      <c r="P78" s="228">
        <v>115</v>
      </c>
      <c r="Q78" s="229">
        <v>2.0799999999999999E-2</v>
      </c>
      <c r="R78" s="231">
        <v>5679.5</v>
      </c>
      <c r="S78" s="231">
        <v>5565</v>
      </c>
      <c r="T78" s="228">
        <v>114.5</v>
      </c>
      <c r="U78" s="229">
        <v>2.06E-2</v>
      </c>
      <c r="V78" s="231">
        <v>5695.5</v>
      </c>
      <c r="W78" s="231">
        <v>5588.5</v>
      </c>
      <c r="X78" s="228">
        <v>107</v>
      </c>
      <c r="Y78" s="229">
        <v>1.9099999999999999E-2</v>
      </c>
      <c r="Z78" s="228">
        <v>3.5</v>
      </c>
      <c r="AA78" s="228">
        <v>-5.5</v>
      </c>
      <c r="AB78" s="228">
        <v>9</v>
      </c>
      <c r="AC78" s="229">
        <v>5.9999999999999995E-4</v>
      </c>
      <c r="AD78" s="228">
        <v>3.5</v>
      </c>
      <c r="AE78" s="228">
        <v>-5.5</v>
      </c>
      <c r="AF78" s="228">
        <v>9</v>
      </c>
      <c r="AG78" s="229">
        <v>5.9999999999999995E-4</v>
      </c>
      <c r="AH78" s="228">
        <v>33</v>
      </c>
      <c r="AI78" s="228">
        <v>24.5</v>
      </c>
      <c r="AJ78" s="228">
        <v>8.5</v>
      </c>
      <c r="AK78" s="229">
        <v>5.7999999999999996E-3</v>
      </c>
      <c r="AL78" s="228">
        <v>49</v>
      </c>
      <c r="AM78" s="228">
        <v>48</v>
      </c>
      <c r="AN78" s="228">
        <v>1</v>
      </c>
      <c r="AO78" s="229">
        <v>8.6999999999999994E-3</v>
      </c>
      <c r="AP78" s="231">
        <v>5627.35</v>
      </c>
      <c r="AQ78" s="231">
        <v>5658.79</v>
      </c>
      <c r="AR78" s="228">
        <v>0</v>
      </c>
      <c r="AS78" s="230">
        <v>2410</v>
      </c>
      <c r="AT78" s="230">
        <v>2123</v>
      </c>
      <c r="AU78" s="228">
        <v>286</v>
      </c>
      <c r="AV78" s="229">
        <v>0.13489999999999999</v>
      </c>
      <c r="AW78" s="230">
        <v>1137</v>
      </c>
      <c r="AX78" s="230">
        <v>1063</v>
      </c>
      <c r="AY78" s="228">
        <v>73</v>
      </c>
      <c r="AZ78" s="229">
        <v>6.9099999999999995E-2</v>
      </c>
      <c r="BA78" s="230">
        <v>1265</v>
      </c>
      <c r="BB78" s="230">
        <v>1053</v>
      </c>
      <c r="BC78" s="228">
        <v>211</v>
      </c>
      <c r="BD78" s="229">
        <v>0.2006</v>
      </c>
      <c r="BE78" s="228">
        <v>8</v>
      </c>
      <c r="BF78" s="228">
        <v>7</v>
      </c>
      <c r="BG78" s="228">
        <v>2</v>
      </c>
      <c r="BH78" s="229">
        <v>0.24049999999999999</v>
      </c>
      <c r="BI78" s="230">
        <v>3304</v>
      </c>
      <c r="BJ78" s="230">
        <v>2629</v>
      </c>
      <c r="BK78" s="228">
        <v>676</v>
      </c>
      <c r="BL78" s="229">
        <v>0.25700000000000001</v>
      </c>
      <c r="BM78" s="230">
        <v>1772</v>
      </c>
      <c r="BN78" s="230">
        <v>1394</v>
      </c>
      <c r="BO78" s="228">
        <v>377</v>
      </c>
      <c r="BP78" s="229">
        <v>0.27039999999999997</v>
      </c>
      <c r="BQ78" s="230">
        <v>7485</v>
      </c>
      <c r="BR78" s="230">
        <v>6146</v>
      </c>
      <c r="BS78" s="230">
        <v>1339</v>
      </c>
      <c r="BT78" s="229">
        <v>0.21779999999999999</v>
      </c>
      <c r="BU78" s="230">
        <v>448619</v>
      </c>
      <c r="BV78" s="230">
        <v>557003</v>
      </c>
      <c r="BW78" s="230">
        <v>-108384</v>
      </c>
      <c r="BX78" s="229">
        <v>-0.1946</v>
      </c>
      <c r="BY78" s="230">
        <v>2716</v>
      </c>
      <c r="BZ78" s="230">
        <v>2808</v>
      </c>
      <c r="CA78" s="228">
        <v>-92</v>
      </c>
      <c r="CB78" s="229">
        <v>-3.27E-2</v>
      </c>
      <c r="CC78" s="228">
        <v>409</v>
      </c>
      <c r="CD78" s="230">
        <v>1171</v>
      </c>
      <c r="CE78" s="228">
        <v>-762</v>
      </c>
      <c r="CF78" s="229">
        <v>-0.65100000000000002</v>
      </c>
      <c r="CG78" s="230">
        <v>2289</v>
      </c>
      <c r="CH78" s="230">
        <v>1620</v>
      </c>
      <c r="CI78" s="228">
        <v>669</v>
      </c>
      <c r="CJ78" s="229">
        <v>0.41299999999999998</v>
      </c>
      <c r="CK78" s="228">
        <v>18</v>
      </c>
      <c r="CL78" s="228">
        <v>17</v>
      </c>
      <c r="CM78" s="228">
        <v>1</v>
      </c>
      <c r="CN78" s="229">
        <v>7.3899999999999993E-2</v>
      </c>
      <c r="CO78" s="230">
        <v>1100</v>
      </c>
      <c r="CP78" s="230">
        <v>1322</v>
      </c>
      <c r="CQ78" s="228">
        <v>-222</v>
      </c>
      <c r="CR78" s="229">
        <v>-0.1676</v>
      </c>
      <c r="CS78" s="228">
        <v>862</v>
      </c>
      <c r="CT78" s="228">
        <v>872</v>
      </c>
      <c r="CU78" s="228">
        <v>-10</v>
      </c>
      <c r="CV78" s="229">
        <v>-1.15E-2</v>
      </c>
      <c r="CW78" s="230">
        <v>4678</v>
      </c>
      <c r="CX78" s="230">
        <v>5001</v>
      </c>
      <c r="CY78" s="228">
        <v>-323</v>
      </c>
      <c r="CZ78" s="229">
        <v>-6.4600000000000005E-2</v>
      </c>
      <c r="DA78" s="228">
        <v>25.24</v>
      </c>
      <c r="DB78" s="228">
        <v>25.8</v>
      </c>
      <c r="DC78" s="228">
        <v>-0.56000000000000005</v>
      </c>
      <c r="DD78" s="228">
        <v>-0.56000000000000005</v>
      </c>
      <c r="DE78" s="228">
        <v>30.44</v>
      </c>
      <c r="DF78" s="228">
        <v>30.41</v>
      </c>
      <c r="DG78" s="228">
        <v>-5.2</v>
      </c>
      <c r="DH78" s="228">
        <v>0.03</v>
      </c>
      <c r="DI78" s="228">
        <v>25.18</v>
      </c>
      <c r="DJ78" s="228">
        <v>25.83</v>
      </c>
      <c r="DK78" s="228">
        <v>-0.65</v>
      </c>
      <c r="DL78" s="228">
        <v>-0.65</v>
      </c>
      <c r="DM78" s="228">
        <v>25.32</v>
      </c>
      <c r="DN78" s="228">
        <v>25.75</v>
      </c>
      <c r="DO78" s="228">
        <v>-0.43</v>
      </c>
      <c r="DP78" s="228">
        <v>-0.43</v>
      </c>
      <c r="DQ78" s="228">
        <v>0.78</v>
      </c>
      <c r="DR78" s="228">
        <v>0.66</v>
      </c>
      <c r="DS78" s="228">
        <v>0.12</v>
      </c>
      <c r="DT78" s="229">
        <v>0.18179999999999999</v>
      </c>
      <c r="DU78" s="231">
        <v>6000</v>
      </c>
      <c r="DV78" s="231">
        <v>5400</v>
      </c>
      <c r="DW78" s="228">
        <v>0.54</v>
      </c>
      <c r="DX78" s="228">
        <v>0.53</v>
      </c>
      <c r="DY78" s="228">
        <v>0.01</v>
      </c>
      <c r="DZ78" s="229">
        <v>1.89E-2</v>
      </c>
      <c r="EA78" s="229">
        <v>0.84960000000000002</v>
      </c>
      <c r="EB78" s="230">
        <v>2897850</v>
      </c>
      <c r="EC78" s="229">
        <v>5.1999999999999998E-3</v>
      </c>
      <c r="ED78" s="229">
        <v>0.84960000000000002</v>
      </c>
      <c r="EE78" s="228">
        <v>31.44</v>
      </c>
      <c r="EF78" s="229">
        <v>5.5999999999999999E-3</v>
      </c>
      <c r="EG78" s="230">
        <v>235523</v>
      </c>
      <c r="EH78" s="230">
        <v>286085</v>
      </c>
      <c r="EI78" s="229">
        <v>-0.1767</v>
      </c>
      <c r="EJ78" s="229">
        <v>0.52500000000000002</v>
      </c>
      <c r="EK78" s="231">
        <v>3375</v>
      </c>
      <c r="EL78" s="231">
        <v>1728.92</v>
      </c>
      <c r="EM78" s="231">
        <v>2407.2199999999998</v>
      </c>
      <c r="EN78" s="228">
        <v>158.30000000000001</v>
      </c>
      <c r="EO78" s="231">
        <v>7511.14</v>
      </c>
      <c r="EP78" s="231">
        <v>6116.17</v>
      </c>
      <c r="EQ78" s="231">
        <v>1394.98</v>
      </c>
      <c r="ER78" s="229">
        <v>0.2281</v>
      </c>
      <c r="ES78" s="231">
        <v>1137.32</v>
      </c>
      <c r="ET78" s="228">
        <v>812.75</v>
      </c>
      <c r="EU78" s="231">
        <v>2728.25</v>
      </c>
      <c r="EV78" s="231">
        <v>19579129</v>
      </c>
      <c r="EW78" s="231">
        <v>4678.33</v>
      </c>
      <c r="EX78" s="231">
        <v>4935.21</v>
      </c>
      <c r="EY78" s="228">
        <v>-256.88</v>
      </c>
      <c r="EZ78" s="229">
        <v>-5.21E-2</v>
      </c>
      <c r="FA78" s="229">
        <v>0.4229</v>
      </c>
      <c r="FB78" s="227" t="s">
        <v>556</v>
      </c>
      <c r="FC78">
        <f t="shared" si="1"/>
        <v>2307</v>
      </c>
    </row>
    <row r="79" spans="1:159" ht="17.25" thickBot="1" x14ac:dyDescent="0.3">
      <c r="A79" s="226">
        <v>45957</v>
      </c>
      <c r="B79" s="227" t="s">
        <v>221</v>
      </c>
      <c r="C79" s="227" t="s">
        <v>576</v>
      </c>
      <c r="D79" s="228">
        <v>6450</v>
      </c>
      <c r="E79" s="228">
        <v>1</v>
      </c>
      <c r="F79" s="228">
        <v>76.86</v>
      </c>
      <c r="G79" s="228">
        <v>77.8</v>
      </c>
      <c r="H79" s="228">
        <v>-0.94</v>
      </c>
      <c r="I79" s="229">
        <v>-1.21E-2</v>
      </c>
      <c r="J79" s="228">
        <v>76.849999999999994</v>
      </c>
      <c r="K79" s="228">
        <v>77.739999999999995</v>
      </c>
      <c r="L79" s="228">
        <v>-0.89</v>
      </c>
      <c r="M79" s="229">
        <v>-1.14E-2</v>
      </c>
      <c r="N79" s="228">
        <v>76.86</v>
      </c>
      <c r="O79" s="228">
        <v>77.8</v>
      </c>
      <c r="P79" s="228">
        <v>-0.94</v>
      </c>
      <c r="Q79" s="229">
        <v>-1.21E-2</v>
      </c>
      <c r="R79" s="228">
        <v>77.28</v>
      </c>
      <c r="S79" s="228">
        <v>78.22</v>
      </c>
      <c r="T79" s="228">
        <v>-0.94</v>
      </c>
      <c r="U79" s="229">
        <v>-1.2E-2</v>
      </c>
      <c r="V79" s="228">
        <v>77.790000000000006</v>
      </c>
      <c r="W79" s="228">
        <v>78.81</v>
      </c>
      <c r="X79" s="228">
        <v>-1.02</v>
      </c>
      <c r="Y79" s="229">
        <v>-1.29E-2</v>
      </c>
      <c r="Z79" s="228">
        <v>0.01</v>
      </c>
      <c r="AA79" s="228">
        <v>0.06</v>
      </c>
      <c r="AB79" s="228">
        <v>-0.05</v>
      </c>
      <c r="AC79" s="229">
        <v>1E-4</v>
      </c>
      <c r="AD79" s="228">
        <v>0.01</v>
      </c>
      <c r="AE79" s="228">
        <v>0.06</v>
      </c>
      <c r="AF79" s="228">
        <v>-0.05</v>
      </c>
      <c r="AG79" s="229">
        <v>1E-4</v>
      </c>
      <c r="AH79" s="228">
        <v>0.43</v>
      </c>
      <c r="AI79" s="228">
        <v>0.48</v>
      </c>
      <c r="AJ79" s="228">
        <v>-0.05</v>
      </c>
      <c r="AK79" s="229">
        <v>5.5999999999999999E-3</v>
      </c>
      <c r="AL79" s="228">
        <v>0.94</v>
      </c>
      <c r="AM79" s="228">
        <v>1.07</v>
      </c>
      <c r="AN79" s="228">
        <v>-0.13</v>
      </c>
      <c r="AO79" s="229">
        <v>1.2200000000000001E-2</v>
      </c>
      <c r="AP79" s="228">
        <v>77.27</v>
      </c>
      <c r="AQ79" s="228">
        <v>77.67</v>
      </c>
      <c r="AR79" s="228">
        <v>0</v>
      </c>
      <c r="AS79" s="228">
        <v>567</v>
      </c>
      <c r="AT79" s="228">
        <v>590</v>
      </c>
      <c r="AU79" s="228">
        <v>-23</v>
      </c>
      <c r="AV79" s="229">
        <v>-3.9800000000000002E-2</v>
      </c>
      <c r="AW79" s="228">
        <v>264</v>
      </c>
      <c r="AX79" s="228">
        <v>285</v>
      </c>
      <c r="AY79" s="228">
        <v>-21</v>
      </c>
      <c r="AZ79" s="229">
        <v>-7.3200000000000001E-2</v>
      </c>
      <c r="BA79" s="228">
        <v>297</v>
      </c>
      <c r="BB79" s="228">
        <v>301</v>
      </c>
      <c r="BC79" s="228">
        <v>-4</v>
      </c>
      <c r="BD79" s="229">
        <v>-1.32E-2</v>
      </c>
      <c r="BE79" s="228">
        <v>6</v>
      </c>
      <c r="BF79" s="228">
        <v>4</v>
      </c>
      <c r="BG79" s="228">
        <v>1</v>
      </c>
      <c r="BH79" s="229">
        <v>0.314</v>
      </c>
      <c r="BI79" s="228">
        <v>444</v>
      </c>
      <c r="BJ79" s="228">
        <v>583</v>
      </c>
      <c r="BK79" s="228">
        <v>-140</v>
      </c>
      <c r="BL79" s="229">
        <v>-0.23949999999999999</v>
      </c>
      <c r="BM79" s="228">
        <v>145</v>
      </c>
      <c r="BN79" s="228">
        <v>212</v>
      </c>
      <c r="BO79" s="228">
        <v>-67</v>
      </c>
      <c r="BP79" s="229">
        <v>-0.31769999999999998</v>
      </c>
      <c r="BQ79" s="230">
        <v>1155</v>
      </c>
      <c r="BR79" s="230">
        <v>1386</v>
      </c>
      <c r="BS79" s="228">
        <v>-231</v>
      </c>
      <c r="BT79" s="229">
        <v>-0.16639999999999999</v>
      </c>
      <c r="BU79" s="230">
        <v>11424292</v>
      </c>
      <c r="BV79" s="230">
        <v>14163914</v>
      </c>
      <c r="BW79" s="230">
        <v>-2739622</v>
      </c>
      <c r="BX79" s="229">
        <v>-0.19339999999999999</v>
      </c>
      <c r="BY79" s="228">
        <v>972</v>
      </c>
      <c r="BZ79" s="228">
        <v>992</v>
      </c>
      <c r="CA79" s="228">
        <v>-19</v>
      </c>
      <c r="CB79" s="229">
        <v>-1.9599999999999999E-2</v>
      </c>
      <c r="CC79" s="228">
        <v>264</v>
      </c>
      <c r="CD79" s="228">
        <v>442</v>
      </c>
      <c r="CE79" s="228">
        <v>-178</v>
      </c>
      <c r="CF79" s="229">
        <v>-0.40210000000000001</v>
      </c>
      <c r="CG79" s="228">
        <v>688</v>
      </c>
      <c r="CH79" s="228">
        <v>531</v>
      </c>
      <c r="CI79" s="228">
        <v>157</v>
      </c>
      <c r="CJ79" s="229">
        <v>0.29499999999999998</v>
      </c>
      <c r="CK79" s="228">
        <v>20</v>
      </c>
      <c r="CL79" s="228">
        <v>19</v>
      </c>
      <c r="CM79" s="228">
        <v>2</v>
      </c>
      <c r="CN79" s="229">
        <v>8.7800000000000003E-2</v>
      </c>
      <c r="CO79" s="228">
        <v>481</v>
      </c>
      <c r="CP79" s="228">
        <v>432</v>
      </c>
      <c r="CQ79" s="228">
        <v>49</v>
      </c>
      <c r="CR79" s="229">
        <v>0.1138</v>
      </c>
      <c r="CS79" s="228">
        <v>234</v>
      </c>
      <c r="CT79" s="228">
        <v>219</v>
      </c>
      <c r="CU79" s="228">
        <v>15</v>
      </c>
      <c r="CV79" s="229">
        <v>7.0499999999999993E-2</v>
      </c>
      <c r="CW79" s="230">
        <v>1688</v>
      </c>
      <c r="CX79" s="230">
        <v>1643</v>
      </c>
      <c r="CY79" s="228">
        <v>45</v>
      </c>
      <c r="CZ79" s="229">
        <v>2.75E-2</v>
      </c>
      <c r="DA79" s="228">
        <v>42.42</v>
      </c>
      <c r="DB79" s="228">
        <v>40.229999999999997</v>
      </c>
      <c r="DC79" s="228">
        <v>2.19</v>
      </c>
      <c r="DD79" s="228">
        <v>2.19</v>
      </c>
      <c r="DE79" s="228">
        <v>54.12</v>
      </c>
      <c r="DF79" s="228">
        <v>54.23</v>
      </c>
      <c r="DG79" s="228">
        <v>-11.7</v>
      </c>
      <c r="DH79" s="228">
        <v>-0.11</v>
      </c>
      <c r="DI79" s="228">
        <v>42.7</v>
      </c>
      <c r="DJ79" s="228">
        <v>40.14</v>
      </c>
      <c r="DK79" s="228">
        <v>2.56</v>
      </c>
      <c r="DL79" s="228">
        <v>2.56</v>
      </c>
      <c r="DM79" s="228">
        <v>41.47</v>
      </c>
      <c r="DN79" s="228">
        <v>40.479999999999997</v>
      </c>
      <c r="DO79" s="228">
        <v>0.99</v>
      </c>
      <c r="DP79" s="228">
        <v>0.99</v>
      </c>
      <c r="DQ79" s="228">
        <v>0.49</v>
      </c>
      <c r="DR79" s="228">
        <v>0.51</v>
      </c>
      <c r="DS79" s="228">
        <v>-0.02</v>
      </c>
      <c r="DT79" s="229">
        <v>-3.9199999999999999E-2</v>
      </c>
      <c r="DU79" s="228">
        <v>75</v>
      </c>
      <c r="DV79" s="228">
        <v>75</v>
      </c>
      <c r="DW79" s="228">
        <v>0.33</v>
      </c>
      <c r="DX79" s="228">
        <v>0.36</v>
      </c>
      <c r="DY79" s="228">
        <v>-0.03</v>
      </c>
      <c r="DZ79" s="229">
        <v>-8.3299999999999999E-2</v>
      </c>
      <c r="EA79" s="229">
        <v>0.72819999999999996</v>
      </c>
      <c r="EB79" s="230">
        <v>71517600</v>
      </c>
      <c r="EC79" s="229">
        <v>5.4999999999999997E-3</v>
      </c>
      <c r="ED79" s="229">
        <v>0.72819999999999996</v>
      </c>
      <c r="EE79" s="228">
        <v>0.4</v>
      </c>
      <c r="EF79" s="229">
        <v>5.1999999999999998E-3</v>
      </c>
      <c r="EG79" s="230">
        <v>3077074</v>
      </c>
      <c r="EH79" s="230">
        <v>3825793</v>
      </c>
      <c r="EI79" s="229">
        <v>-0.19570000000000001</v>
      </c>
      <c r="EJ79" s="229">
        <v>0.26929999999999998</v>
      </c>
      <c r="EK79" s="228">
        <v>465.85</v>
      </c>
      <c r="EL79" s="228">
        <v>149.65</v>
      </c>
      <c r="EM79" s="228">
        <v>571.35</v>
      </c>
      <c r="EN79" s="228">
        <v>76.2</v>
      </c>
      <c r="EO79" s="231">
        <v>1186.8499999999999</v>
      </c>
      <c r="EP79" s="231">
        <v>1429.02</v>
      </c>
      <c r="EQ79" s="228">
        <v>-242.16</v>
      </c>
      <c r="ER79" s="229">
        <v>-0.16950000000000001</v>
      </c>
      <c r="ES79" s="228">
        <v>496.93</v>
      </c>
      <c r="ET79" s="228">
        <v>227.69</v>
      </c>
      <c r="EU79" s="228">
        <v>976.26</v>
      </c>
      <c r="EV79" s="231">
        <v>147979599</v>
      </c>
      <c r="EW79" s="231">
        <v>1700.88</v>
      </c>
      <c r="EX79" s="231">
        <v>1666.6</v>
      </c>
      <c r="EY79" s="228">
        <v>34.28</v>
      </c>
      <c r="EZ79" s="229">
        <v>2.06E-2</v>
      </c>
      <c r="FA79" s="229">
        <v>1.4838</v>
      </c>
      <c r="FB79" s="227" t="s">
        <v>568</v>
      </c>
      <c r="FC79">
        <f t="shared" si="1"/>
        <v>708</v>
      </c>
    </row>
    <row r="80" spans="1:159" ht="17.25" thickBot="1" x14ac:dyDescent="0.3">
      <c r="A80" s="226">
        <v>45957</v>
      </c>
      <c r="B80" s="227" t="s">
        <v>227</v>
      </c>
      <c r="C80" s="227" t="s">
        <v>228</v>
      </c>
      <c r="D80" s="228">
        <v>1400</v>
      </c>
      <c r="E80" s="228">
        <v>1</v>
      </c>
      <c r="F80" s="228">
        <v>840.8</v>
      </c>
      <c r="G80" s="228">
        <v>822.65</v>
      </c>
      <c r="H80" s="228">
        <v>18.149999999999999</v>
      </c>
      <c r="I80" s="229">
        <v>2.2100000000000002E-2</v>
      </c>
      <c r="J80" s="228">
        <v>840.85</v>
      </c>
      <c r="K80" s="228">
        <v>824.45</v>
      </c>
      <c r="L80" s="228">
        <v>16.399999999999999</v>
      </c>
      <c r="M80" s="229">
        <v>1.9900000000000001E-2</v>
      </c>
      <c r="N80" s="228">
        <v>840.8</v>
      </c>
      <c r="O80" s="228">
        <v>822.65</v>
      </c>
      <c r="P80" s="228">
        <v>18.149999999999999</v>
      </c>
      <c r="Q80" s="229">
        <v>2.2100000000000002E-2</v>
      </c>
      <c r="R80" s="228">
        <v>846.05</v>
      </c>
      <c r="S80" s="228">
        <v>827.4</v>
      </c>
      <c r="T80" s="228">
        <v>18.649999999999999</v>
      </c>
      <c r="U80" s="229">
        <v>2.2499999999999999E-2</v>
      </c>
      <c r="V80" s="228">
        <v>851.3</v>
      </c>
      <c r="W80" s="228">
        <v>833.2</v>
      </c>
      <c r="X80" s="228">
        <v>18.100000000000001</v>
      </c>
      <c r="Y80" s="229">
        <v>2.1700000000000001E-2</v>
      </c>
      <c r="Z80" s="228">
        <v>-0.05</v>
      </c>
      <c r="AA80" s="228">
        <v>-1.8</v>
      </c>
      <c r="AB80" s="228">
        <v>1.75</v>
      </c>
      <c r="AC80" s="229">
        <v>-1E-4</v>
      </c>
      <c r="AD80" s="228">
        <v>-0.05</v>
      </c>
      <c r="AE80" s="228">
        <v>-1.8</v>
      </c>
      <c r="AF80" s="228">
        <v>1.75</v>
      </c>
      <c r="AG80" s="229">
        <v>-1E-4</v>
      </c>
      <c r="AH80" s="228">
        <v>5.2</v>
      </c>
      <c r="AI80" s="228">
        <v>2.95</v>
      </c>
      <c r="AJ80" s="228">
        <v>2.25</v>
      </c>
      <c r="AK80" s="229">
        <v>6.1999999999999998E-3</v>
      </c>
      <c r="AL80" s="228">
        <v>10.45</v>
      </c>
      <c r="AM80" s="228">
        <v>8.75</v>
      </c>
      <c r="AN80" s="228">
        <v>1.7</v>
      </c>
      <c r="AO80" s="229">
        <v>1.24E-2</v>
      </c>
      <c r="AP80" s="228">
        <v>835.7</v>
      </c>
      <c r="AQ80" s="228">
        <v>841.03</v>
      </c>
      <c r="AR80" s="228">
        <v>0</v>
      </c>
      <c r="AS80" s="230">
        <v>3049</v>
      </c>
      <c r="AT80" s="230">
        <v>4135</v>
      </c>
      <c r="AU80" s="230">
        <v>-1086</v>
      </c>
      <c r="AV80" s="229">
        <v>-0.26269999999999999</v>
      </c>
      <c r="AW80" s="230">
        <v>1385</v>
      </c>
      <c r="AX80" s="230">
        <v>2197</v>
      </c>
      <c r="AY80" s="228">
        <v>-812</v>
      </c>
      <c r="AZ80" s="229">
        <v>-0.36940000000000001</v>
      </c>
      <c r="BA80" s="230">
        <v>1637</v>
      </c>
      <c r="BB80" s="230">
        <v>1911</v>
      </c>
      <c r="BC80" s="228">
        <v>-275</v>
      </c>
      <c r="BD80" s="229">
        <v>-0.14369999999999999</v>
      </c>
      <c r="BE80" s="228">
        <v>27</v>
      </c>
      <c r="BF80" s="228">
        <v>27</v>
      </c>
      <c r="BG80" s="228">
        <v>0</v>
      </c>
      <c r="BH80" s="229">
        <v>-8.6E-3</v>
      </c>
      <c r="BI80" s="230">
        <v>6091</v>
      </c>
      <c r="BJ80" s="230">
        <v>13539</v>
      </c>
      <c r="BK80" s="230">
        <v>-7449</v>
      </c>
      <c r="BL80" s="229">
        <v>-0.55010000000000003</v>
      </c>
      <c r="BM80" s="230">
        <v>3704</v>
      </c>
      <c r="BN80" s="230">
        <v>5689</v>
      </c>
      <c r="BO80" s="230">
        <v>-1985</v>
      </c>
      <c r="BP80" s="229">
        <v>-0.34889999999999999</v>
      </c>
      <c r="BQ80" s="230">
        <v>12843</v>
      </c>
      <c r="BR80" s="230">
        <v>23363</v>
      </c>
      <c r="BS80" s="230">
        <v>-10520</v>
      </c>
      <c r="BT80" s="229">
        <v>-0.45029999999999998</v>
      </c>
      <c r="BU80" s="230">
        <v>8242621</v>
      </c>
      <c r="BV80" s="230">
        <v>17783426</v>
      </c>
      <c r="BW80" s="230">
        <v>-9540805</v>
      </c>
      <c r="BX80" s="229">
        <v>-0.53649999999999998</v>
      </c>
      <c r="BY80" s="230">
        <v>5548</v>
      </c>
      <c r="BZ80" s="230">
        <v>5438</v>
      </c>
      <c r="CA80" s="228">
        <v>111</v>
      </c>
      <c r="CB80" s="229">
        <v>2.0400000000000001E-2</v>
      </c>
      <c r="CC80" s="228">
        <v>920</v>
      </c>
      <c r="CD80" s="230">
        <v>1767</v>
      </c>
      <c r="CE80" s="228">
        <v>-847</v>
      </c>
      <c r="CF80" s="229">
        <v>-0.47920000000000001</v>
      </c>
      <c r="CG80" s="230">
        <v>4594</v>
      </c>
      <c r="CH80" s="230">
        <v>3644</v>
      </c>
      <c r="CI80" s="228">
        <v>950</v>
      </c>
      <c r="CJ80" s="229">
        <v>0.26079999999999998</v>
      </c>
      <c r="CK80" s="228">
        <v>34</v>
      </c>
      <c r="CL80" s="228">
        <v>27</v>
      </c>
      <c r="CM80" s="228">
        <v>8</v>
      </c>
      <c r="CN80" s="229">
        <v>0.28070000000000001</v>
      </c>
      <c r="CO80" s="230">
        <v>1515</v>
      </c>
      <c r="CP80" s="230">
        <v>1688</v>
      </c>
      <c r="CQ80" s="228">
        <v>-173</v>
      </c>
      <c r="CR80" s="229">
        <v>-0.1024</v>
      </c>
      <c r="CS80" s="230">
        <v>1609</v>
      </c>
      <c r="CT80" s="230">
        <v>1442</v>
      </c>
      <c r="CU80" s="228">
        <v>166</v>
      </c>
      <c r="CV80" s="229">
        <v>0.1152</v>
      </c>
      <c r="CW80" s="230">
        <v>8672</v>
      </c>
      <c r="CX80" s="230">
        <v>8568</v>
      </c>
      <c r="CY80" s="228">
        <v>104</v>
      </c>
      <c r="CZ80" s="229">
        <v>1.2200000000000001E-2</v>
      </c>
      <c r="DA80" s="228">
        <v>28.41</v>
      </c>
      <c r="DB80" s="228">
        <v>28.09</v>
      </c>
      <c r="DC80" s="228">
        <v>0.32</v>
      </c>
      <c r="DD80" s="228">
        <v>0.32</v>
      </c>
      <c r="DE80" s="228">
        <v>33.28</v>
      </c>
      <c r="DF80" s="228">
        <v>33.26</v>
      </c>
      <c r="DG80" s="228">
        <v>-4.87</v>
      </c>
      <c r="DH80" s="228">
        <v>0.02</v>
      </c>
      <c r="DI80" s="228">
        <v>27.71</v>
      </c>
      <c r="DJ80" s="228">
        <v>27.86</v>
      </c>
      <c r="DK80" s="228">
        <v>-0.15</v>
      </c>
      <c r="DL80" s="228">
        <v>-0.15</v>
      </c>
      <c r="DM80" s="228">
        <v>29.49</v>
      </c>
      <c r="DN80" s="228">
        <v>28.5</v>
      </c>
      <c r="DO80" s="228">
        <v>0.99</v>
      </c>
      <c r="DP80" s="228">
        <v>0.99</v>
      </c>
      <c r="DQ80" s="228">
        <v>1.06</v>
      </c>
      <c r="DR80" s="228">
        <v>0.85</v>
      </c>
      <c r="DS80" s="228">
        <v>0.21</v>
      </c>
      <c r="DT80" s="229">
        <v>0.24709999999999999</v>
      </c>
      <c r="DU80" s="228">
        <v>800</v>
      </c>
      <c r="DV80" s="228">
        <v>820</v>
      </c>
      <c r="DW80" s="228">
        <v>0.61</v>
      </c>
      <c r="DX80" s="228">
        <v>0.42</v>
      </c>
      <c r="DY80" s="228">
        <v>0.19</v>
      </c>
      <c r="DZ80" s="229">
        <v>0.45240000000000002</v>
      </c>
      <c r="EA80" s="229">
        <v>0.83409999999999995</v>
      </c>
      <c r="EB80" s="230">
        <v>43653400</v>
      </c>
      <c r="EC80" s="229">
        <v>6.1999999999999998E-3</v>
      </c>
      <c r="ED80" s="229">
        <v>0.83409999999999995</v>
      </c>
      <c r="EE80" s="228">
        <v>5.33</v>
      </c>
      <c r="EF80" s="229">
        <v>6.4000000000000003E-3</v>
      </c>
      <c r="EG80" s="230">
        <v>4066043</v>
      </c>
      <c r="EH80" s="230">
        <v>6733340</v>
      </c>
      <c r="EI80" s="229">
        <v>-0.39610000000000001</v>
      </c>
      <c r="EJ80" s="229">
        <v>0.49330000000000002</v>
      </c>
      <c r="EK80" s="231">
        <v>6193.72</v>
      </c>
      <c r="EL80" s="231">
        <v>3609.63</v>
      </c>
      <c r="EM80" s="231">
        <v>3041.07</v>
      </c>
      <c r="EN80" s="228">
        <v>208.19</v>
      </c>
      <c r="EO80" s="231">
        <v>12844.42</v>
      </c>
      <c r="EP80" s="231">
        <v>23063.05</v>
      </c>
      <c r="EQ80" s="231">
        <v>-10218.629999999999</v>
      </c>
      <c r="ER80" s="229">
        <v>-0.44309999999999999</v>
      </c>
      <c r="ES80" s="231">
        <v>1492.84</v>
      </c>
      <c r="ET80" s="231">
        <v>1492.79</v>
      </c>
      <c r="EU80" s="231">
        <v>5577.59</v>
      </c>
      <c r="EV80" s="231">
        <v>176136372</v>
      </c>
      <c r="EW80" s="231">
        <v>8563.2199999999993</v>
      </c>
      <c r="EX80" s="231">
        <v>8311.0300000000007</v>
      </c>
      <c r="EY80" s="228">
        <v>252.19</v>
      </c>
      <c r="EZ80" s="229">
        <v>3.0300000000000001E-2</v>
      </c>
      <c r="FA80" s="229">
        <v>0.58560000000000001</v>
      </c>
      <c r="FB80" s="227" t="s">
        <v>555</v>
      </c>
      <c r="FC80">
        <f t="shared" si="1"/>
        <v>4628</v>
      </c>
    </row>
    <row r="81" spans="1:159" ht="17.25" thickBot="1" x14ac:dyDescent="0.3">
      <c r="A81" s="226">
        <v>45957</v>
      </c>
      <c r="B81" s="227" t="s">
        <v>193</v>
      </c>
      <c r="C81" s="227" t="s">
        <v>229</v>
      </c>
      <c r="D81" s="228">
        <v>2025</v>
      </c>
      <c r="E81" s="228">
        <v>1</v>
      </c>
      <c r="F81" s="228">
        <v>453.25</v>
      </c>
      <c r="G81" s="228">
        <v>438.8</v>
      </c>
      <c r="H81" s="228">
        <v>14.45</v>
      </c>
      <c r="I81" s="229">
        <v>3.2899999999999999E-2</v>
      </c>
      <c r="J81" s="228">
        <v>453.75</v>
      </c>
      <c r="K81" s="228">
        <v>438.45</v>
      </c>
      <c r="L81" s="228">
        <v>15.3</v>
      </c>
      <c r="M81" s="229">
        <v>3.49E-2</v>
      </c>
      <c r="N81" s="228">
        <v>453.25</v>
      </c>
      <c r="O81" s="228">
        <v>438.8</v>
      </c>
      <c r="P81" s="228">
        <v>14.45</v>
      </c>
      <c r="Q81" s="229">
        <v>3.2899999999999999E-2</v>
      </c>
      <c r="R81" s="228">
        <v>454.5</v>
      </c>
      <c r="S81" s="228">
        <v>438.9</v>
      </c>
      <c r="T81" s="228">
        <v>15.6</v>
      </c>
      <c r="U81" s="229">
        <v>3.5499999999999997E-2</v>
      </c>
      <c r="V81" s="228">
        <v>457.45</v>
      </c>
      <c r="W81" s="228">
        <v>441.45</v>
      </c>
      <c r="X81" s="228">
        <v>16</v>
      </c>
      <c r="Y81" s="229">
        <v>3.6200000000000003E-2</v>
      </c>
      <c r="Z81" s="228">
        <v>-0.5</v>
      </c>
      <c r="AA81" s="228">
        <v>0.35</v>
      </c>
      <c r="AB81" s="228">
        <v>-0.85</v>
      </c>
      <c r="AC81" s="229">
        <v>-1.1000000000000001E-3</v>
      </c>
      <c r="AD81" s="228">
        <v>-0.5</v>
      </c>
      <c r="AE81" s="228">
        <v>0.35</v>
      </c>
      <c r="AF81" s="228">
        <v>-0.85</v>
      </c>
      <c r="AG81" s="229">
        <v>-1.1000000000000001E-3</v>
      </c>
      <c r="AH81" s="228">
        <v>0.75</v>
      </c>
      <c r="AI81" s="228">
        <v>0.45</v>
      </c>
      <c r="AJ81" s="228">
        <v>0.3</v>
      </c>
      <c r="AK81" s="229">
        <v>1.6999999999999999E-3</v>
      </c>
      <c r="AL81" s="228">
        <v>3.7</v>
      </c>
      <c r="AM81" s="228">
        <v>3</v>
      </c>
      <c r="AN81" s="228">
        <v>0.7</v>
      </c>
      <c r="AO81" s="229">
        <v>8.2000000000000007E-3</v>
      </c>
      <c r="AP81" s="228">
        <v>449.85</v>
      </c>
      <c r="AQ81" s="228">
        <v>450.98</v>
      </c>
      <c r="AR81" s="228">
        <v>0</v>
      </c>
      <c r="AS81" s="230">
        <v>1695</v>
      </c>
      <c r="AT81" s="230">
        <v>2030</v>
      </c>
      <c r="AU81" s="228">
        <v>-335</v>
      </c>
      <c r="AV81" s="229">
        <v>-0.16489999999999999</v>
      </c>
      <c r="AW81" s="228">
        <v>827</v>
      </c>
      <c r="AX81" s="230">
        <v>1044</v>
      </c>
      <c r="AY81" s="228">
        <v>-218</v>
      </c>
      <c r="AZ81" s="229">
        <v>-0.2084</v>
      </c>
      <c r="BA81" s="228">
        <v>856</v>
      </c>
      <c r="BB81" s="228">
        <v>978</v>
      </c>
      <c r="BC81" s="228">
        <v>-122</v>
      </c>
      <c r="BD81" s="229">
        <v>-0.125</v>
      </c>
      <c r="BE81" s="228">
        <v>12</v>
      </c>
      <c r="BF81" s="228">
        <v>7</v>
      </c>
      <c r="BG81" s="228">
        <v>5</v>
      </c>
      <c r="BH81" s="229">
        <v>0.73080000000000001</v>
      </c>
      <c r="BI81" s="230">
        <v>2191</v>
      </c>
      <c r="BJ81" s="230">
        <v>1569</v>
      </c>
      <c r="BK81" s="228">
        <v>623</v>
      </c>
      <c r="BL81" s="229">
        <v>0.39700000000000002</v>
      </c>
      <c r="BM81" s="230">
        <v>1116</v>
      </c>
      <c r="BN81" s="230">
        <v>1034</v>
      </c>
      <c r="BO81" s="228">
        <v>82</v>
      </c>
      <c r="BP81" s="229">
        <v>7.9200000000000007E-2</v>
      </c>
      <c r="BQ81" s="230">
        <v>5002</v>
      </c>
      <c r="BR81" s="230">
        <v>4632</v>
      </c>
      <c r="BS81" s="228">
        <v>370</v>
      </c>
      <c r="BT81" s="229">
        <v>7.9899999999999999E-2</v>
      </c>
      <c r="BU81" s="230">
        <v>5808519</v>
      </c>
      <c r="BV81" s="230">
        <v>4444121</v>
      </c>
      <c r="BW81" s="230">
        <v>1364398</v>
      </c>
      <c r="BX81" s="229">
        <v>0.307</v>
      </c>
      <c r="BY81" s="230">
        <v>2636</v>
      </c>
      <c r="BZ81" s="230">
        <v>2605</v>
      </c>
      <c r="CA81" s="228">
        <v>31</v>
      </c>
      <c r="CB81" s="229">
        <v>1.18E-2</v>
      </c>
      <c r="CC81" s="228">
        <v>881</v>
      </c>
      <c r="CD81" s="230">
        <v>1389</v>
      </c>
      <c r="CE81" s="228">
        <v>-508</v>
      </c>
      <c r="CF81" s="229">
        <v>-0.36570000000000003</v>
      </c>
      <c r="CG81" s="230">
        <v>1733</v>
      </c>
      <c r="CH81" s="230">
        <v>1195</v>
      </c>
      <c r="CI81" s="228">
        <v>538</v>
      </c>
      <c r="CJ81" s="229">
        <v>0.44979999999999998</v>
      </c>
      <c r="CK81" s="228">
        <v>22</v>
      </c>
      <c r="CL81" s="228">
        <v>21</v>
      </c>
      <c r="CM81" s="228">
        <v>1</v>
      </c>
      <c r="CN81" s="229">
        <v>5.3600000000000002E-2</v>
      </c>
      <c r="CO81" s="228">
        <v>863</v>
      </c>
      <c r="CP81" s="228">
        <v>792</v>
      </c>
      <c r="CQ81" s="228">
        <v>71</v>
      </c>
      <c r="CR81" s="229">
        <v>0.09</v>
      </c>
      <c r="CS81" s="228">
        <v>581</v>
      </c>
      <c r="CT81" s="228">
        <v>576</v>
      </c>
      <c r="CU81" s="228">
        <v>5</v>
      </c>
      <c r="CV81" s="229">
        <v>8.6E-3</v>
      </c>
      <c r="CW81" s="230">
        <v>4080</v>
      </c>
      <c r="CX81" s="230">
        <v>3973</v>
      </c>
      <c r="CY81" s="228">
        <v>107</v>
      </c>
      <c r="CZ81" s="229">
        <v>2.69E-2</v>
      </c>
      <c r="DA81" s="228">
        <v>35.700000000000003</v>
      </c>
      <c r="DB81" s="228">
        <v>32.39</v>
      </c>
      <c r="DC81" s="228">
        <v>3.31</v>
      </c>
      <c r="DD81" s="228">
        <v>3.31</v>
      </c>
      <c r="DE81" s="228">
        <v>40.65</v>
      </c>
      <c r="DF81" s="228">
        <v>40.520000000000003</v>
      </c>
      <c r="DG81" s="228">
        <v>-4.95</v>
      </c>
      <c r="DH81" s="228">
        <v>0.13</v>
      </c>
      <c r="DI81" s="228">
        <v>35.799999999999997</v>
      </c>
      <c r="DJ81" s="228">
        <v>32.479999999999997</v>
      </c>
      <c r="DK81" s="228">
        <v>3.32</v>
      </c>
      <c r="DL81" s="228">
        <v>3.32</v>
      </c>
      <c r="DM81" s="228">
        <v>35.479999999999997</v>
      </c>
      <c r="DN81" s="228">
        <v>32.24</v>
      </c>
      <c r="DO81" s="228">
        <v>3.24</v>
      </c>
      <c r="DP81" s="228">
        <v>3.24</v>
      </c>
      <c r="DQ81" s="228">
        <v>0.67</v>
      </c>
      <c r="DR81" s="228">
        <v>0.73</v>
      </c>
      <c r="DS81" s="228">
        <v>-0.06</v>
      </c>
      <c r="DT81" s="229">
        <v>-8.2199999999999995E-2</v>
      </c>
      <c r="DU81" s="228">
        <v>450</v>
      </c>
      <c r="DV81" s="228">
        <v>440</v>
      </c>
      <c r="DW81" s="228">
        <v>0.51</v>
      </c>
      <c r="DX81" s="228">
        <v>0.66</v>
      </c>
      <c r="DY81" s="228">
        <v>-0.15</v>
      </c>
      <c r="DZ81" s="229">
        <v>-0.2273</v>
      </c>
      <c r="EA81" s="229">
        <v>0.66569999999999996</v>
      </c>
      <c r="EB81" s="230">
        <v>26825175</v>
      </c>
      <c r="EC81" s="229">
        <v>2.8E-3</v>
      </c>
      <c r="ED81" s="229">
        <v>0.66569999999999996</v>
      </c>
      <c r="EE81" s="228">
        <v>1.1299999999999999</v>
      </c>
      <c r="EF81" s="229">
        <v>2.5000000000000001E-3</v>
      </c>
      <c r="EG81" s="230">
        <v>2968176</v>
      </c>
      <c r="EH81" s="230">
        <v>1649914</v>
      </c>
      <c r="EI81" s="229">
        <v>0.79900000000000004</v>
      </c>
      <c r="EJ81" s="229">
        <v>0.51100000000000001</v>
      </c>
      <c r="EK81" s="231">
        <v>2249.7600000000002</v>
      </c>
      <c r="EL81" s="231">
        <v>1087.48</v>
      </c>
      <c r="EM81" s="231">
        <v>1684.44</v>
      </c>
      <c r="EN81" s="228">
        <v>112.34</v>
      </c>
      <c r="EO81" s="231">
        <v>5021.68</v>
      </c>
      <c r="EP81" s="231">
        <v>4543.9799999999996</v>
      </c>
      <c r="EQ81" s="228">
        <v>477.7</v>
      </c>
      <c r="ER81" s="229">
        <v>0.1051</v>
      </c>
      <c r="ES81" s="228">
        <v>880.33</v>
      </c>
      <c r="ET81" s="228">
        <v>547.86</v>
      </c>
      <c r="EU81" s="231">
        <v>2640.9</v>
      </c>
      <c r="EV81" s="231">
        <v>143933168</v>
      </c>
      <c r="EW81" s="231">
        <v>4069.09</v>
      </c>
      <c r="EX81" s="231">
        <v>3870.3</v>
      </c>
      <c r="EY81" s="228">
        <v>198.79</v>
      </c>
      <c r="EZ81" s="229">
        <v>5.1400000000000001E-2</v>
      </c>
      <c r="FA81" s="229">
        <v>0.62539999999999996</v>
      </c>
      <c r="FB81" s="227" t="s">
        <v>555</v>
      </c>
      <c r="FC81">
        <f t="shared" si="1"/>
        <v>1755</v>
      </c>
    </row>
    <row r="82" spans="1:159" ht="17.25" thickBot="1" x14ac:dyDescent="0.3">
      <c r="A82" s="226">
        <v>45957</v>
      </c>
      <c r="B82" s="227" t="s">
        <v>168</v>
      </c>
      <c r="C82" s="227" t="s">
        <v>230</v>
      </c>
      <c r="D82" s="228">
        <v>300</v>
      </c>
      <c r="E82" s="228">
        <v>1</v>
      </c>
      <c r="F82" s="231">
        <v>2517.1999999999998</v>
      </c>
      <c r="G82" s="231">
        <v>2513.8000000000002</v>
      </c>
      <c r="H82" s="228">
        <v>3.4</v>
      </c>
      <c r="I82" s="229">
        <v>1.4E-3</v>
      </c>
      <c r="J82" s="231">
        <v>2511.8000000000002</v>
      </c>
      <c r="K82" s="231">
        <v>2516.4</v>
      </c>
      <c r="L82" s="228">
        <v>-4.5999999999999996</v>
      </c>
      <c r="M82" s="229">
        <v>-1.8E-3</v>
      </c>
      <c r="N82" s="231">
        <v>2517.1999999999998</v>
      </c>
      <c r="O82" s="231">
        <v>2513.8000000000002</v>
      </c>
      <c r="P82" s="228">
        <v>3.4</v>
      </c>
      <c r="Q82" s="229">
        <v>1.4E-3</v>
      </c>
      <c r="R82" s="231">
        <v>2509.5</v>
      </c>
      <c r="S82" s="231">
        <v>2507.4</v>
      </c>
      <c r="T82" s="228">
        <v>2.1</v>
      </c>
      <c r="U82" s="229">
        <v>8.0000000000000004E-4</v>
      </c>
      <c r="V82" s="231">
        <v>2521</v>
      </c>
      <c r="W82" s="231">
        <v>2522.6</v>
      </c>
      <c r="X82" s="228">
        <v>-1.6</v>
      </c>
      <c r="Y82" s="229">
        <v>-5.9999999999999995E-4</v>
      </c>
      <c r="Z82" s="228">
        <v>5.4</v>
      </c>
      <c r="AA82" s="228">
        <v>-2.6</v>
      </c>
      <c r="AB82" s="228">
        <v>8</v>
      </c>
      <c r="AC82" s="229">
        <v>2.0999999999999999E-3</v>
      </c>
      <c r="AD82" s="228">
        <v>5.4</v>
      </c>
      <c r="AE82" s="228">
        <v>-2.6</v>
      </c>
      <c r="AF82" s="228">
        <v>8</v>
      </c>
      <c r="AG82" s="229">
        <v>2.0999999999999999E-3</v>
      </c>
      <c r="AH82" s="228">
        <v>-2.2999999999999998</v>
      </c>
      <c r="AI82" s="228">
        <v>-9</v>
      </c>
      <c r="AJ82" s="228">
        <v>6.7</v>
      </c>
      <c r="AK82" s="229">
        <v>-8.9999999999999998E-4</v>
      </c>
      <c r="AL82" s="228">
        <v>9.1999999999999993</v>
      </c>
      <c r="AM82" s="228">
        <v>6.2</v>
      </c>
      <c r="AN82" s="228">
        <v>3</v>
      </c>
      <c r="AO82" s="229">
        <v>3.7000000000000002E-3</v>
      </c>
      <c r="AP82" s="231">
        <v>2512.8000000000002</v>
      </c>
      <c r="AQ82" s="231">
        <v>2506.65</v>
      </c>
      <c r="AR82" s="228">
        <v>0</v>
      </c>
      <c r="AS82" s="230">
        <v>2870</v>
      </c>
      <c r="AT82" s="230">
        <v>4432</v>
      </c>
      <c r="AU82" s="230">
        <v>-1562</v>
      </c>
      <c r="AV82" s="229">
        <v>-0.35249999999999998</v>
      </c>
      <c r="AW82" s="230">
        <v>1339</v>
      </c>
      <c r="AX82" s="230">
        <v>2244</v>
      </c>
      <c r="AY82" s="228">
        <v>-905</v>
      </c>
      <c r="AZ82" s="229">
        <v>-0.4032</v>
      </c>
      <c r="BA82" s="230">
        <v>1513</v>
      </c>
      <c r="BB82" s="230">
        <v>2165</v>
      </c>
      <c r="BC82" s="228">
        <v>-652</v>
      </c>
      <c r="BD82" s="229">
        <v>-0.30109999999999998</v>
      </c>
      <c r="BE82" s="228">
        <v>18</v>
      </c>
      <c r="BF82" s="228">
        <v>23</v>
      </c>
      <c r="BG82" s="228">
        <v>-6</v>
      </c>
      <c r="BH82" s="229">
        <v>-0.2379</v>
      </c>
      <c r="BI82" s="230">
        <v>4299</v>
      </c>
      <c r="BJ82" s="230">
        <v>11381</v>
      </c>
      <c r="BK82" s="230">
        <v>-7082</v>
      </c>
      <c r="BL82" s="229">
        <v>-0.62229999999999996</v>
      </c>
      <c r="BM82" s="230">
        <v>1808</v>
      </c>
      <c r="BN82" s="230">
        <v>6456</v>
      </c>
      <c r="BO82" s="230">
        <v>-4648</v>
      </c>
      <c r="BP82" s="229">
        <v>-0.72</v>
      </c>
      <c r="BQ82" s="230">
        <v>8977</v>
      </c>
      <c r="BR82" s="230">
        <v>22269</v>
      </c>
      <c r="BS82" s="230">
        <v>-13293</v>
      </c>
      <c r="BT82" s="229">
        <v>-0.59689999999999999</v>
      </c>
      <c r="BU82" s="230">
        <v>2248742</v>
      </c>
      <c r="BV82" s="230">
        <v>3253628</v>
      </c>
      <c r="BW82" s="230">
        <v>-1004886</v>
      </c>
      <c r="BX82" s="229">
        <v>-0.30890000000000001</v>
      </c>
      <c r="BY82" s="230">
        <v>4480</v>
      </c>
      <c r="BZ82" s="230">
        <v>4330</v>
      </c>
      <c r="CA82" s="228">
        <v>149</v>
      </c>
      <c r="CB82" s="229">
        <v>3.4500000000000003E-2</v>
      </c>
      <c r="CC82" s="228">
        <v>494</v>
      </c>
      <c r="CD82" s="230">
        <v>1274</v>
      </c>
      <c r="CE82" s="228">
        <v>-780</v>
      </c>
      <c r="CF82" s="229">
        <v>-0.61209999999999998</v>
      </c>
      <c r="CG82" s="230">
        <v>3942</v>
      </c>
      <c r="CH82" s="230">
        <v>3019</v>
      </c>
      <c r="CI82" s="228">
        <v>923</v>
      </c>
      <c r="CJ82" s="229">
        <v>0.30570000000000003</v>
      </c>
      <c r="CK82" s="228">
        <v>44</v>
      </c>
      <c r="CL82" s="228">
        <v>37</v>
      </c>
      <c r="CM82" s="228">
        <v>6</v>
      </c>
      <c r="CN82" s="229">
        <v>0.1724</v>
      </c>
      <c r="CO82" s="230">
        <v>2516</v>
      </c>
      <c r="CP82" s="230">
        <v>2929</v>
      </c>
      <c r="CQ82" s="228">
        <v>-414</v>
      </c>
      <c r="CR82" s="229">
        <v>-0.14119999999999999</v>
      </c>
      <c r="CS82" s="230">
        <v>1194</v>
      </c>
      <c r="CT82" s="230">
        <v>1293</v>
      </c>
      <c r="CU82" s="228">
        <v>-99</v>
      </c>
      <c r="CV82" s="229">
        <v>-7.6799999999999993E-2</v>
      </c>
      <c r="CW82" s="230">
        <v>8189</v>
      </c>
      <c r="CX82" s="230">
        <v>8552</v>
      </c>
      <c r="CY82" s="228">
        <v>-364</v>
      </c>
      <c r="CZ82" s="229">
        <v>-4.2500000000000003E-2</v>
      </c>
      <c r="DA82" s="228">
        <v>18.04</v>
      </c>
      <c r="DB82" s="228">
        <v>18.75</v>
      </c>
      <c r="DC82" s="228">
        <v>-0.71</v>
      </c>
      <c r="DD82" s="228">
        <v>-0.71</v>
      </c>
      <c r="DE82" s="228">
        <v>22.88</v>
      </c>
      <c r="DF82" s="228">
        <v>22.94</v>
      </c>
      <c r="DG82" s="228">
        <v>-4.84</v>
      </c>
      <c r="DH82" s="228">
        <v>-0.06</v>
      </c>
      <c r="DI82" s="228">
        <v>18.399999999999999</v>
      </c>
      <c r="DJ82" s="228">
        <v>19.059999999999999</v>
      </c>
      <c r="DK82" s="228">
        <v>-0.66</v>
      </c>
      <c r="DL82" s="228">
        <v>-0.66</v>
      </c>
      <c r="DM82" s="228">
        <v>17.32</v>
      </c>
      <c r="DN82" s="228">
        <v>18.11</v>
      </c>
      <c r="DO82" s="228">
        <v>-0.79</v>
      </c>
      <c r="DP82" s="228">
        <v>-0.79</v>
      </c>
      <c r="DQ82" s="228">
        <v>0.47</v>
      </c>
      <c r="DR82" s="228">
        <v>0.44</v>
      </c>
      <c r="DS82" s="228">
        <v>0.03</v>
      </c>
      <c r="DT82" s="229">
        <v>6.8199999999999997E-2</v>
      </c>
      <c r="DU82" s="231">
        <v>2600</v>
      </c>
      <c r="DV82" s="231">
        <v>2500</v>
      </c>
      <c r="DW82" s="228">
        <v>0.42</v>
      </c>
      <c r="DX82" s="228">
        <v>0.56999999999999995</v>
      </c>
      <c r="DY82" s="228">
        <v>-0.15</v>
      </c>
      <c r="DZ82" s="229">
        <v>-0.26319999999999999</v>
      </c>
      <c r="EA82" s="229">
        <v>0.88959999999999995</v>
      </c>
      <c r="EB82" s="230">
        <v>12140400</v>
      </c>
      <c r="EC82" s="229">
        <v>-3.0999999999999999E-3</v>
      </c>
      <c r="ED82" s="229">
        <v>0.88959999999999995</v>
      </c>
      <c r="EE82" s="228">
        <v>-6.15</v>
      </c>
      <c r="EF82" s="229">
        <v>-2.3999999999999998E-3</v>
      </c>
      <c r="EG82" s="230">
        <v>1713838</v>
      </c>
      <c r="EH82" s="230">
        <v>1616905</v>
      </c>
      <c r="EI82" s="229">
        <v>5.9900000000000002E-2</v>
      </c>
      <c r="EJ82" s="229">
        <v>0.7621</v>
      </c>
      <c r="EK82" s="231">
        <v>4431.9399999999996</v>
      </c>
      <c r="EL82" s="231">
        <v>1805.17</v>
      </c>
      <c r="EM82" s="231">
        <v>2861.47</v>
      </c>
      <c r="EN82" s="228">
        <v>320.23</v>
      </c>
      <c r="EO82" s="231">
        <v>9098.57</v>
      </c>
      <c r="EP82" s="231">
        <v>22651.94</v>
      </c>
      <c r="EQ82" s="231">
        <v>-13553.37</v>
      </c>
      <c r="ER82" s="229">
        <v>-0.59830000000000005</v>
      </c>
      <c r="ES82" s="231">
        <v>2625.38</v>
      </c>
      <c r="ET82" s="231">
        <v>1179.67</v>
      </c>
      <c r="EU82" s="231">
        <v>4467.54</v>
      </c>
      <c r="EV82" s="231">
        <v>89517840</v>
      </c>
      <c r="EW82" s="231">
        <v>8272.58</v>
      </c>
      <c r="EX82" s="231">
        <v>8655.8700000000008</v>
      </c>
      <c r="EY82" s="228">
        <v>-383.29</v>
      </c>
      <c r="EZ82" s="229">
        <v>-4.4299999999999999E-2</v>
      </c>
      <c r="FA82" s="229">
        <v>0.3634</v>
      </c>
      <c r="FB82" s="227" t="s">
        <v>555</v>
      </c>
      <c r="FC82">
        <f t="shared" si="1"/>
        <v>3986</v>
      </c>
    </row>
    <row r="83" spans="1:159" ht="17.25" thickBot="1" x14ac:dyDescent="0.3">
      <c r="A83" s="226">
        <v>45957</v>
      </c>
      <c r="B83" s="227" t="s">
        <v>227</v>
      </c>
      <c r="C83" s="227" t="s">
        <v>669</v>
      </c>
      <c r="D83" s="228">
        <v>1225</v>
      </c>
      <c r="E83" s="228">
        <v>1</v>
      </c>
      <c r="F83" s="228">
        <v>483.15</v>
      </c>
      <c r="G83" s="228">
        <v>487.2</v>
      </c>
      <c r="H83" s="228">
        <v>-4.05</v>
      </c>
      <c r="I83" s="229">
        <v>-8.3000000000000001E-3</v>
      </c>
      <c r="J83" s="228">
        <v>482.3</v>
      </c>
      <c r="K83" s="228">
        <v>486.7</v>
      </c>
      <c r="L83" s="228">
        <v>-4.4000000000000004</v>
      </c>
      <c r="M83" s="229">
        <v>-8.9999999999999993E-3</v>
      </c>
      <c r="N83" s="228">
        <v>483.15</v>
      </c>
      <c r="O83" s="228">
        <v>487.2</v>
      </c>
      <c r="P83" s="228">
        <v>-4.05</v>
      </c>
      <c r="Q83" s="229">
        <v>-8.3000000000000001E-3</v>
      </c>
      <c r="R83" s="228">
        <v>485.8</v>
      </c>
      <c r="S83" s="228">
        <v>490.05</v>
      </c>
      <c r="T83" s="228">
        <v>-4.25</v>
      </c>
      <c r="U83" s="229">
        <v>-8.6999999999999994E-3</v>
      </c>
      <c r="V83" s="228">
        <v>488.5</v>
      </c>
      <c r="W83" s="228">
        <v>493.3</v>
      </c>
      <c r="X83" s="228">
        <v>-4.8</v>
      </c>
      <c r="Y83" s="229">
        <v>-9.7000000000000003E-3</v>
      </c>
      <c r="Z83" s="228">
        <v>0.85</v>
      </c>
      <c r="AA83" s="228">
        <v>0.5</v>
      </c>
      <c r="AB83" s="228">
        <v>0.35</v>
      </c>
      <c r="AC83" s="229">
        <v>1.8E-3</v>
      </c>
      <c r="AD83" s="228">
        <v>0.85</v>
      </c>
      <c r="AE83" s="228">
        <v>0.5</v>
      </c>
      <c r="AF83" s="228">
        <v>0.35</v>
      </c>
      <c r="AG83" s="229">
        <v>1.8E-3</v>
      </c>
      <c r="AH83" s="228">
        <v>3.5</v>
      </c>
      <c r="AI83" s="228">
        <v>3.35</v>
      </c>
      <c r="AJ83" s="228">
        <v>0.15</v>
      </c>
      <c r="AK83" s="229">
        <v>7.3000000000000001E-3</v>
      </c>
      <c r="AL83" s="228">
        <v>6.2</v>
      </c>
      <c r="AM83" s="228">
        <v>6.6</v>
      </c>
      <c r="AN83" s="228">
        <v>-0.4</v>
      </c>
      <c r="AO83" s="229">
        <v>1.29E-2</v>
      </c>
      <c r="AP83" s="228">
        <v>484.93</v>
      </c>
      <c r="AQ83" s="228">
        <v>487.58</v>
      </c>
      <c r="AR83" s="228">
        <v>0</v>
      </c>
      <c r="AS83" s="228">
        <v>934</v>
      </c>
      <c r="AT83" s="230">
        <v>1523</v>
      </c>
      <c r="AU83" s="228">
        <v>-589</v>
      </c>
      <c r="AV83" s="229">
        <v>-0.38679999999999998</v>
      </c>
      <c r="AW83" s="228">
        <v>397</v>
      </c>
      <c r="AX83" s="228">
        <v>699</v>
      </c>
      <c r="AY83" s="228">
        <v>-302</v>
      </c>
      <c r="AZ83" s="229">
        <v>-0.43240000000000001</v>
      </c>
      <c r="BA83" s="228">
        <v>521</v>
      </c>
      <c r="BB83" s="228">
        <v>809</v>
      </c>
      <c r="BC83" s="228">
        <v>-287</v>
      </c>
      <c r="BD83" s="229">
        <v>-0.3553</v>
      </c>
      <c r="BE83" s="228">
        <v>16</v>
      </c>
      <c r="BF83" s="228">
        <v>15</v>
      </c>
      <c r="BG83" s="228">
        <v>0</v>
      </c>
      <c r="BH83" s="229">
        <v>3.1300000000000001E-2</v>
      </c>
      <c r="BI83" s="230">
        <v>1597</v>
      </c>
      <c r="BJ83" s="230">
        <v>3623</v>
      </c>
      <c r="BK83" s="230">
        <v>-2027</v>
      </c>
      <c r="BL83" s="229">
        <v>-0.55930000000000002</v>
      </c>
      <c r="BM83" s="228">
        <v>467</v>
      </c>
      <c r="BN83" s="230">
        <v>1173</v>
      </c>
      <c r="BO83" s="228">
        <v>-707</v>
      </c>
      <c r="BP83" s="229">
        <v>-0.60219999999999996</v>
      </c>
      <c r="BQ83" s="230">
        <v>2997</v>
      </c>
      <c r="BR83" s="230">
        <v>6319</v>
      </c>
      <c r="BS83" s="230">
        <v>-3322</v>
      </c>
      <c r="BT83" s="229">
        <v>-0.52569999999999995</v>
      </c>
      <c r="BU83" s="230">
        <v>3882230</v>
      </c>
      <c r="BV83" s="230">
        <v>7448411</v>
      </c>
      <c r="BW83" s="230">
        <v>-3566181</v>
      </c>
      <c r="BX83" s="229">
        <v>-0.4788</v>
      </c>
      <c r="BY83" s="230">
        <v>1861</v>
      </c>
      <c r="BZ83" s="230">
        <v>1867</v>
      </c>
      <c r="CA83" s="228">
        <v>-6</v>
      </c>
      <c r="CB83" s="229">
        <v>-3.2000000000000002E-3</v>
      </c>
      <c r="CC83" s="228">
        <v>390</v>
      </c>
      <c r="CD83" s="228">
        <v>691</v>
      </c>
      <c r="CE83" s="228">
        <v>-301</v>
      </c>
      <c r="CF83" s="229">
        <v>-0.43590000000000001</v>
      </c>
      <c r="CG83" s="230">
        <v>1419</v>
      </c>
      <c r="CH83" s="230">
        <v>1128</v>
      </c>
      <c r="CI83" s="228">
        <v>291</v>
      </c>
      <c r="CJ83" s="229">
        <v>0.25829999999999997</v>
      </c>
      <c r="CK83" s="228">
        <v>52</v>
      </c>
      <c r="CL83" s="228">
        <v>48</v>
      </c>
      <c r="CM83" s="228">
        <v>4</v>
      </c>
      <c r="CN83" s="229">
        <v>8.1699999999999995E-2</v>
      </c>
      <c r="CO83" s="230">
        <v>1602</v>
      </c>
      <c r="CP83" s="230">
        <v>1688</v>
      </c>
      <c r="CQ83" s="228">
        <v>-86</v>
      </c>
      <c r="CR83" s="229">
        <v>-5.0700000000000002E-2</v>
      </c>
      <c r="CS83" s="228">
        <v>628</v>
      </c>
      <c r="CT83" s="228">
        <v>652</v>
      </c>
      <c r="CU83" s="228">
        <v>-23</v>
      </c>
      <c r="CV83" s="229">
        <v>-3.5700000000000003E-2</v>
      </c>
      <c r="CW83" s="230">
        <v>4092</v>
      </c>
      <c r="CX83" s="230">
        <v>4207</v>
      </c>
      <c r="CY83" s="228">
        <v>-115</v>
      </c>
      <c r="CZ83" s="229">
        <v>-2.7300000000000001E-2</v>
      </c>
      <c r="DA83" s="228">
        <v>33.56</v>
      </c>
      <c r="DB83" s="228">
        <v>34.65</v>
      </c>
      <c r="DC83" s="228">
        <v>-1.0900000000000001</v>
      </c>
      <c r="DD83" s="228">
        <v>-1.0900000000000001</v>
      </c>
      <c r="DE83" s="228">
        <v>44.13</v>
      </c>
      <c r="DF83" s="228">
        <v>44.23</v>
      </c>
      <c r="DG83" s="228">
        <v>-10.57</v>
      </c>
      <c r="DH83" s="228">
        <v>-0.1</v>
      </c>
      <c r="DI83" s="228">
        <v>34.020000000000003</v>
      </c>
      <c r="DJ83" s="228">
        <v>34.97</v>
      </c>
      <c r="DK83" s="228">
        <v>-0.95</v>
      </c>
      <c r="DL83" s="228">
        <v>-0.95</v>
      </c>
      <c r="DM83" s="228">
        <v>32.049999999999997</v>
      </c>
      <c r="DN83" s="228">
        <v>33.6</v>
      </c>
      <c r="DO83" s="228">
        <v>-1.55</v>
      </c>
      <c r="DP83" s="228">
        <v>-1.55</v>
      </c>
      <c r="DQ83" s="228">
        <v>0.39</v>
      </c>
      <c r="DR83" s="228">
        <v>0.39</v>
      </c>
      <c r="DS83" s="228">
        <v>0</v>
      </c>
      <c r="DT83" s="229">
        <v>0</v>
      </c>
      <c r="DU83" s="228">
        <v>550</v>
      </c>
      <c r="DV83" s="228">
        <v>450</v>
      </c>
      <c r="DW83" s="228">
        <v>0.28999999999999998</v>
      </c>
      <c r="DX83" s="228">
        <v>0.32</v>
      </c>
      <c r="DY83" s="228">
        <v>-0.03</v>
      </c>
      <c r="DZ83" s="229">
        <v>-9.3799999999999994E-2</v>
      </c>
      <c r="EA83" s="229">
        <v>0.79049999999999998</v>
      </c>
      <c r="EB83" s="230">
        <v>24335850</v>
      </c>
      <c r="EC83" s="229">
        <v>5.4999999999999997E-3</v>
      </c>
      <c r="ED83" s="229">
        <v>0.79049999999999998</v>
      </c>
      <c r="EE83" s="228">
        <v>2.65</v>
      </c>
      <c r="EF83" s="229">
        <v>5.4999999999999997E-3</v>
      </c>
      <c r="EG83" s="230">
        <v>2231731</v>
      </c>
      <c r="EH83" s="230">
        <v>2885131</v>
      </c>
      <c r="EI83" s="229">
        <v>-0.22650000000000001</v>
      </c>
      <c r="EJ83" s="229">
        <v>0.57489999999999997</v>
      </c>
      <c r="EK83" s="231">
        <v>1700.8</v>
      </c>
      <c r="EL83" s="228">
        <v>464.97</v>
      </c>
      <c r="EM83" s="228">
        <v>940.31</v>
      </c>
      <c r="EN83" s="228">
        <v>143.04</v>
      </c>
      <c r="EO83" s="231">
        <v>3106.08</v>
      </c>
      <c r="EP83" s="231">
        <v>6580.23</v>
      </c>
      <c r="EQ83" s="231">
        <v>-3474.16</v>
      </c>
      <c r="ER83" s="229">
        <v>-0.52800000000000002</v>
      </c>
      <c r="ES83" s="231">
        <v>1729.67</v>
      </c>
      <c r="ET83" s="228">
        <v>613.53</v>
      </c>
      <c r="EU83" s="231">
        <v>1869.22</v>
      </c>
      <c r="EV83" s="231">
        <v>167680340</v>
      </c>
      <c r="EW83" s="231">
        <v>4212.42</v>
      </c>
      <c r="EX83" s="231">
        <v>4349.5200000000004</v>
      </c>
      <c r="EY83" s="228">
        <v>-137.1</v>
      </c>
      <c r="EZ83" s="229">
        <v>-3.15E-2</v>
      </c>
      <c r="FA83" s="229">
        <v>0.50509999999999999</v>
      </c>
      <c r="FB83" s="227" t="s">
        <v>568</v>
      </c>
      <c r="FC83">
        <f t="shared" si="1"/>
        <v>1471</v>
      </c>
    </row>
    <row r="84" spans="1:159" ht="17.25" thickBot="1" x14ac:dyDescent="0.3">
      <c r="A84" s="226">
        <v>45957</v>
      </c>
      <c r="B84" s="227" t="s">
        <v>206</v>
      </c>
      <c r="C84" s="227" t="s">
        <v>608</v>
      </c>
      <c r="D84" s="228">
        <v>2775</v>
      </c>
      <c r="E84" s="228">
        <v>1</v>
      </c>
      <c r="F84" s="228">
        <v>227.44</v>
      </c>
      <c r="G84" s="228">
        <v>226.96</v>
      </c>
      <c r="H84" s="228">
        <v>0.48</v>
      </c>
      <c r="I84" s="229">
        <v>2.0999999999999999E-3</v>
      </c>
      <c r="J84" s="228">
        <v>227.01</v>
      </c>
      <c r="K84" s="228">
        <v>226.85</v>
      </c>
      <c r="L84" s="228">
        <v>0.16</v>
      </c>
      <c r="M84" s="229">
        <v>6.9999999999999999E-4</v>
      </c>
      <c r="N84" s="228">
        <v>227.44</v>
      </c>
      <c r="O84" s="228">
        <v>226.96</v>
      </c>
      <c r="P84" s="228">
        <v>0.48</v>
      </c>
      <c r="Q84" s="229">
        <v>2.0999999999999999E-3</v>
      </c>
      <c r="R84" s="228">
        <v>228.61</v>
      </c>
      <c r="S84" s="228">
        <v>228.04</v>
      </c>
      <c r="T84" s="228">
        <v>0.56999999999999995</v>
      </c>
      <c r="U84" s="229">
        <v>2.5000000000000001E-3</v>
      </c>
      <c r="V84" s="228">
        <v>230.5</v>
      </c>
      <c r="W84" s="228">
        <v>229.64</v>
      </c>
      <c r="X84" s="228">
        <v>0.86</v>
      </c>
      <c r="Y84" s="229">
        <v>3.7000000000000002E-3</v>
      </c>
      <c r="Z84" s="228">
        <v>0.43</v>
      </c>
      <c r="AA84" s="228">
        <v>0.11</v>
      </c>
      <c r="AB84" s="228">
        <v>0.32</v>
      </c>
      <c r="AC84" s="229">
        <v>1.9E-3</v>
      </c>
      <c r="AD84" s="228">
        <v>0.43</v>
      </c>
      <c r="AE84" s="228">
        <v>0.11</v>
      </c>
      <c r="AF84" s="228">
        <v>0.32</v>
      </c>
      <c r="AG84" s="229">
        <v>1.9E-3</v>
      </c>
      <c r="AH84" s="228">
        <v>1.6</v>
      </c>
      <c r="AI84" s="228">
        <v>1.19</v>
      </c>
      <c r="AJ84" s="228">
        <v>0.41</v>
      </c>
      <c r="AK84" s="229">
        <v>7.0000000000000001E-3</v>
      </c>
      <c r="AL84" s="228">
        <v>3.49</v>
      </c>
      <c r="AM84" s="228">
        <v>2.79</v>
      </c>
      <c r="AN84" s="228">
        <v>0.7</v>
      </c>
      <c r="AO84" s="229">
        <v>1.54E-2</v>
      </c>
      <c r="AP84" s="228">
        <v>228.09</v>
      </c>
      <c r="AQ84" s="228">
        <v>229.26</v>
      </c>
      <c r="AR84" s="228">
        <v>0</v>
      </c>
      <c r="AS84" s="228">
        <v>498</v>
      </c>
      <c r="AT84" s="228">
        <v>435</v>
      </c>
      <c r="AU84" s="228">
        <v>63</v>
      </c>
      <c r="AV84" s="229">
        <v>0.14610000000000001</v>
      </c>
      <c r="AW84" s="228">
        <v>218</v>
      </c>
      <c r="AX84" s="228">
        <v>213</v>
      </c>
      <c r="AY84" s="228">
        <v>5</v>
      </c>
      <c r="AZ84" s="229">
        <v>2.52E-2</v>
      </c>
      <c r="BA84" s="228">
        <v>273</v>
      </c>
      <c r="BB84" s="228">
        <v>218</v>
      </c>
      <c r="BC84" s="228">
        <v>55</v>
      </c>
      <c r="BD84" s="229">
        <v>0.25019999999999998</v>
      </c>
      <c r="BE84" s="228">
        <v>7</v>
      </c>
      <c r="BF84" s="228">
        <v>3</v>
      </c>
      <c r="BG84" s="228">
        <v>4</v>
      </c>
      <c r="BH84" s="229">
        <v>1.0566</v>
      </c>
      <c r="BI84" s="228">
        <v>360</v>
      </c>
      <c r="BJ84" s="228">
        <v>347</v>
      </c>
      <c r="BK84" s="228">
        <v>13</v>
      </c>
      <c r="BL84" s="229">
        <v>3.78E-2</v>
      </c>
      <c r="BM84" s="228">
        <v>149</v>
      </c>
      <c r="BN84" s="228">
        <v>142</v>
      </c>
      <c r="BO84" s="228">
        <v>7</v>
      </c>
      <c r="BP84" s="229">
        <v>4.8500000000000001E-2</v>
      </c>
      <c r="BQ84" s="230">
        <v>1007</v>
      </c>
      <c r="BR84" s="228">
        <v>924</v>
      </c>
      <c r="BS84" s="228">
        <v>84</v>
      </c>
      <c r="BT84" s="229">
        <v>9.0399999999999994E-2</v>
      </c>
      <c r="BU84" s="230">
        <v>3891659</v>
      </c>
      <c r="BV84" s="230">
        <v>1873607</v>
      </c>
      <c r="BW84" s="230">
        <v>2018052</v>
      </c>
      <c r="BX84" s="229">
        <v>1.0770999999999999</v>
      </c>
      <c r="BY84" s="228">
        <v>686</v>
      </c>
      <c r="BZ84" s="228">
        <v>668</v>
      </c>
      <c r="CA84" s="228">
        <v>18</v>
      </c>
      <c r="CB84" s="229">
        <v>2.7199999999999998E-2</v>
      </c>
      <c r="CC84" s="228">
        <v>197</v>
      </c>
      <c r="CD84" s="228">
        <v>350</v>
      </c>
      <c r="CE84" s="228">
        <v>-152</v>
      </c>
      <c r="CF84" s="229">
        <v>-0.43580000000000002</v>
      </c>
      <c r="CG84" s="228">
        <v>474</v>
      </c>
      <c r="CH84" s="228">
        <v>307</v>
      </c>
      <c r="CI84" s="228">
        <v>166</v>
      </c>
      <c r="CJ84" s="229">
        <v>0.54179999999999995</v>
      </c>
      <c r="CK84" s="228">
        <v>15</v>
      </c>
      <c r="CL84" s="228">
        <v>11</v>
      </c>
      <c r="CM84" s="228">
        <v>4</v>
      </c>
      <c r="CN84" s="229">
        <v>0.37140000000000001</v>
      </c>
      <c r="CO84" s="228">
        <v>373</v>
      </c>
      <c r="CP84" s="228">
        <v>379</v>
      </c>
      <c r="CQ84" s="228">
        <v>-6</v>
      </c>
      <c r="CR84" s="229">
        <v>-1.5299999999999999E-2</v>
      </c>
      <c r="CS84" s="228">
        <v>198</v>
      </c>
      <c r="CT84" s="228">
        <v>200</v>
      </c>
      <c r="CU84" s="228">
        <v>-1</v>
      </c>
      <c r="CV84" s="229">
        <v>-7.0000000000000001E-3</v>
      </c>
      <c r="CW84" s="230">
        <v>1258</v>
      </c>
      <c r="CX84" s="230">
        <v>1247</v>
      </c>
      <c r="CY84" s="228">
        <v>11</v>
      </c>
      <c r="CZ84" s="229">
        <v>8.8000000000000005E-3</v>
      </c>
      <c r="DA84" s="228">
        <v>34.71</v>
      </c>
      <c r="DB84" s="228">
        <v>33.76</v>
      </c>
      <c r="DC84" s="228">
        <v>0.95</v>
      </c>
      <c r="DD84" s="228">
        <v>0.95</v>
      </c>
      <c r="DE84" s="228">
        <v>52.87</v>
      </c>
      <c r="DF84" s="228">
        <v>53</v>
      </c>
      <c r="DG84" s="228">
        <v>-18.16</v>
      </c>
      <c r="DH84" s="228">
        <v>-0.13</v>
      </c>
      <c r="DI84" s="228">
        <v>35.159999999999997</v>
      </c>
      <c r="DJ84" s="228">
        <v>33.840000000000003</v>
      </c>
      <c r="DK84" s="228">
        <v>1.32</v>
      </c>
      <c r="DL84" s="228">
        <v>1.32</v>
      </c>
      <c r="DM84" s="228">
        <v>33.5</v>
      </c>
      <c r="DN84" s="228">
        <v>33.61</v>
      </c>
      <c r="DO84" s="228">
        <v>-0.11</v>
      </c>
      <c r="DP84" s="228">
        <v>-0.11</v>
      </c>
      <c r="DQ84" s="228">
        <v>0.53</v>
      </c>
      <c r="DR84" s="228">
        <v>0.53</v>
      </c>
      <c r="DS84" s="228">
        <v>0</v>
      </c>
      <c r="DT84" s="229">
        <v>0</v>
      </c>
      <c r="DU84" s="228">
        <v>240</v>
      </c>
      <c r="DV84" s="228">
        <v>220</v>
      </c>
      <c r="DW84" s="228">
        <v>0.41</v>
      </c>
      <c r="DX84" s="228">
        <v>0.41</v>
      </c>
      <c r="DY84" s="228">
        <v>0</v>
      </c>
      <c r="DZ84" s="229">
        <v>0</v>
      </c>
      <c r="EA84" s="229">
        <v>0.71240000000000003</v>
      </c>
      <c r="EB84" s="230">
        <v>13997100</v>
      </c>
      <c r="EC84" s="229">
        <v>5.1000000000000004E-3</v>
      </c>
      <c r="ED84" s="229">
        <v>0.71240000000000003</v>
      </c>
      <c r="EE84" s="228">
        <v>1.17</v>
      </c>
      <c r="EF84" s="229">
        <v>5.1000000000000004E-3</v>
      </c>
      <c r="EG84" s="230">
        <v>1866810</v>
      </c>
      <c r="EH84" s="230">
        <v>644881</v>
      </c>
      <c r="EI84" s="229">
        <v>1.8948</v>
      </c>
      <c r="EJ84" s="229">
        <v>0.47970000000000002</v>
      </c>
      <c r="EK84" s="228">
        <v>377.38</v>
      </c>
      <c r="EL84" s="228">
        <v>150.05000000000001</v>
      </c>
      <c r="EM84" s="228">
        <v>500.94</v>
      </c>
      <c r="EN84" s="228">
        <v>44.59</v>
      </c>
      <c r="EO84" s="231">
        <v>1028.3800000000001</v>
      </c>
      <c r="EP84" s="228">
        <v>941.11</v>
      </c>
      <c r="EQ84" s="228">
        <v>87.26</v>
      </c>
      <c r="ER84" s="229">
        <v>9.2700000000000005E-2</v>
      </c>
      <c r="ES84" s="228">
        <v>394.28</v>
      </c>
      <c r="ET84" s="228">
        <v>194.13</v>
      </c>
      <c r="EU84" s="228">
        <v>688.95</v>
      </c>
      <c r="EV84" s="231">
        <v>75071250</v>
      </c>
      <c r="EW84" s="231">
        <v>1277.3599999999999</v>
      </c>
      <c r="EX84" s="231">
        <v>1262.9000000000001</v>
      </c>
      <c r="EY84" s="228">
        <v>14.46</v>
      </c>
      <c r="EZ84" s="229">
        <v>1.14E-2</v>
      </c>
      <c r="FA84" s="229">
        <v>0.73660000000000003</v>
      </c>
      <c r="FB84" s="227" t="s">
        <v>555</v>
      </c>
      <c r="FC84">
        <f t="shared" si="1"/>
        <v>489</v>
      </c>
    </row>
    <row r="85" spans="1:159" ht="17.25" thickBot="1" x14ac:dyDescent="0.3">
      <c r="A85" s="226">
        <v>45957</v>
      </c>
      <c r="B85" s="227" t="s">
        <v>172</v>
      </c>
      <c r="C85" s="227" t="s">
        <v>232</v>
      </c>
      <c r="D85" s="228">
        <v>700</v>
      </c>
      <c r="E85" s="228">
        <v>1</v>
      </c>
      <c r="F85" s="231">
        <v>1378</v>
      </c>
      <c r="G85" s="231">
        <v>1378</v>
      </c>
      <c r="H85" s="228">
        <v>0</v>
      </c>
      <c r="I85" s="229">
        <v>0</v>
      </c>
      <c r="J85" s="231">
        <v>1377.6</v>
      </c>
      <c r="K85" s="231">
        <v>1377.7</v>
      </c>
      <c r="L85" s="228">
        <v>-0.1</v>
      </c>
      <c r="M85" s="229">
        <v>-1E-4</v>
      </c>
      <c r="N85" s="231">
        <v>1378</v>
      </c>
      <c r="O85" s="231">
        <v>1378</v>
      </c>
      <c r="P85" s="228">
        <v>0</v>
      </c>
      <c r="Q85" s="229">
        <v>0</v>
      </c>
      <c r="R85" s="231">
        <v>1385.6</v>
      </c>
      <c r="S85" s="231">
        <v>1385.9</v>
      </c>
      <c r="T85" s="228">
        <v>-0.3</v>
      </c>
      <c r="U85" s="229">
        <v>-2.0000000000000001E-4</v>
      </c>
      <c r="V85" s="231">
        <v>1395</v>
      </c>
      <c r="W85" s="231">
        <v>1394.8</v>
      </c>
      <c r="X85" s="228">
        <v>0.2</v>
      </c>
      <c r="Y85" s="229">
        <v>1E-4</v>
      </c>
      <c r="Z85" s="228">
        <v>0.4</v>
      </c>
      <c r="AA85" s="228">
        <v>0.3</v>
      </c>
      <c r="AB85" s="228">
        <v>0.1</v>
      </c>
      <c r="AC85" s="229">
        <v>2.9999999999999997E-4</v>
      </c>
      <c r="AD85" s="228">
        <v>0.4</v>
      </c>
      <c r="AE85" s="228">
        <v>0.3</v>
      </c>
      <c r="AF85" s="228">
        <v>0.1</v>
      </c>
      <c r="AG85" s="229">
        <v>2.9999999999999997E-4</v>
      </c>
      <c r="AH85" s="228">
        <v>8</v>
      </c>
      <c r="AI85" s="228">
        <v>8.1999999999999993</v>
      </c>
      <c r="AJ85" s="228">
        <v>-0.2</v>
      </c>
      <c r="AK85" s="229">
        <v>5.7999999999999996E-3</v>
      </c>
      <c r="AL85" s="228">
        <v>17.399999999999999</v>
      </c>
      <c r="AM85" s="228">
        <v>17.100000000000001</v>
      </c>
      <c r="AN85" s="228">
        <v>0.3</v>
      </c>
      <c r="AO85" s="229">
        <v>1.26E-2</v>
      </c>
      <c r="AP85" s="231">
        <v>1380.57</v>
      </c>
      <c r="AQ85" s="231">
        <v>1388.46</v>
      </c>
      <c r="AR85" s="228">
        <v>0</v>
      </c>
      <c r="AS85" s="230">
        <v>6966</v>
      </c>
      <c r="AT85" s="230">
        <v>10627</v>
      </c>
      <c r="AU85" s="230">
        <v>-3661</v>
      </c>
      <c r="AV85" s="229">
        <v>-0.34449999999999997</v>
      </c>
      <c r="AW85" s="230">
        <v>3358</v>
      </c>
      <c r="AX85" s="230">
        <v>5403</v>
      </c>
      <c r="AY85" s="230">
        <v>-2044</v>
      </c>
      <c r="AZ85" s="229">
        <v>-0.37840000000000001</v>
      </c>
      <c r="BA85" s="230">
        <v>3564</v>
      </c>
      <c r="BB85" s="230">
        <v>5179</v>
      </c>
      <c r="BC85" s="230">
        <v>-1614</v>
      </c>
      <c r="BD85" s="229">
        <v>-0.31180000000000002</v>
      </c>
      <c r="BE85" s="228">
        <v>44</v>
      </c>
      <c r="BF85" s="228">
        <v>46</v>
      </c>
      <c r="BG85" s="228">
        <v>-2</v>
      </c>
      <c r="BH85" s="229">
        <v>-4.4200000000000003E-2</v>
      </c>
      <c r="BI85" s="230">
        <v>7580</v>
      </c>
      <c r="BJ85" s="230">
        <v>11413</v>
      </c>
      <c r="BK85" s="230">
        <v>-3834</v>
      </c>
      <c r="BL85" s="229">
        <v>-0.33589999999999998</v>
      </c>
      <c r="BM85" s="230">
        <v>4357</v>
      </c>
      <c r="BN85" s="230">
        <v>6117</v>
      </c>
      <c r="BO85" s="230">
        <v>-1760</v>
      </c>
      <c r="BP85" s="229">
        <v>-0.2878</v>
      </c>
      <c r="BQ85" s="230">
        <v>18903</v>
      </c>
      <c r="BR85" s="230">
        <v>28157</v>
      </c>
      <c r="BS85" s="230">
        <v>-9255</v>
      </c>
      <c r="BT85" s="229">
        <v>-0.32869999999999999</v>
      </c>
      <c r="BU85" s="230">
        <v>12215641</v>
      </c>
      <c r="BV85" s="230">
        <v>11316252</v>
      </c>
      <c r="BW85" s="230">
        <v>899389</v>
      </c>
      <c r="BX85" s="229">
        <v>7.9500000000000001E-2</v>
      </c>
      <c r="BY85" s="230">
        <v>15259</v>
      </c>
      <c r="BZ85" s="230">
        <v>15145</v>
      </c>
      <c r="CA85" s="228">
        <v>114</v>
      </c>
      <c r="CB85" s="229">
        <v>7.6E-3</v>
      </c>
      <c r="CC85" s="230">
        <v>3177</v>
      </c>
      <c r="CD85" s="230">
        <v>5680</v>
      </c>
      <c r="CE85" s="230">
        <v>-2504</v>
      </c>
      <c r="CF85" s="229">
        <v>-0.44069999999999998</v>
      </c>
      <c r="CG85" s="230">
        <v>11708</v>
      </c>
      <c r="CH85" s="230">
        <v>9114</v>
      </c>
      <c r="CI85" s="230">
        <v>2594</v>
      </c>
      <c r="CJ85" s="229">
        <v>0.28460000000000002</v>
      </c>
      <c r="CK85" s="228">
        <v>375</v>
      </c>
      <c r="CL85" s="228">
        <v>350</v>
      </c>
      <c r="CM85" s="228">
        <v>24</v>
      </c>
      <c r="CN85" s="229">
        <v>6.9099999999999995E-2</v>
      </c>
      <c r="CO85" s="230">
        <v>6096</v>
      </c>
      <c r="CP85" s="230">
        <v>6750</v>
      </c>
      <c r="CQ85" s="228">
        <v>-654</v>
      </c>
      <c r="CR85" s="229">
        <v>-9.69E-2</v>
      </c>
      <c r="CS85" s="230">
        <v>3476</v>
      </c>
      <c r="CT85" s="230">
        <v>3497</v>
      </c>
      <c r="CU85" s="228">
        <v>-21</v>
      </c>
      <c r="CV85" s="229">
        <v>-6.0000000000000001E-3</v>
      </c>
      <c r="CW85" s="230">
        <v>24832</v>
      </c>
      <c r="CX85" s="230">
        <v>25392</v>
      </c>
      <c r="CY85" s="228">
        <v>-561</v>
      </c>
      <c r="CZ85" s="229">
        <v>-2.2100000000000002E-2</v>
      </c>
      <c r="DA85" s="228">
        <v>17.07</v>
      </c>
      <c r="DB85" s="228">
        <v>16.920000000000002</v>
      </c>
      <c r="DC85" s="228">
        <v>0.15</v>
      </c>
      <c r="DD85" s="228">
        <v>0.15</v>
      </c>
      <c r="DE85" s="228">
        <v>21.25</v>
      </c>
      <c r="DF85" s="228">
        <v>21.31</v>
      </c>
      <c r="DG85" s="228">
        <v>-4.18</v>
      </c>
      <c r="DH85" s="228">
        <v>-0.06</v>
      </c>
      <c r="DI85" s="228">
        <v>17.07</v>
      </c>
      <c r="DJ85" s="228">
        <v>16.96</v>
      </c>
      <c r="DK85" s="228">
        <v>0.11</v>
      </c>
      <c r="DL85" s="228">
        <v>0.11</v>
      </c>
      <c r="DM85" s="228">
        <v>17.059999999999999</v>
      </c>
      <c r="DN85" s="228">
        <v>16.84</v>
      </c>
      <c r="DO85" s="228">
        <v>0.22</v>
      </c>
      <c r="DP85" s="228">
        <v>0.22</v>
      </c>
      <c r="DQ85" s="228">
        <v>0.56999999999999995</v>
      </c>
      <c r="DR85" s="228">
        <v>0.52</v>
      </c>
      <c r="DS85" s="228">
        <v>0.05</v>
      </c>
      <c r="DT85" s="229">
        <v>9.6199999999999994E-2</v>
      </c>
      <c r="DU85" s="231">
        <v>1400</v>
      </c>
      <c r="DV85" s="231">
        <v>1400</v>
      </c>
      <c r="DW85" s="228">
        <v>0.56999999999999995</v>
      </c>
      <c r="DX85" s="228">
        <v>0.54</v>
      </c>
      <c r="DY85" s="228">
        <v>0.03</v>
      </c>
      <c r="DZ85" s="229">
        <v>5.5599999999999997E-2</v>
      </c>
      <c r="EA85" s="229">
        <v>0.79179999999999995</v>
      </c>
      <c r="EB85" s="230">
        <v>68681200</v>
      </c>
      <c r="EC85" s="229">
        <v>5.4999999999999997E-3</v>
      </c>
      <c r="ED85" s="229">
        <v>0.79179999999999995</v>
      </c>
      <c r="EE85" s="228">
        <v>7.89</v>
      </c>
      <c r="EF85" s="229">
        <v>5.7000000000000002E-3</v>
      </c>
      <c r="EG85" s="230">
        <v>9518445</v>
      </c>
      <c r="EH85" s="230">
        <v>6568881</v>
      </c>
      <c r="EI85" s="229">
        <v>0.44900000000000001</v>
      </c>
      <c r="EJ85" s="229">
        <v>0.7792</v>
      </c>
      <c r="EK85" s="231">
        <v>7786.6</v>
      </c>
      <c r="EL85" s="231">
        <v>4377.26</v>
      </c>
      <c r="EM85" s="231">
        <v>7000.27</v>
      </c>
      <c r="EN85" s="228">
        <v>684.43</v>
      </c>
      <c r="EO85" s="231">
        <v>19164.14</v>
      </c>
      <c r="EP85" s="231">
        <v>28421.22</v>
      </c>
      <c r="EQ85" s="231">
        <v>-9257.08</v>
      </c>
      <c r="ER85" s="229">
        <v>-0.32569999999999999</v>
      </c>
      <c r="ES85" s="231">
        <v>6332.35</v>
      </c>
      <c r="ET85" s="231">
        <v>3450.12</v>
      </c>
      <c r="EU85" s="231">
        <v>15328.2</v>
      </c>
      <c r="EV85" s="231">
        <v>579785172</v>
      </c>
      <c r="EW85" s="231">
        <v>25110.66</v>
      </c>
      <c r="EX85" s="231">
        <v>25685</v>
      </c>
      <c r="EY85" s="228">
        <v>-574.34</v>
      </c>
      <c r="EZ85" s="229">
        <v>-2.24E-2</v>
      </c>
      <c r="FA85" s="229">
        <v>0.31080000000000002</v>
      </c>
      <c r="FB85" s="227" t="s">
        <v>237</v>
      </c>
      <c r="FC85">
        <f t="shared" si="1"/>
        <v>12082</v>
      </c>
    </row>
    <row r="86" spans="1:159" ht="17.25" thickBot="1" x14ac:dyDescent="0.3">
      <c r="A86" s="226">
        <v>45957</v>
      </c>
      <c r="B86" s="227" t="s">
        <v>175</v>
      </c>
      <c r="C86" s="227" t="s">
        <v>472</v>
      </c>
      <c r="D86" s="228">
        <v>325</v>
      </c>
      <c r="E86" s="228">
        <v>1</v>
      </c>
      <c r="F86" s="231">
        <v>1989.3</v>
      </c>
      <c r="G86" s="231">
        <v>1992.1</v>
      </c>
      <c r="H86" s="228">
        <v>-2.8</v>
      </c>
      <c r="I86" s="229">
        <v>-1.4E-3</v>
      </c>
      <c r="J86" s="231">
        <v>1986.4</v>
      </c>
      <c r="K86" s="231">
        <v>1993.9</v>
      </c>
      <c r="L86" s="228">
        <v>-7.5</v>
      </c>
      <c r="M86" s="229">
        <v>-3.8E-3</v>
      </c>
      <c r="N86" s="231">
        <v>1989.3</v>
      </c>
      <c r="O86" s="231">
        <v>1992.1</v>
      </c>
      <c r="P86" s="228">
        <v>-2.8</v>
      </c>
      <c r="Q86" s="229">
        <v>-1.4E-3</v>
      </c>
      <c r="R86" s="231">
        <v>2000</v>
      </c>
      <c r="S86" s="231">
        <v>2003</v>
      </c>
      <c r="T86" s="228">
        <v>-3</v>
      </c>
      <c r="U86" s="229">
        <v>-1.5E-3</v>
      </c>
      <c r="V86" s="231">
        <v>2012.5</v>
      </c>
      <c r="W86" s="231">
        <v>1992.7</v>
      </c>
      <c r="X86" s="228">
        <v>19.8</v>
      </c>
      <c r="Y86" s="229">
        <v>9.9000000000000008E-3</v>
      </c>
      <c r="Z86" s="228">
        <v>2.9</v>
      </c>
      <c r="AA86" s="228">
        <v>-1.8</v>
      </c>
      <c r="AB86" s="228">
        <v>4.7</v>
      </c>
      <c r="AC86" s="229">
        <v>1.5E-3</v>
      </c>
      <c r="AD86" s="228">
        <v>2.9</v>
      </c>
      <c r="AE86" s="228">
        <v>-1.8</v>
      </c>
      <c r="AF86" s="228">
        <v>4.7</v>
      </c>
      <c r="AG86" s="229">
        <v>1.5E-3</v>
      </c>
      <c r="AH86" s="228">
        <v>13.6</v>
      </c>
      <c r="AI86" s="228">
        <v>9.1</v>
      </c>
      <c r="AJ86" s="228">
        <v>4.5</v>
      </c>
      <c r="AK86" s="229">
        <v>6.7999999999999996E-3</v>
      </c>
      <c r="AL86" s="228">
        <v>26.1</v>
      </c>
      <c r="AM86" s="228">
        <v>-1.2</v>
      </c>
      <c r="AN86" s="228">
        <v>27.3</v>
      </c>
      <c r="AO86" s="229">
        <v>1.3100000000000001E-2</v>
      </c>
      <c r="AP86" s="231">
        <v>1996.18</v>
      </c>
      <c r="AQ86" s="231">
        <v>2007.11</v>
      </c>
      <c r="AR86" s="228">
        <v>0</v>
      </c>
      <c r="AS86" s="228">
        <v>747</v>
      </c>
      <c r="AT86" s="230">
        <v>1171</v>
      </c>
      <c r="AU86" s="228">
        <v>-425</v>
      </c>
      <c r="AV86" s="229">
        <v>-0.3624</v>
      </c>
      <c r="AW86" s="228">
        <v>365</v>
      </c>
      <c r="AX86" s="228">
        <v>574</v>
      </c>
      <c r="AY86" s="228">
        <v>-209</v>
      </c>
      <c r="AZ86" s="229">
        <v>-0.3644</v>
      </c>
      <c r="BA86" s="228">
        <v>381</v>
      </c>
      <c r="BB86" s="228">
        <v>597</v>
      </c>
      <c r="BC86" s="228">
        <v>-216</v>
      </c>
      <c r="BD86" s="229">
        <v>-0.36120000000000002</v>
      </c>
      <c r="BE86" s="228">
        <v>1</v>
      </c>
      <c r="BF86" s="228">
        <v>1</v>
      </c>
      <c r="BG86" s="228">
        <v>0</v>
      </c>
      <c r="BH86" s="229">
        <v>0.2727</v>
      </c>
      <c r="BI86" s="228">
        <v>287</v>
      </c>
      <c r="BJ86" s="228">
        <v>373</v>
      </c>
      <c r="BK86" s="228">
        <v>-85</v>
      </c>
      <c r="BL86" s="229">
        <v>-0.2286</v>
      </c>
      <c r="BM86" s="228">
        <v>230</v>
      </c>
      <c r="BN86" s="228">
        <v>483</v>
      </c>
      <c r="BO86" s="228">
        <v>-253</v>
      </c>
      <c r="BP86" s="229">
        <v>-0.52329999999999999</v>
      </c>
      <c r="BQ86" s="230">
        <v>1265</v>
      </c>
      <c r="BR86" s="230">
        <v>2027</v>
      </c>
      <c r="BS86" s="228">
        <v>-763</v>
      </c>
      <c r="BT86" s="229">
        <v>-0.37609999999999999</v>
      </c>
      <c r="BU86" s="230">
        <v>342746</v>
      </c>
      <c r="BV86" s="230">
        <v>480728</v>
      </c>
      <c r="BW86" s="230">
        <v>-137982</v>
      </c>
      <c r="BX86" s="229">
        <v>-0.28699999999999998</v>
      </c>
      <c r="BY86" s="230">
        <v>1203</v>
      </c>
      <c r="BZ86" s="230">
        <v>1214</v>
      </c>
      <c r="CA86" s="228">
        <v>-12</v>
      </c>
      <c r="CB86" s="229">
        <v>-9.4999999999999998E-3</v>
      </c>
      <c r="CC86" s="228">
        <v>159</v>
      </c>
      <c r="CD86" s="228">
        <v>471</v>
      </c>
      <c r="CE86" s="228">
        <v>-311</v>
      </c>
      <c r="CF86" s="229">
        <v>-0.66169999999999995</v>
      </c>
      <c r="CG86" s="230">
        <v>1041</v>
      </c>
      <c r="CH86" s="228">
        <v>741</v>
      </c>
      <c r="CI86" s="228">
        <v>300</v>
      </c>
      <c r="CJ86" s="229">
        <v>0.40429999999999999</v>
      </c>
      <c r="CK86" s="228">
        <v>3</v>
      </c>
      <c r="CL86" s="228">
        <v>3</v>
      </c>
      <c r="CM86" s="228">
        <v>0</v>
      </c>
      <c r="CN86" s="229">
        <v>0.11360000000000001</v>
      </c>
      <c r="CO86" s="228">
        <v>315</v>
      </c>
      <c r="CP86" s="228">
        <v>336</v>
      </c>
      <c r="CQ86" s="228">
        <v>-21</v>
      </c>
      <c r="CR86" s="229">
        <v>-6.1899999999999997E-2</v>
      </c>
      <c r="CS86" s="228">
        <v>379</v>
      </c>
      <c r="CT86" s="228">
        <v>425</v>
      </c>
      <c r="CU86" s="228">
        <v>-46</v>
      </c>
      <c r="CV86" s="229">
        <v>-0.10780000000000001</v>
      </c>
      <c r="CW86" s="230">
        <v>1897</v>
      </c>
      <c r="CX86" s="230">
        <v>1975</v>
      </c>
      <c r="CY86" s="228">
        <v>-78</v>
      </c>
      <c r="CZ86" s="229">
        <v>-3.95E-2</v>
      </c>
      <c r="DA86" s="228">
        <v>20.75</v>
      </c>
      <c r="DB86" s="228">
        <v>20.96</v>
      </c>
      <c r="DC86" s="228">
        <v>-0.21</v>
      </c>
      <c r="DD86" s="228">
        <v>-0.21</v>
      </c>
      <c r="DE86" s="228">
        <v>29.89</v>
      </c>
      <c r="DF86" s="228">
        <v>29.96</v>
      </c>
      <c r="DG86" s="228">
        <v>-9.14</v>
      </c>
      <c r="DH86" s="228">
        <v>-7.0000000000000007E-2</v>
      </c>
      <c r="DI86" s="228">
        <v>20.73</v>
      </c>
      <c r="DJ86" s="228">
        <v>21.27</v>
      </c>
      <c r="DK86" s="228">
        <v>-0.54</v>
      </c>
      <c r="DL86" s="228">
        <v>-0.54</v>
      </c>
      <c r="DM86" s="228">
        <v>20.79</v>
      </c>
      <c r="DN86" s="228">
        <v>20.59</v>
      </c>
      <c r="DO86" s="228">
        <v>0.2</v>
      </c>
      <c r="DP86" s="228">
        <v>0.2</v>
      </c>
      <c r="DQ86" s="228">
        <v>1.2</v>
      </c>
      <c r="DR86" s="228">
        <v>1.26</v>
      </c>
      <c r="DS86" s="228">
        <v>-0.06</v>
      </c>
      <c r="DT86" s="229">
        <v>-4.7600000000000003E-2</v>
      </c>
      <c r="DU86" s="231">
        <v>2020</v>
      </c>
      <c r="DV86" s="231">
        <v>1900</v>
      </c>
      <c r="DW86" s="228">
        <v>0.8</v>
      </c>
      <c r="DX86" s="228">
        <v>1.3</v>
      </c>
      <c r="DY86" s="228">
        <v>-0.5</v>
      </c>
      <c r="DZ86" s="229">
        <v>-0.3846</v>
      </c>
      <c r="EA86" s="229">
        <v>0.86760000000000004</v>
      </c>
      <c r="EB86" s="230">
        <v>3739125</v>
      </c>
      <c r="EC86" s="229">
        <v>5.4000000000000003E-3</v>
      </c>
      <c r="ED86" s="229">
        <v>0.86760000000000004</v>
      </c>
      <c r="EE86" s="228">
        <v>10.93</v>
      </c>
      <c r="EF86" s="229">
        <v>5.4999999999999997E-3</v>
      </c>
      <c r="EG86" s="230">
        <v>217874</v>
      </c>
      <c r="EH86" s="230">
        <v>258033</v>
      </c>
      <c r="EI86" s="229">
        <v>-0.15559999999999999</v>
      </c>
      <c r="EJ86" s="229">
        <v>0.63570000000000004</v>
      </c>
      <c r="EK86" s="228">
        <v>295.18</v>
      </c>
      <c r="EL86" s="228">
        <v>223.49</v>
      </c>
      <c r="EM86" s="228">
        <v>751.68</v>
      </c>
      <c r="EN86" s="228">
        <v>74.260000000000005</v>
      </c>
      <c r="EO86" s="231">
        <v>1270.3499999999999</v>
      </c>
      <c r="EP86" s="231">
        <v>2027.06</v>
      </c>
      <c r="EQ86" s="228">
        <v>-756.71</v>
      </c>
      <c r="ER86" s="229">
        <v>-0.37330000000000002</v>
      </c>
      <c r="ES86" s="228">
        <v>322.20999999999998</v>
      </c>
      <c r="ET86" s="228">
        <v>359.98</v>
      </c>
      <c r="EU86" s="231">
        <v>1208.6199999999999</v>
      </c>
      <c r="EV86" s="231">
        <v>26688038</v>
      </c>
      <c r="EW86" s="231">
        <v>1890.81</v>
      </c>
      <c r="EX86" s="231">
        <v>1966.62</v>
      </c>
      <c r="EY86" s="228">
        <v>-75.81</v>
      </c>
      <c r="EZ86" s="229">
        <v>-3.85E-2</v>
      </c>
      <c r="FA86" s="229">
        <v>0.35730000000000001</v>
      </c>
      <c r="FB86" s="227" t="s">
        <v>568</v>
      </c>
      <c r="FC86">
        <f t="shared" si="1"/>
        <v>1044</v>
      </c>
    </row>
    <row r="87" spans="1:159" ht="17.25" thickBot="1" x14ac:dyDescent="0.3">
      <c r="A87" s="226">
        <v>45957</v>
      </c>
      <c r="B87" s="227" t="s">
        <v>175</v>
      </c>
      <c r="C87" s="227" t="s">
        <v>233</v>
      </c>
      <c r="D87" s="228">
        <v>925</v>
      </c>
      <c r="E87" s="228">
        <v>1</v>
      </c>
      <c r="F87" s="228">
        <v>601.6</v>
      </c>
      <c r="G87" s="228">
        <v>601.5</v>
      </c>
      <c r="H87" s="228">
        <v>0.1</v>
      </c>
      <c r="I87" s="229">
        <v>2.0000000000000001E-4</v>
      </c>
      <c r="J87" s="228">
        <v>600.75</v>
      </c>
      <c r="K87" s="228">
        <v>601.95000000000005</v>
      </c>
      <c r="L87" s="228">
        <v>-1.2</v>
      </c>
      <c r="M87" s="229">
        <v>-2E-3</v>
      </c>
      <c r="N87" s="228">
        <v>601.6</v>
      </c>
      <c r="O87" s="228">
        <v>601.5</v>
      </c>
      <c r="P87" s="228">
        <v>0.1</v>
      </c>
      <c r="Q87" s="229">
        <v>2.0000000000000001E-4</v>
      </c>
      <c r="R87" s="228">
        <v>604.65</v>
      </c>
      <c r="S87" s="228">
        <v>604.95000000000005</v>
      </c>
      <c r="T87" s="228">
        <v>-0.3</v>
      </c>
      <c r="U87" s="229">
        <v>-5.0000000000000001E-4</v>
      </c>
      <c r="V87" s="228">
        <v>608</v>
      </c>
      <c r="W87" s="228">
        <v>609.85</v>
      </c>
      <c r="X87" s="228">
        <v>-1.85</v>
      </c>
      <c r="Y87" s="229">
        <v>-3.0000000000000001E-3</v>
      </c>
      <c r="Z87" s="228">
        <v>0.85</v>
      </c>
      <c r="AA87" s="228">
        <v>-0.45</v>
      </c>
      <c r="AB87" s="228">
        <v>1.3</v>
      </c>
      <c r="AC87" s="229">
        <v>1.4E-3</v>
      </c>
      <c r="AD87" s="228">
        <v>0.85</v>
      </c>
      <c r="AE87" s="228">
        <v>-0.45</v>
      </c>
      <c r="AF87" s="228">
        <v>1.3</v>
      </c>
      <c r="AG87" s="229">
        <v>1.4E-3</v>
      </c>
      <c r="AH87" s="228">
        <v>3.9</v>
      </c>
      <c r="AI87" s="228">
        <v>3</v>
      </c>
      <c r="AJ87" s="228">
        <v>0.9</v>
      </c>
      <c r="AK87" s="229">
        <v>6.4999999999999997E-3</v>
      </c>
      <c r="AL87" s="228">
        <v>7.25</v>
      </c>
      <c r="AM87" s="228">
        <v>7.9</v>
      </c>
      <c r="AN87" s="228">
        <v>-0.65</v>
      </c>
      <c r="AO87" s="229">
        <v>1.21E-2</v>
      </c>
      <c r="AP87" s="228">
        <v>602.04</v>
      </c>
      <c r="AQ87" s="228">
        <v>605.39</v>
      </c>
      <c r="AR87" s="228">
        <v>0</v>
      </c>
      <c r="AS87" s="228">
        <v>548</v>
      </c>
      <c r="AT87" s="228">
        <v>554</v>
      </c>
      <c r="AU87" s="228">
        <v>-6</v>
      </c>
      <c r="AV87" s="229">
        <v>-1.15E-2</v>
      </c>
      <c r="AW87" s="228">
        <v>251</v>
      </c>
      <c r="AX87" s="228">
        <v>284</v>
      </c>
      <c r="AY87" s="228">
        <v>-33</v>
      </c>
      <c r="AZ87" s="229">
        <v>-0.1177</v>
      </c>
      <c r="BA87" s="228">
        <v>294</v>
      </c>
      <c r="BB87" s="228">
        <v>269</v>
      </c>
      <c r="BC87" s="228">
        <v>25</v>
      </c>
      <c r="BD87" s="229">
        <v>9.4399999999999998E-2</v>
      </c>
      <c r="BE87" s="228">
        <v>3</v>
      </c>
      <c r="BF87" s="228">
        <v>1</v>
      </c>
      <c r="BG87" s="228">
        <v>2</v>
      </c>
      <c r="BH87" s="229">
        <v>1.1537999999999999</v>
      </c>
      <c r="BI87" s="228">
        <v>251</v>
      </c>
      <c r="BJ87" s="228">
        <v>213</v>
      </c>
      <c r="BK87" s="228">
        <v>38</v>
      </c>
      <c r="BL87" s="229">
        <v>0.1794</v>
      </c>
      <c r="BM87" s="228">
        <v>92</v>
      </c>
      <c r="BN87" s="228">
        <v>132</v>
      </c>
      <c r="BO87" s="228">
        <v>-40</v>
      </c>
      <c r="BP87" s="229">
        <v>-0.30580000000000002</v>
      </c>
      <c r="BQ87" s="228">
        <v>891</v>
      </c>
      <c r="BR87" s="228">
        <v>899</v>
      </c>
      <c r="BS87" s="228">
        <v>-9</v>
      </c>
      <c r="BT87" s="229">
        <v>-9.4999999999999998E-3</v>
      </c>
      <c r="BU87" s="230">
        <v>2230135</v>
      </c>
      <c r="BV87" s="230">
        <v>405560</v>
      </c>
      <c r="BW87" s="230">
        <v>1824575</v>
      </c>
      <c r="BX87" s="229">
        <v>4.4988999999999999</v>
      </c>
      <c r="BY87" s="228">
        <v>744</v>
      </c>
      <c r="BZ87" s="228">
        <v>728</v>
      </c>
      <c r="CA87" s="228">
        <v>16</v>
      </c>
      <c r="CB87" s="229">
        <v>2.2200000000000001E-2</v>
      </c>
      <c r="CC87" s="228">
        <v>88</v>
      </c>
      <c r="CD87" s="228">
        <v>293</v>
      </c>
      <c r="CE87" s="228">
        <v>-205</v>
      </c>
      <c r="CF87" s="229">
        <v>-0.6996</v>
      </c>
      <c r="CG87" s="228">
        <v>647</v>
      </c>
      <c r="CH87" s="228">
        <v>428</v>
      </c>
      <c r="CI87" s="228">
        <v>220</v>
      </c>
      <c r="CJ87" s="229">
        <v>0.51349999999999996</v>
      </c>
      <c r="CK87" s="228">
        <v>9</v>
      </c>
      <c r="CL87" s="228">
        <v>7</v>
      </c>
      <c r="CM87" s="228">
        <v>2</v>
      </c>
      <c r="CN87" s="229">
        <v>0.26019999999999999</v>
      </c>
      <c r="CO87" s="228">
        <v>290</v>
      </c>
      <c r="CP87" s="228">
        <v>300</v>
      </c>
      <c r="CQ87" s="228">
        <v>-10</v>
      </c>
      <c r="CR87" s="229">
        <v>-3.4500000000000003E-2</v>
      </c>
      <c r="CS87" s="228">
        <v>171</v>
      </c>
      <c r="CT87" s="228">
        <v>179</v>
      </c>
      <c r="CU87" s="228">
        <v>-8</v>
      </c>
      <c r="CV87" s="229">
        <v>-4.6600000000000003E-2</v>
      </c>
      <c r="CW87" s="230">
        <v>1205</v>
      </c>
      <c r="CX87" s="230">
        <v>1207</v>
      </c>
      <c r="CY87" s="228">
        <v>-3</v>
      </c>
      <c r="CZ87" s="229">
        <v>-2.0999999999999999E-3</v>
      </c>
      <c r="DA87" s="228">
        <v>21.84</v>
      </c>
      <c r="DB87" s="228">
        <v>21.95</v>
      </c>
      <c r="DC87" s="228">
        <v>-0.11</v>
      </c>
      <c r="DD87" s="228">
        <v>-0.11</v>
      </c>
      <c r="DE87" s="228">
        <v>27.95</v>
      </c>
      <c r="DF87" s="228">
        <v>28.02</v>
      </c>
      <c r="DG87" s="228">
        <v>-6.11</v>
      </c>
      <c r="DH87" s="228">
        <v>-7.0000000000000007E-2</v>
      </c>
      <c r="DI87" s="228">
        <v>21.84</v>
      </c>
      <c r="DJ87" s="228">
        <v>22.12</v>
      </c>
      <c r="DK87" s="228">
        <v>-0.28000000000000003</v>
      </c>
      <c r="DL87" s="228">
        <v>-0.28000000000000003</v>
      </c>
      <c r="DM87" s="228">
        <v>21.82</v>
      </c>
      <c r="DN87" s="228">
        <v>21.76</v>
      </c>
      <c r="DO87" s="228">
        <v>0.06</v>
      </c>
      <c r="DP87" s="228">
        <v>0.06</v>
      </c>
      <c r="DQ87" s="228">
        <v>0.59</v>
      </c>
      <c r="DR87" s="228">
        <v>0.6</v>
      </c>
      <c r="DS87" s="228">
        <v>-0.01</v>
      </c>
      <c r="DT87" s="229">
        <v>-1.67E-2</v>
      </c>
      <c r="DU87" s="228">
        <v>620</v>
      </c>
      <c r="DV87" s="228">
        <v>600</v>
      </c>
      <c r="DW87" s="228">
        <v>0.36</v>
      </c>
      <c r="DX87" s="228">
        <v>0.62</v>
      </c>
      <c r="DY87" s="228">
        <v>-0.26</v>
      </c>
      <c r="DZ87" s="229">
        <v>-0.4194</v>
      </c>
      <c r="EA87" s="229">
        <v>0.88160000000000005</v>
      </c>
      <c r="EB87" s="230">
        <v>7220550</v>
      </c>
      <c r="EC87" s="229">
        <v>5.1000000000000004E-3</v>
      </c>
      <c r="ED87" s="229">
        <v>0.88160000000000005</v>
      </c>
      <c r="EE87" s="228">
        <v>3.35</v>
      </c>
      <c r="EF87" s="229">
        <v>5.5999999999999999E-3</v>
      </c>
      <c r="EG87" s="230">
        <v>1762554</v>
      </c>
      <c r="EH87" s="230">
        <v>258796</v>
      </c>
      <c r="EI87" s="229">
        <v>5.8106</v>
      </c>
      <c r="EJ87" s="229">
        <v>0.7903</v>
      </c>
      <c r="EK87" s="228">
        <v>260.24</v>
      </c>
      <c r="EL87" s="228">
        <v>90.93</v>
      </c>
      <c r="EM87" s="228">
        <v>550.1</v>
      </c>
      <c r="EN87" s="228">
        <v>54.22</v>
      </c>
      <c r="EO87" s="228">
        <v>901.27</v>
      </c>
      <c r="EP87" s="228">
        <v>907.04</v>
      </c>
      <c r="EQ87" s="228">
        <v>-5.78</v>
      </c>
      <c r="ER87" s="229">
        <v>-6.4000000000000003E-3</v>
      </c>
      <c r="ES87" s="228">
        <v>300.60000000000002</v>
      </c>
      <c r="ET87" s="228">
        <v>166.21</v>
      </c>
      <c r="EU87" s="228">
        <v>747.16</v>
      </c>
      <c r="EV87" s="231">
        <v>48653643</v>
      </c>
      <c r="EW87" s="231">
        <v>1213.97</v>
      </c>
      <c r="EX87" s="231">
        <v>1215.76</v>
      </c>
      <c r="EY87" s="228">
        <v>-1.79</v>
      </c>
      <c r="EZ87" s="229">
        <v>-1.5E-3</v>
      </c>
      <c r="FA87" s="229">
        <v>0.41149999999999998</v>
      </c>
      <c r="FB87" s="227" t="s">
        <v>555</v>
      </c>
      <c r="FC87">
        <f t="shared" si="1"/>
        <v>656</v>
      </c>
    </row>
    <row r="88" spans="1:159" ht="17.25" thickBot="1" x14ac:dyDescent="0.3">
      <c r="A88" s="226">
        <v>45957</v>
      </c>
      <c r="B88" s="227" t="s">
        <v>188</v>
      </c>
      <c r="C88" s="227" t="s">
        <v>234</v>
      </c>
      <c r="D88" s="228">
        <v>40000</v>
      </c>
      <c r="E88" s="228">
        <v>1</v>
      </c>
      <c r="F88" s="228">
        <v>9.99</v>
      </c>
      <c r="G88" s="228">
        <v>9.64</v>
      </c>
      <c r="H88" s="228">
        <v>0.35</v>
      </c>
      <c r="I88" s="229">
        <v>3.6299999999999999E-2</v>
      </c>
      <c r="J88" s="228">
        <v>9.9700000000000006</v>
      </c>
      <c r="K88" s="228">
        <v>9.6199999999999992</v>
      </c>
      <c r="L88" s="228">
        <v>0.35</v>
      </c>
      <c r="M88" s="229">
        <v>3.6400000000000002E-2</v>
      </c>
      <c r="N88" s="228">
        <v>9.99</v>
      </c>
      <c r="O88" s="228">
        <v>9.64</v>
      </c>
      <c r="P88" s="228">
        <v>0.35</v>
      </c>
      <c r="Q88" s="229">
        <v>3.6299999999999999E-2</v>
      </c>
      <c r="R88" s="228">
        <v>10.050000000000001</v>
      </c>
      <c r="S88" s="228">
        <v>9.69</v>
      </c>
      <c r="T88" s="228">
        <v>0.36</v>
      </c>
      <c r="U88" s="229">
        <v>3.7199999999999997E-2</v>
      </c>
      <c r="V88" s="228">
        <v>10.11</v>
      </c>
      <c r="W88" s="228">
        <v>9.75</v>
      </c>
      <c r="X88" s="228">
        <v>0.36</v>
      </c>
      <c r="Y88" s="229">
        <v>3.6900000000000002E-2</v>
      </c>
      <c r="Z88" s="228">
        <v>0.02</v>
      </c>
      <c r="AA88" s="228">
        <v>0.02</v>
      </c>
      <c r="AB88" s="228">
        <v>0</v>
      </c>
      <c r="AC88" s="229">
        <v>2E-3</v>
      </c>
      <c r="AD88" s="228">
        <v>0.02</v>
      </c>
      <c r="AE88" s="228">
        <v>0.02</v>
      </c>
      <c r="AF88" s="228">
        <v>0</v>
      </c>
      <c r="AG88" s="229">
        <v>2E-3</v>
      </c>
      <c r="AH88" s="228">
        <v>0.08</v>
      </c>
      <c r="AI88" s="228">
        <v>7.0000000000000007E-2</v>
      </c>
      <c r="AJ88" s="228">
        <v>0.01</v>
      </c>
      <c r="AK88" s="229">
        <v>8.0000000000000002E-3</v>
      </c>
      <c r="AL88" s="228">
        <v>0.14000000000000001</v>
      </c>
      <c r="AM88" s="228">
        <v>0.13</v>
      </c>
      <c r="AN88" s="228">
        <v>0.01</v>
      </c>
      <c r="AO88" s="229">
        <v>1.4E-2</v>
      </c>
      <c r="AP88" s="228">
        <v>17.93</v>
      </c>
      <c r="AQ88" s="228">
        <v>10.1</v>
      </c>
      <c r="AR88" s="228">
        <v>0</v>
      </c>
      <c r="AS88" s="230">
        <v>4909</v>
      </c>
      <c r="AT88" s="230">
        <v>2418</v>
      </c>
      <c r="AU88" s="230">
        <v>2491</v>
      </c>
      <c r="AV88" s="229">
        <v>1.03</v>
      </c>
      <c r="AW88" s="230">
        <v>2265</v>
      </c>
      <c r="AX88" s="230">
        <v>1228</v>
      </c>
      <c r="AY88" s="230">
        <v>1038</v>
      </c>
      <c r="AZ88" s="229">
        <v>0.84519999999999995</v>
      </c>
      <c r="BA88" s="230">
        <v>2538</v>
      </c>
      <c r="BB88" s="230">
        <v>1158</v>
      </c>
      <c r="BC88" s="230">
        <v>1379</v>
      </c>
      <c r="BD88" s="229">
        <v>1.1908000000000001</v>
      </c>
      <c r="BE88" s="228">
        <v>106</v>
      </c>
      <c r="BF88" s="228">
        <v>32</v>
      </c>
      <c r="BG88" s="228">
        <v>74</v>
      </c>
      <c r="BH88" s="229">
        <v>2.2833999999999999</v>
      </c>
      <c r="BI88" s="230">
        <v>3612</v>
      </c>
      <c r="BJ88" s="228">
        <v>982</v>
      </c>
      <c r="BK88" s="230">
        <v>2630</v>
      </c>
      <c r="BL88" s="229">
        <v>2.6791999999999998</v>
      </c>
      <c r="BM88" s="230">
        <v>1088</v>
      </c>
      <c r="BN88" s="228">
        <v>377</v>
      </c>
      <c r="BO88" s="228">
        <v>711</v>
      </c>
      <c r="BP88" s="229">
        <v>1.8872</v>
      </c>
      <c r="BQ88" s="230">
        <v>9608</v>
      </c>
      <c r="BR88" s="230">
        <v>3777</v>
      </c>
      <c r="BS88" s="230">
        <v>5832</v>
      </c>
      <c r="BT88" s="229">
        <v>1.5442</v>
      </c>
      <c r="BU88" s="230">
        <v>3477798259</v>
      </c>
      <c r="BV88" s="230">
        <v>968094297</v>
      </c>
      <c r="BW88" s="230">
        <v>2509703962</v>
      </c>
      <c r="BX88" s="229">
        <v>2.5924</v>
      </c>
      <c r="BY88" s="230">
        <v>6370</v>
      </c>
      <c r="BZ88" s="230">
        <v>6275</v>
      </c>
      <c r="CA88" s="228">
        <v>95</v>
      </c>
      <c r="CB88" s="229">
        <v>1.52E-2</v>
      </c>
      <c r="CC88" s="230">
        <v>1201</v>
      </c>
      <c r="CD88" s="230">
        <v>2730</v>
      </c>
      <c r="CE88" s="230">
        <v>-1529</v>
      </c>
      <c r="CF88" s="229">
        <v>-0.55989999999999995</v>
      </c>
      <c r="CG88" s="230">
        <v>5014</v>
      </c>
      <c r="CH88" s="230">
        <v>3432</v>
      </c>
      <c r="CI88" s="230">
        <v>1582</v>
      </c>
      <c r="CJ88" s="229">
        <v>0.46079999999999999</v>
      </c>
      <c r="CK88" s="228">
        <v>155</v>
      </c>
      <c r="CL88" s="228">
        <v>113</v>
      </c>
      <c r="CM88" s="228">
        <v>42</v>
      </c>
      <c r="CN88" s="229">
        <v>0.37319999999999998</v>
      </c>
      <c r="CO88" s="230">
        <v>2427</v>
      </c>
      <c r="CP88" s="230">
        <v>2381</v>
      </c>
      <c r="CQ88" s="228">
        <v>45</v>
      </c>
      <c r="CR88" s="229">
        <v>1.9E-2</v>
      </c>
      <c r="CS88" s="230">
        <v>1894</v>
      </c>
      <c r="CT88" s="230">
        <v>1639</v>
      </c>
      <c r="CU88" s="228">
        <v>255</v>
      </c>
      <c r="CV88" s="229">
        <v>0.15570000000000001</v>
      </c>
      <c r="CW88" s="230">
        <v>10691</v>
      </c>
      <c r="CX88" s="230">
        <v>10295</v>
      </c>
      <c r="CY88" s="228">
        <v>396</v>
      </c>
      <c r="CZ88" s="229">
        <v>3.8399999999999997E-2</v>
      </c>
      <c r="DA88" s="228">
        <v>69.56</v>
      </c>
      <c r="DB88" s="228">
        <v>76.069999999999993</v>
      </c>
      <c r="DC88" s="228">
        <v>-6.51</v>
      </c>
      <c r="DD88" s="228">
        <v>-6.51</v>
      </c>
      <c r="DE88" s="228">
        <v>68.13</v>
      </c>
      <c r="DF88" s="228">
        <v>68.13</v>
      </c>
      <c r="DG88" s="228">
        <v>1.43</v>
      </c>
      <c r="DH88" s="228">
        <v>0</v>
      </c>
      <c r="DI88" s="228">
        <v>70.2</v>
      </c>
      <c r="DJ88" s="228">
        <v>74.19</v>
      </c>
      <c r="DK88" s="228">
        <v>-3.99</v>
      </c>
      <c r="DL88" s="228">
        <v>-3.99</v>
      </c>
      <c r="DM88" s="228">
        <v>67.37</v>
      </c>
      <c r="DN88" s="228">
        <v>79.349999999999994</v>
      </c>
      <c r="DO88" s="228">
        <v>-11.98</v>
      </c>
      <c r="DP88" s="228">
        <v>-11.98</v>
      </c>
      <c r="DQ88" s="228">
        <v>0.78</v>
      </c>
      <c r="DR88" s="228">
        <v>0.69</v>
      </c>
      <c r="DS88" s="228">
        <v>0.09</v>
      </c>
      <c r="DT88" s="229">
        <v>0.13039999999999999</v>
      </c>
      <c r="DU88" s="228">
        <v>11</v>
      </c>
      <c r="DV88" s="228">
        <v>7</v>
      </c>
      <c r="DW88" s="228">
        <v>0.3</v>
      </c>
      <c r="DX88" s="228">
        <v>0.38</v>
      </c>
      <c r="DY88" s="228">
        <v>-0.08</v>
      </c>
      <c r="DZ88" s="229">
        <v>-0.21049999999999999</v>
      </c>
      <c r="EA88" s="229">
        <v>0.81140000000000001</v>
      </c>
      <c r="EB88" s="230">
        <v>3548590800</v>
      </c>
      <c r="EC88" s="229">
        <v>6.0000000000000001E-3</v>
      </c>
      <c r="ED88" s="229">
        <v>0.81140000000000001</v>
      </c>
      <c r="EE88" s="228">
        <v>-7.83</v>
      </c>
      <c r="EF88" s="229">
        <v>-0.43669999999999998</v>
      </c>
      <c r="EG88" s="230">
        <v>529970826</v>
      </c>
      <c r="EH88" s="230">
        <v>234367140</v>
      </c>
      <c r="EI88" s="229">
        <v>1.2613000000000001</v>
      </c>
      <c r="EJ88" s="229">
        <v>0.15240000000000001</v>
      </c>
      <c r="EK88" s="231">
        <v>7113.16</v>
      </c>
      <c r="EL88" s="231">
        <v>1920.71</v>
      </c>
      <c r="EM88" s="231">
        <v>8840.39</v>
      </c>
      <c r="EN88" s="228">
        <v>344.37</v>
      </c>
      <c r="EO88" s="231">
        <v>17874.259999999998</v>
      </c>
      <c r="EP88" s="231">
        <v>6544</v>
      </c>
      <c r="EQ88" s="231">
        <v>11330.26</v>
      </c>
      <c r="ER88" s="229">
        <v>1.7314000000000001</v>
      </c>
      <c r="ES88" s="231">
        <v>2581.09</v>
      </c>
      <c r="ET88" s="231">
        <v>1536.9</v>
      </c>
      <c r="EU88" s="231">
        <v>6402.24</v>
      </c>
      <c r="EV88" s="231">
        <v>8713529091</v>
      </c>
      <c r="EW88" s="231">
        <v>10520.23</v>
      </c>
      <c r="EX88" s="231">
        <v>9822.5</v>
      </c>
      <c r="EY88" s="228">
        <v>697.73</v>
      </c>
      <c r="EZ88" s="229">
        <v>7.0999999999999994E-2</v>
      </c>
      <c r="FA88" s="229">
        <v>1.2281</v>
      </c>
      <c r="FB88" s="227" t="s">
        <v>555</v>
      </c>
      <c r="FC88">
        <f t="shared" si="1"/>
        <v>5169</v>
      </c>
    </row>
    <row r="89" spans="1:159" ht="17.25" thickBot="1" x14ac:dyDescent="0.3">
      <c r="A89" s="226">
        <v>45957</v>
      </c>
      <c r="B89" s="227" t="s">
        <v>172</v>
      </c>
      <c r="C89" s="227" t="s">
        <v>235</v>
      </c>
      <c r="D89" s="228">
        <v>9275</v>
      </c>
      <c r="E89" s="228">
        <v>1</v>
      </c>
      <c r="F89" s="228">
        <v>78.13</v>
      </c>
      <c r="G89" s="228">
        <v>78.239999999999995</v>
      </c>
      <c r="H89" s="228">
        <v>-0.11</v>
      </c>
      <c r="I89" s="229">
        <v>-1.4E-3</v>
      </c>
      <c r="J89" s="228">
        <v>78.03</v>
      </c>
      <c r="K89" s="228">
        <v>78.2</v>
      </c>
      <c r="L89" s="228">
        <v>-0.17</v>
      </c>
      <c r="M89" s="229">
        <v>-2.2000000000000001E-3</v>
      </c>
      <c r="N89" s="228">
        <v>78.13</v>
      </c>
      <c r="O89" s="228">
        <v>78.239999999999995</v>
      </c>
      <c r="P89" s="228">
        <v>-0.11</v>
      </c>
      <c r="Q89" s="229">
        <v>-1.4E-3</v>
      </c>
      <c r="R89" s="228">
        <v>78.569999999999993</v>
      </c>
      <c r="S89" s="228">
        <v>78.69</v>
      </c>
      <c r="T89" s="228">
        <v>-0.12</v>
      </c>
      <c r="U89" s="229">
        <v>-1.5E-3</v>
      </c>
      <c r="V89" s="228">
        <v>79.05</v>
      </c>
      <c r="W89" s="228">
        <v>79.27</v>
      </c>
      <c r="X89" s="228">
        <v>-0.22</v>
      </c>
      <c r="Y89" s="229">
        <v>-2.8E-3</v>
      </c>
      <c r="Z89" s="228">
        <v>0.1</v>
      </c>
      <c r="AA89" s="228">
        <v>0.04</v>
      </c>
      <c r="AB89" s="228">
        <v>0.06</v>
      </c>
      <c r="AC89" s="229">
        <v>1.2999999999999999E-3</v>
      </c>
      <c r="AD89" s="228">
        <v>0.1</v>
      </c>
      <c r="AE89" s="228">
        <v>0.04</v>
      </c>
      <c r="AF89" s="228">
        <v>0.06</v>
      </c>
      <c r="AG89" s="229">
        <v>1.2999999999999999E-3</v>
      </c>
      <c r="AH89" s="228">
        <v>0.54</v>
      </c>
      <c r="AI89" s="228">
        <v>0.49</v>
      </c>
      <c r="AJ89" s="228">
        <v>0.05</v>
      </c>
      <c r="AK89" s="229">
        <v>6.8999999999999999E-3</v>
      </c>
      <c r="AL89" s="228">
        <v>1.02</v>
      </c>
      <c r="AM89" s="228">
        <v>1.07</v>
      </c>
      <c r="AN89" s="228">
        <v>-0.05</v>
      </c>
      <c r="AO89" s="229">
        <v>1.3100000000000001E-2</v>
      </c>
      <c r="AP89" s="228">
        <v>78.31</v>
      </c>
      <c r="AQ89" s="228">
        <v>78.760000000000005</v>
      </c>
      <c r="AR89" s="228">
        <v>0</v>
      </c>
      <c r="AS89" s="230">
        <v>1651</v>
      </c>
      <c r="AT89" s="230">
        <v>1913</v>
      </c>
      <c r="AU89" s="228">
        <v>-261</v>
      </c>
      <c r="AV89" s="229">
        <v>-0.13669999999999999</v>
      </c>
      <c r="AW89" s="228">
        <v>765</v>
      </c>
      <c r="AX89" s="228">
        <v>953</v>
      </c>
      <c r="AY89" s="228">
        <v>-188</v>
      </c>
      <c r="AZ89" s="229">
        <v>-0.1973</v>
      </c>
      <c r="BA89" s="228">
        <v>856</v>
      </c>
      <c r="BB89" s="228">
        <v>940</v>
      </c>
      <c r="BC89" s="228">
        <v>-84</v>
      </c>
      <c r="BD89" s="229">
        <v>-8.9499999999999996E-2</v>
      </c>
      <c r="BE89" s="228">
        <v>30</v>
      </c>
      <c r="BF89" s="228">
        <v>20</v>
      </c>
      <c r="BG89" s="228">
        <v>11</v>
      </c>
      <c r="BH89" s="229">
        <v>0.53849999999999998</v>
      </c>
      <c r="BI89" s="230">
        <v>1030</v>
      </c>
      <c r="BJ89" s="230">
        <v>1281</v>
      </c>
      <c r="BK89" s="228">
        <v>-251</v>
      </c>
      <c r="BL89" s="229">
        <v>-0.1961</v>
      </c>
      <c r="BM89" s="228">
        <v>578</v>
      </c>
      <c r="BN89" s="228">
        <v>626</v>
      </c>
      <c r="BO89" s="228">
        <v>-48</v>
      </c>
      <c r="BP89" s="229">
        <v>-7.7299999999999994E-2</v>
      </c>
      <c r="BQ89" s="230">
        <v>3259</v>
      </c>
      <c r="BR89" s="230">
        <v>3820</v>
      </c>
      <c r="BS89" s="228">
        <v>-561</v>
      </c>
      <c r="BT89" s="229">
        <v>-0.1469</v>
      </c>
      <c r="BU89" s="230">
        <v>21658219</v>
      </c>
      <c r="BV89" s="230">
        <v>26834980</v>
      </c>
      <c r="BW89" s="230">
        <v>-5176761</v>
      </c>
      <c r="BX89" s="229">
        <v>-0.19289999999999999</v>
      </c>
      <c r="BY89" s="230">
        <v>3134</v>
      </c>
      <c r="BZ89" s="230">
        <v>3099</v>
      </c>
      <c r="CA89" s="228">
        <v>34</v>
      </c>
      <c r="CB89" s="229">
        <v>1.11E-2</v>
      </c>
      <c r="CC89" s="228">
        <v>451</v>
      </c>
      <c r="CD89" s="230">
        <v>1015</v>
      </c>
      <c r="CE89" s="228">
        <v>-564</v>
      </c>
      <c r="CF89" s="229">
        <v>-0.55589999999999995</v>
      </c>
      <c r="CG89" s="230">
        <v>2588</v>
      </c>
      <c r="CH89" s="230">
        <v>1995</v>
      </c>
      <c r="CI89" s="228">
        <v>592</v>
      </c>
      <c r="CJ89" s="229">
        <v>0.29680000000000001</v>
      </c>
      <c r="CK89" s="228">
        <v>95</v>
      </c>
      <c r="CL89" s="228">
        <v>89</v>
      </c>
      <c r="CM89" s="228">
        <v>6</v>
      </c>
      <c r="CN89" s="229">
        <v>7.2700000000000001E-2</v>
      </c>
      <c r="CO89" s="230">
        <v>1137</v>
      </c>
      <c r="CP89" s="230">
        <v>1161</v>
      </c>
      <c r="CQ89" s="228">
        <v>-25</v>
      </c>
      <c r="CR89" s="229">
        <v>-2.12E-2</v>
      </c>
      <c r="CS89" s="230">
        <v>1101</v>
      </c>
      <c r="CT89" s="230">
        <v>1103</v>
      </c>
      <c r="CU89" s="228">
        <v>-2</v>
      </c>
      <c r="CV89" s="229">
        <v>-2.2000000000000001E-3</v>
      </c>
      <c r="CW89" s="230">
        <v>5372</v>
      </c>
      <c r="CX89" s="230">
        <v>5364</v>
      </c>
      <c r="CY89" s="228">
        <v>7</v>
      </c>
      <c r="CZ89" s="229">
        <v>1.4E-3</v>
      </c>
      <c r="DA89" s="228">
        <v>27.8</v>
      </c>
      <c r="DB89" s="228">
        <v>27.3</v>
      </c>
      <c r="DC89" s="228">
        <v>0.5</v>
      </c>
      <c r="DD89" s="228">
        <v>0.5</v>
      </c>
      <c r="DE89" s="228">
        <v>34.630000000000003</v>
      </c>
      <c r="DF89" s="228">
        <v>34.72</v>
      </c>
      <c r="DG89" s="228">
        <v>-6.83</v>
      </c>
      <c r="DH89" s="228">
        <v>-0.09</v>
      </c>
      <c r="DI89" s="228">
        <v>27.8</v>
      </c>
      <c r="DJ89" s="228">
        <v>27.54</v>
      </c>
      <c r="DK89" s="228">
        <v>0.26</v>
      </c>
      <c r="DL89" s="228">
        <v>0.26</v>
      </c>
      <c r="DM89" s="228">
        <v>27.79</v>
      </c>
      <c r="DN89" s="228">
        <v>26.78</v>
      </c>
      <c r="DO89" s="228">
        <v>1.01</v>
      </c>
      <c r="DP89" s="228">
        <v>1.01</v>
      </c>
      <c r="DQ89" s="228">
        <v>0.97</v>
      </c>
      <c r="DR89" s="228">
        <v>0.95</v>
      </c>
      <c r="DS89" s="228">
        <v>0.02</v>
      </c>
      <c r="DT89" s="229">
        <v>2.1100000000000001E-2</v>
      </c>
      <c r="DU89" s="228">
        <v>80</v>
      </c>
      <c r="DV89" s="228">
        <v>70</v>
      </c>
      <c r="DW89" s="228">
        <v>0.56000000000000005</v>
      </c>
      <c r="DX89" s="228">
        <v>0.49</v>
      </c>
      <c r="DY89" s="228">
        <v>7.0000000000000007E-2</v>
      </c>
      <c r="DZ89" s="229">
        <v>0.1429</v>
      </c>
      <c r="EA89" s="229">
        <v>0.85609999999999997</v>
      </c>
      <c r="EB89" s="230">
        <v>266758275</v>
      </c>
      <c r="EC89" s="229">
        <v>5.5999999999999999E-3</v>
      </c>
      <c r="ED89" s="229">
        <v>0.85609999999999997</v>
      </c>
      <c r="EE89" s="228">
        <v>0.45</v>
      </c>
      <c r="EF89" s="229">
        <v>5.7000000000000002E-3</v>
      </c>
      <c r="EG89" s="230">
        <v>10880120</v>
      </c>
      <c r="EH89" s="230">
        <v>11710373</v>
      </c>
      <c r="EI89" s="229">
        <v>-7.0900000000000005E-2</v>
      </c>
      <c r="EJ89" s="229">
        <v>0.50239999999999996</v>
      </c>
      <c r="EK89" s="231">
        <v>1062.17</v>
      </c>
      <c r="EL89" s="228">
        <v>573.22</v>
      </c>
      <c r="EM89" s="231">
        <v>1660.54</v>
      </c>
      <c r="EN89" s="228">
        <v>222.87</v>
      </c>
      <c r="EO89" s="231">
        <v>3295.93</v>
      </c>
      <c r="EP89" s="231">
        <v>3878.86</v>
      </c>
      <c r="EQ89" s="228">
        <v>-582.94000000000005</v>
      </c>
      <c r="ER89" s="229">
        <v>-0.15029999999999999</v>
      </c>
      <c r="ES89" s="231">
        <v>1143.8499999999999</v>
      </c>
      <c r="ET89" s="231">
        <v>1017.95</v>
      </c>
      <c r="EU89" s="231">
        <v>3149.54</v>
      </c>
      <c r="EV89" s="231">
        <v>761294821</v>
      </c>
      <c r="EW89" s="231">
        <v>5311.34</v>
      </c>
      <c r="EX89" s="231">
        <v>5301.42</v>
      </c>
      <c r="EY89" s="228">
        <v>9.92</v>
      </c>
      <c r="EZ89" s="229">
        <v>1.9E-3</v>
      </c>
      <c r="FA89" s="229">
        <v>0.90310000000000001</v>
      </c>
      <c r="FB89" s="227" t="s">
        <v>567</v>
      </c>
      <c r="FC89">
        <f t="shared" si="1"/>
        <v>2683</v>
      </c>
    </row>
    <row r="90" spans="1:159" ht="17.25" thickBot="1" x14ac:dyDescent="0.3">
      <c r="A90" s="226">
        <v>45957</v>
      </c>
      <c r="B90" s="227" t="s">
        <v>161</v>
      </c>
      <c r="C90" s="227" t="s">
        <v>514</v>
      </c>
      <c r="D90" s="228">
        <v>3750</v>
      </c>
      <c r="E90" s="228">
        <v>1</v>
      </c>
      <c r="F90" s="228">
        <v>147.16</v>
      </c>
      <c r="G90" s="228">
        <v>147.38</v>
      </c>
      <c r="H90" s="228">
        <v>-0.22</v>
      </c>
      <c r="I90" s="229">
        <v>-1.5E-3</v>
      </c>
      <c r="J90" s="228">
        <v>147.13999999999999</v>
      </c>
      <c r="K90" s="228">
        <v>147.05000000000001</v>
      </c>
      <c r="L90" s="228">
        <v>0.09</v>
      </c>
      <c r="M90" s="229">
        <v>5.9999999999999995E-4</v>
      </c>
      <c r="N90" s="228">
        <v>147.16</v>
      </c>
      <c r="O90" s="228">
        <v>147.38</v>
      </c>
      <c r="P90" s="228">
        <v>-0.22</v>
      </c>
      <c r="Q90" s="229">
        <v>-1.5E-3</v>
      </c>
      <c r="R90" s="228">
        <v>148.02000000000001</v>
      </c>
      <c r="S90" s="228">
        <v>148.19</v>
      </c>
      <c r="T90" s="228">
        <v>-0.17</v>
      </c>
      <c r="U90" s="229">
        <v>-1.1000000000000001E-3</v>
      </c>
      <c r="V90" s="228">
        <v>148.88999999999999</v>
      </c>
      <c r="W90" s="228">
        <v>148.94</v>
      </c>
      <c r="X90" s="228">
        <v>-0.05</v>
      </c>
      <c r="Y90" s="229">
        <v>-2.9999999999999997E-4</v>
      </c>
      <c r="Z90" s="228">
        <v>0.02</v>
      </c>
      <c r="AA90" s="228">
        <v>0.33</v>
      </c>
      <c r="AB90" s="228">
        <v>-0.31</v>
      </c>
      <c r="AC90" s="229">
        <v>1E-4</v>
      </c>
      <c r="AD90" s="228">
        <v>0.02</v>
      </c>
      <c r="AE90" s="228">
        <v>0.33</v>
      </c>
      <c r="AF90" s="228">
        <v>-0.31</v>
      </c>
      <c r="AG90" s="229">
        <v>1E-4</v>
      </c>
      <c r="AH90" s="228">
        <v>0.88</v>
      </c>
      <c r="AI90" s="228">
        <v>1.1399999999999999</v>
      </c>
      <c r="AJ90" s="228">
        <v>-0.26</v>
      </c>
      <c r="AK90" s="229">
        <v>6.0000000000000001E-3</v>
      </c>
      <c r="AL90" s="228">
        <v>1.75</v>
      </c>
      <c r="AM90" s="228">
        <v>1.89</v>
      </c>
      <c r="AN90" s="228">
        <v>-0.14000000000000001</v>
      </c>
      <c r="AO90" s="229">
        <v>1.1900000000000001E-2</v>
      </c>
      <c r="AP90" s="228">
        <v>147.49</v>
      </c>
      <c r="AQ90" s="228">
        <v>148.33000000000001</v>
      </c>
      <c r="AR90" s="228">
        <v>0</v>
      </c>
      <c r="AS90" s="228">
        <v>644</v>
      </c>
      <c r="AT90" s="228">
        <v>903</v>
      </c>
      <c r="AU90" s="228">
        <v>-259</v>
      </c>
      <c r="AV90" s="229">
        <v>-0.28710000000000002</v>
      </c>
      <c r="AW90" s="228">
        <v>282</v>
      </c>
      <c r="AX90" s="228">
        <v>433</v>
      </c>
      <c r="AY90" s="228">
        <v>-151</v>
      </c>
      <c r="AZ90" s="229">
        <v>-0.34839999999999999</v>
      </c>
      <c r="BA90" s="228">
        <v>349</v>
      </c>
      <c r="BB90" s="228">
        <v>460</v>
      </c>
      <c r="BC90" s="228">
        <v>-112</v>
      </c>
      <c r="BD90" s="229">
        <v>-0.2422</v>
      </c>
      <c r="BE90" s="228">
        <v>13</v>
      </c>
      <c r="BF90" s="228">
        <v>9</v>
      </c>
      <c r="BG90" s="228">
        <v>3</v>
      </c>
      <c r="BH90" s="229">
        <v>0.33329999999999999</v>
      </c>
      <c r="BI90" s="228">
        <v>794</v>
      </c>
      <c r="BJ90" s="230">
        <v>1618</v>
      </c>
      <c r="BK90" s="228">
        <v>-824</v>
      </c>
      <c r="BL90" s="229">
        <v>-0.50939999999999996</v>
      </c>
      <c r="BM90" s="228">
        <v>316</v>
      </c>
      <c r="BN90" s="228">
        <v>695</v>
      </c>
      <c r="BO90" s="228">
        <v>-379</v>
      </c>
      <c r="BP90" s="229">
        <v>-0.5454</v>
      </c>
      <c r="BQ90" s="230">
        <v>1754</v>
      </c>
      <c r="BR90" s="230">
        <v>3216</v>
      </c>
      <c r="BS90" s="230">
        <v>-1463</v>
      </c>
      <c r="BT90" s="229">
        <v>-0.45479999999999998</v>
      </c>
      <c r="BU90" s="230">
        <v>8174511</v>
      </c>
      <c r="BV90" s="230">
        <v>13590476</v>
      </c>
      <c r="BW90" s="230">
        <v>-5415965</v>
      </c>
      <c r="BX90" s="229">
        <v>-0.39850000000000002</v>
      </c>
      <c r="BY90" s="230">
        <v>1075</v>
      </c>
      <c r="BZ90" s="230">
        <v>1056</v>
      </c>
      <c r="CA90" s="228">
        <v>19</v>
      </c>
      <c r="CB90" s="229">
        <v>1.8499999999999999E-2</v>
      </c>
      <c r="CC90" s="228">
        <v>179</v>
      </c>
      <c r="CD90" s="228">
        <v>348</v>
      </c>
      <c r="CE90" s="228">
        <v>-170</v>
      </c>
      <c r="CF90" s="229">
        <v>-0.48659999999999998</v>
      </c>
      <c r="CG90" s="228">
        <v>878</v>
      </c>
      <c r="CH90" s="228">
        <v>688</v>
      </c>
      <c r="CI90" s="228">
        <v>190</v>
      </c>
      <c r="CJ90" s="229">
        <v>0.2757</v>
      </c>
      <c r="CK90" s="228">
        <v>18</v>
      </c>
      <c r="CL90" s="228">
        <v>19</v>
      </c>
      <c r="CM90" s="228">
        <v>-1</v>
      </c>
      <c r="CN90" s="229">
        <v>-3.1899999999999998E-2</v>
      </c>
      <c r="CO90" s="228">
        <v>572</v>
      </c>
      <c r="CP90" s="228">
        <v>514</v>
      </c>
      <c r="CQ90" s="228">
        <v>58</v>
      </c>
      <c r="CR90" s="229">
        <v>0.1134</v>
      </c>
      <c r="CS90" s="228">
        <v>403</v>
      </c>
      <c r="CT90" s="228">
        <v>394</v>
      </c>
      <c r="CU90" s="228">
        <v>9</v>
      </c>
      <c r="CV90" s="229">
        <v>2.2700000000000001E-2</v>
      </c>
      <c r="CW90" s="230">
        <v>2051</v>
      </c>
      <c r="CX90" s="230">
        <v>1964</v>
      </c>
      <c r="CY90" s="228">
        <v>87</v>
      </c>
      <c r="CZ90" s="229">
        <v>4.41E-2</v>
      </c>
      <c r="DA90" s="228">
        <v>43.63</v>
      </c>
      <c r="DB90" s="228">
        <v>41.09</v>
      </c>
      <c r="DC90" s="228">
        <v>2.54</v>
      </c>
      <c r="DD90" s="228">
        <v>2.54</v>
      </c>
      <c r="DE90" s="228">
        <v>56.72</v>
      </c>
      <c r="DF90" s="228">
        <v>56.87</v>
      </c>
      <c r="DG90" s="228">
        <v>-13.09</v>
      </c>
      <c r="DH90" s="228">
        <v>-0.15</v>
      </c>
      <c r="DI90" s="228">
        <v>43.55</v>
      </c>
      <c r="DJ90" s="228">
        <v>41.06</v>
      </c>
      <c r="DK90" s="228">
        <v>2.4900000000000002</v>
      </c>
      <c r="DL90" s="228">
        <v>2.4900000000000002</v>
      </c>
      <c r="DM90" s="228">
        <v>43.86</v>
      </c>
      <c r="DN90" s="228">
        <v>41.15</v>
      </c>
      <c r="DO90" s="228">
        <v>2.71</v>
      </c>
      <c r="DP90" s="228">
        <v>2.71</v>
      </c>
      <c r="DQ90" s="228">
        <v>0.7</v>
      </c>
      <c r="DR90" s="228">
        <v>0.77</v>
      </c>
      <c r="DS90" s="228">
        <v>-7.0000000000000007E-2</v>
      </c>
      <c r="DT90" s="229">
        <v>-9.0899999999999995E-2</v>
      </c>
      <c r="DU90" s="228">
        <v>150</v>
      </c>
      <c r="DV90" s="228">
        <v>140</v>
      </c>
      <c r="DW90" s="228">
        <v>0.4</v>
      </c>
      <c r="DX90" s="228">
        <v>0.43</v>
      </c>
      <c r="DY90" s="228">
        <v>-0.03</v>
      </c>
      <c r="DZ90" s="229">
        <v>-6.9800000000000001E-2</v>
      </c>
      <c r="EA90" s="229">
        <v>0.83360000000000001</v>
      </c>
      <c r="EB90" s="230">
        <v>48048750</v>
      </c>
      <c r="EC90" s="229">
        <v>5.7999999999999996E-3</v>
      </c>
      <c r="ED90" s="229">
        <v>0.83360000000000001</v>
      </c>
      <c r="EE90" s="228">
        <v>0.84</v>
      </c>
      <c r="EF90" s="229">
        <v>5.7000000000000002E-3</v>
      </c>
      <c r="EG90" s="230">
        <v>3640890</v>
      </c>
      <c r="EH90" s="230">
        <v>4380773</v>
      </c>
      <c r="EI90" s="229">
        <v>-0.16889999999999999</v>
      </c>
      <c r="EJ90" s="229">
        <v>0.44540000000000002</v>
      </c>
      <c r="EK90" s="228">
        <v>834.57</v>
      </c>
      <c r="EL90" s="228">
        <v>320.89999999999998</v>
      </c>
      <c r="EM90" s="228">
        <v>647.21</v>
      </c>
      <c r="EN90" s="228">
        <v>96.84</v>
      </c>
      <c r="EO90" s="231">
        <v>1802.69</v>
      </c>
      <c r="EP90" s="231">
        <v>3272.46</v>
      </c>
      <c r="EQ90" s="231">
        <v>-1469.77</v>
      </c>
      <c r="ER90" s="229">
        <v>-0.4491</v>
      </c>
      <c r="ES90" s="228">
        <v>586.70000000000005</v>
      </c>
      <c r="ET90" s="228">
        <v>387.21</v>
      </c>
      <c r="EU90" s="231">
        <v>1080.4100000000001</v>
      </c>
      <c r="EV90" s="231">
        <v>133395043</v>
      </c>
      <c r="EW90" s="231">
        <v>2054.31</v>
      </c>
      <c r="EX90" s="231">
        <v>1960.88</v>
      </c>
      <c r="EY90" s="228">
        <v>93.43</v>
      </c>
      <c r="EZ90" s="229">
        <v>4.7600000000000003E-2</v>
      </c>
      <c r="FA90" s="229">
        <v>1.0446</v>
      </c>
      <c r="FB90" s="227" t="s">
        <v>567</v>
      </c>
      <c r="FC90">
        <f t="shared" si="1"/>
        <v>896</v>
      </c>
    </row>
    <row r="91" spans="1:159" ht="17.25" thickBot="1" x14ac:dyDescent="0.3">
      <c r="A91" s="226">
        <v>45957</v>
      </c>
      <c r="B91" s="227" t="s">
        <v>193</v>
      </c>
      <c r="C91" s="227" t="s">
        <v>236</v>
      </c>
      <c r="D91" s="228">
        <v>2750</v>
      </c>
      <c r="E91" s="228">
        <v>1</v>
      </c>
      <c r="F91" s="228">
        <v>213.88</v>
      </c>
      <c r="G91" s="228">
        <v>211.56</v>
      </c>
      <c r="H91" s="228">
        <v>2.3199999999999998</v>
      </c>
      <c r="I91" s="229">
        <v>1.0999999999999999E-2</v>
      </c>
      <c r="J91" s="228">
        <v>213.47</v>
      </c>
      <c r="K91" s="228">
        <v>211.16</v>
      </c>
      <c r="L91" s="228">
        <v>2.31</v>
      </c>
      <c r="M91" s="229">
        <v>1.09E-2</v>
      </c>
      <c r="N91" s="228">
        <v>213.88</v>
      </c>
      <c r="O91" s="228">
        <v>211.56</v>
      </c>
      <c r="P91" s="228">
        <v>2.3199999999999998</v>
      </c>
      <c r="Q91" s="229">
        <v>1.0999999999999999E-2</v>
      </c>
      <c r="R91" s="228">
        <v>213.21</v>
      </c>
      <c r="S91" s="228">
        <v>210.63</v>
      </c>
      <c r="T91" s="228">
        <v>2.58</v>
      </c>
      <c r="U91" s="229">
        <v>1.2200000000000001E-2</v>
      </c>
      <c r="V91" s="228">
        <v>0</v>
      </c>
      <c r="W91" s="228">
        <v>0</v>
      </c>
      <c r="X91" s="228">
        <v>0</v>
      </c>
      <c r="Y91" s="229">
        <v>0</v>
      </c>
      <c r="Z91" s="228">
        <v>0.41</v>
      </c>
      <c r="AA91" s="228">
        <v>0.4</v>
      </c>
      <c r="AB91" s="228">
        <v>0.01</v>
      </c>
      <c r="AC91" s="229">
        <v>1.9E-3</v>
      </c>
      <c r="AD91" s="228">
        <v>0.41</v>
      </c>
      <c r="AE91" s="228">
        <v>0.4</v>
      </c>
      <c r="AF91" s="228">
        <v>0.01</v>
      </c>
      <c r="AG91" s="229">
        <v>1.9E-3</v>
      </c>
      <c r="AH91" s="228">
        <v>-0.26</v>
      </c>
      <c r="AI91" s="228">
        <v>-0.53</v>
      </c>
      <c r="AJ91" s="228">
        <v>0.27</v>
      </c>
      <c r="AK91" s="229">
        <v>-1.1999999999999999E-3</v>
      </c>
      <c r="AL91" s="228">
        <v>0</v>
      </c>
      <c r="AM91" s="228">
        <v>0</v>
      </c>
      <c r="AN91" s="228">
        <v>0</v>
      </c>
      <c r="AO91" s="229">
        <v>0</v>
      </c>
      <c r="AP91" s="228">
        <v>213.62</v>
      </c>
      <c r="AQ91" s="228">
        <v>212.91</v>
      </c>
      <c r="AR91" s="228">
        <v>0</v>
      </c>
      <c r="AS91" s="228">
        <v>286</v>
      </c>
      <c r="AT91" s="228">
        <v>286</v>
      </c>
      <c r="AU91" s="228">
        <v>0</v>
      </c>
      <c r="AV91" s="229">
        <v>0</v>
      </c>
      <c r="AW91" s="228">
        <v>149</v>
      </c>
      <c r="AX91" s="228">
        <v>158</v>
      </c>
      <c r="AY91" s="228">
        <v>-8</v>
      </c>
      <c r="AZ91" s="229">
        <v>-5.33E-2</v>
      </c>
      <c r="BA91" s="228">
        <v>137</v>
      </c>
      <c r="BB91" s="228">
        <v>128</v>
      </c>
      <c r="BC91" s="228">
        <v>8</v>
      </c>
      <c r="BD91" s="229">
        <v>6.5500000000000003E-2</v>
      </c>
      <c r="BE91" s="228">
        <v>0</v>
      </c>
      <c r="BF91" s="228">
        <v>0</v>
      </c>
      <c r="BG91" s="228">
        <v>0</v>
      </c>
      <c r="BH91" s="229">
        <v>0</v>
      </c>
      <c r="BI91" s="228">
        <v>344</v>
      </c>
      <c r="BJ91" s="228">
        <v>337</v>
      </c>
      <c r="BK91" s="228">
        <v>7</v>
      </c>
      <c r="BL91" s="229">
        <v>2.01E-2</v>
      </c>
      <c r="BM91" s="228">
        <v>116</v>
      </c>
      <c r="BN91" s="228">
        <v>135</v>
      </c>
      <c r="BO91" s="228">
        <v>-18</v>
      </c>
      <c r="BP91" s="229">
        <v>-0.13689999999999999</v>
      </c>
      <c r="BQ91" s="228">
        <v>746</v>
      </c>
      <c r="BR91" s="228">
        <v>758</v>
      </c>
      <c r="BS91" s="228">
        <v>-12</v>
      </c>
      <c r="BT91" s="229">
        <v>-1.54E-2</v>
      </c>
      <c r="BU91" s="230">
        <v>1637112</v>
      </c>
      <c r="BV91" s="230">
        <v>2090135</v>
      </c>
      <c r="BW91" s="230">
        <v>-453023</v>
      </c>
      <c r="BX91" s="229">
        <v>-0.2167</v>
      </c>
      <c r="BY91" s="228">
        <v>449</v>
      </c>
      <c r="BZ91" s="228">
        <v>450</v>
      </c>
      <c r="CA91" s="228">
        <v>-1</v>
      </c>
      <c r="CB91" s="229">
        <v>-2.5999999999999999E-3</v>
      </c>
      <c r="CC91" s="228">
        <v>166</v>
      </c>
      <c r="CD91" s="228">
        <v>231</v>
      </c>
      <c r="CE91" s="228">
        <v>-65</v>
      </c>
      <c r="CF91" s="229">
        <v>-0.28070000000000001</v>
      </c>
      <c r="CG91" s="228">
        <v>282</v>
      </c>
      <c r="CH91" s="228">
        <v>219</v>
      </c>
      <c r="CI91" s="228">
        <v>64</v>
      </c>
      <c r="CJ91" s="229">
        <v>0.29139999999999999</v>
      </c>
      <c r="CK91" s="228">
        <v>0</v>
      </c>
      <c r="CL91" s="228">
        <v>0</v>
      </c>
      <c r="CM91" s="228">
        <v>0</v>
      </c>
      <c r="CN91" s="229">
        <v>0</v>
      </c>
      <c r="CO91" s="228">
        <v>377</v>
      </c>
      <c r="CP91" s="228">
        <v>403</v>
      </c>
      <c r="CQ91" s="228">
        <v>-26</v>
      </c>
      <c r="CR91" s="229">
        <v>-6.3799999999999996E-2</v>
      </c>
      <c r="CS91" s="228">
        <v>200</v>
      </c>
      <c r="CT91" s="228">
        <v>211</v>
      </c>
      <c r="CU91" s="228">
        <v>-11</v>
      </c>
      <c r="CV91" s="229">
        <v>-5.0299999999999997E-2</v>
      </c>
      <c r="CW91" s="230">
        <v>1026</v>
      </c>
      <c r="CX91" s="230">
        <v>1063</v>
      </c>
      <c r="CY91" s="228">
        <v>-37</v>
      </c>
      <c r="CZ91" s="229">
        <v>-3.5200000000000002E-2</v>
      </c>
      <c r="DA91" s="228">
        <v>30.98</v>
      </c>
      <c r="DB91" s="228">
        <v>29.81</v>
      </c>
      <c r="DC91" s="228">
        <v>1.17</v>
      </c>
      <c r="DD91" s="228">
        <v>1.17</v>
      </c>
      <c r="DE91" s="228">
        <v>41.87</v>
      </c>
      <c r="DF91" s="228">
        <v>41.95</v>
      </c>
      <c r="DG91" s="228">
        <v>-10.89</v>
      </c>
      <c r="DH91" s="228">
        <v>-0.08</v>
      </c>
      <c r="DI91" s="228">
        <v>31.42</v>
      </c>
      <c r="DJ91" s="228">
        <v>30.31</v>
      </c>
      <c r="DK91" s="228">
        <v>1.1100000000000001</v>
      </c>
      <c r="DL91" s="228">
        <v>1.1100000000000001</v>
      </c>
      <c r="DM91" s="228">
        <v>29.71</v>
      </c>
      <c r="DN91" s="228">
        <v>29</v>
      </c>
      <c r="DO91" s="228">
        <v>0.71</v>
      </c>
      <c r="DP91" s="228">
        <v>0.71</v>
      </c>
      <c r="DQ91" s="228">
        <v>0.53</v>
      </c>
      <c r="DR91" s="228">
        <v>0.52</v>
      </c>
      <c r="DS91" s="228">
        <v>0.01</v>
      </c>
      <c r="DT91" s="229">
        <v>1.9199999999999998E-2</v>
      </c>
      <c r="DU91" s="228">
        <v>220</v>
      </c>
      <c r="DV91" s="228">
        <v>200</v>
      </c>
      <c r="DW91" s="228">
        <v>0.34</v>
      </c>
      <c r="DX91" s="228">
        <v>0.4</v>
      </c>
      <c r="DY91" s="228">
        <v>-0.06</v>
      </c>
      <c r="DZ91" s="229">
        <v>-0.15</v>
      </c>
      <c r="EA91" s="229">
        <v>0.62939999999999996</v>
      </c>
      <c r="EB91" s="230">
        <v>10221750</v>
      </c>
      <c r="EC91" s="229">
        <v>-3.0999999999999999E-3</v>
      </c>
      <c r="ED91" s="229">
        <v>0.62939999999999996</v>
      </c>
      <c r="EE91" s="228">
        <v>-0.71</v>
      </c>
      <c r="EF91" s="229">
        <v>-3.3E-3</v>
      </c>
      <c r="EG91" s="230">
        <v>719401</v>
      </c>
      <c r="EH91" s="230">
        <v>1134372</v>
      </c>
      <c r="EI91" s="229">
        <v>-0.36580000000000001</v>
      </c>
      <c r="EJ91" s="229">
        <v>0.43940000000000001</v>
      </c>
      <c r="EK91" s="228">
        <v>359.14</v>
      </c>
      <c r="EL91" s="228">
        <v>115.72</v>
      </c>
      <c r="EM91" s="228">
        <v>285.35000000000002</v>
      </c>
      <c r="EN91" s="228">
        <v>32.67</v>
      </c>
      <c r="EO91" s="228">
        <v>760.21</v>
      </c>
      <c r="EP91" s="228">
        <v>764.42</v>
      </c>
      <c r="EQ91" s="228">
        <v>-4.21</v>
      </c>
      <c r="ER91" s="229">
        <v>-5.4999999999999997E-3</v>
      </c>
      <c r="ES91" s="228">
        <v>396.75</v>
      </c>
      <c r="ET91" s="228">
        <v>193.52</v>
      </c>
      <c r="EU91" s="228">
        <v>447.65</v>
      </c>
      <c r="EV91" s="231">
        <v>94000476</v>
      </c>
      <c r="EW91" s="231">
        <v>1037.93</v>
      </c>
      <c r="EX91" s="231">
        <v>1069.96</v>
      </c>
      <c r="EY91" s="228">
        <v>-32.03</v>
      </c>
      <c r="EZ91" s="229">
        <v>-2.9899999999999999E-2</v>
      </c>
      <c r="FA91" s="229">
        <v>0.5101</v>
      </c>
      <c r="FB91" s="227" t="s">
        <v>556</v>
      </c>
      <c r="FC91">
        <f t="shared" si="1"/>
        <v>283</v>
      </c>
    </row>
    <row r="92" spans="1:159" ht="17.25" thickBot="1" x14ac:dyDescent="0.3">
      <c r="A92" s="226">
        <v>45957</v>
      </c>
      <c r="B92" s="227" t="s">
        <v>175</v>
      </c>
      <c r="C92" s="227" t="s">
        <v>667</v>
      </c>
      <c r="D92" s="228">
        <v>1650</v>
      </c>
      <c r="E92" s="228">
        <v>1</v>
      </c>
      <c r="F92" s="228">
        <v>505.75</v>
      </c>
      <c r="G92" s="228">
        <v>490.25</v>
      </c>
      <c r="H92" s="228">
        <v>15.5</v>
      </c>
      <c r="I92" s="229">
        <v>3.1600000000000003E-2</v>
      </c>
      <c r="J92" s="228">
        <v>505.35</v>
      </c>
      <c r="K92" s="228">
        <v>489.8</v>
      </c>
      <c r="L92" s="228">
        <v>15.55</v>
      </c>
      <c r="M92" s="229">
        <v>3.1699999999999999E-2</v>
      </c>
      <c r="N92" s="228">
        <v>505.75</v>
      </c>
      <c r="O92" s="228">
        <v>490.25</v>
      </c>
      <c r="P92" s="228">
        <v>15.5</v>
      </c>
      <c r="Q92" s="229">
        <v>3.1600000000000003E-2</v>
      </c>
      <c r="R92" s="228">
        <v>508.65</v>
      </c>
      <c r="S92" s="228">
        <v>493.1</v>
      </c>
      <c r="T92" s="228">
        <v>15.55</v>
      </c>
      <c r="U92" s="229">
        <v>3.15E-2</v>
      </c>
      <c r="V92" s="228">
        <v>511.45</v>
      </c>
      <c r="W92" s="228">
        <v>496.1</v>
      </c>
      <c r="X92" s="228">
        <v>15.35</v>
      </c>
      <c r="Y92" s="229">
        <v>3.09E-2</v>
      </c>
      <c r="Z92" s="228">
        <v>0.4</v>
      </c>
      <c r="AA92" s="228">
        <v>0.45</v>
      </c>
      <c r="AB92" s="228">
        <v>-0.05</v>
      </c>
      <c r="AC92" s="229">
        <v>8.0000000000000004E-4</v>
      </c>
      <c r="AD92" s="228">
        <v>0.4</v>
      </c>
      <c r="AE92" s="228">
        <v>0.45</v>
      </c>
      <c r="AF92" s="228">
        <v>-0.05</v>
      </c>
      <c r="AG92" s="229">
        <v>8.0000000000000004E-4</v>
      </c>
      <c r="AH92" s="228">
        <v>3.3</v>
      </c>
      <c r="AI92" s="228">
        <v>3.3</v>
      </c>
      <c r="AJ92" s="228">
        <v>0</v>
      </c>
      <c r="AK92" s="229">
        <v>6.4999999999999997E-3</v>
      </c>
      <c r="AL92" s="228">
        <v>6.1</v>
      </c>
      <c r="AM92" s="228">
        <v>6.3</v>
      </c>
      <c r="AN92" s="228">
        <v>-0.2</v>
      </c>
      <c r="AO92" s="229">
        <v>1.21E-2</v>
      </c>
      <c r="AP92" s="228">
        <v>501.3</v>
      </c>
      <c r="AQ92" s="228">
        <v>504.53</v>
      </c>
      <c r="AR92" s="228">
        <v>0</v>
      </c>
      <c r="AS92" s="228">
        <v>753</v>
      </c>
      <c r="AT92" s="228">
        <v>636</v>
      </c>
      <c r="AU92" s="228">
        <v>116</v>
      </c>
      <c r="AV92" s="229">
        <v>0.18240000000000001</v>
      </c>
      <c r="AW92" s="228">
        <v>308</v>
      </c>
      <c r="AX92" s="228">
        <v>314</v>
      </c>
      <c r="AY92" s="228">
        <v>-5</v>
      </c>
      <c r="AZ92" s="229">
        <v>-1.6500000000000001E-2</v>
      </c>
      <c r="BA92" s="228">
        <v>440</v>
      </c>
      <c r="BB92" s="228">
        <v>322</v>
      </c>
      <c r="BC92" s="228">
        <v>118</v>
      </c>
      <c r="BD92" s="229">
        <v>0.3649</v>
      </c>
      <c r="BE92" s="228">
        <v>4</v>
      </c>
      <c r="BF92" s="228">
        <v>0</v>
      </c>
      <c r="BG92" s="228">
        <v>4</v>
      </c>
      <c r="BH92" s="229">
        <v>8.6</v>
      </c>
      <c r="BI92" s="228">
        <v>581</v>
      </c>
      <c r="BJ92" s="228">
        <v>156</v>
      </c>
      <c r="BK92" s="228">
        <v>426</v>
      </c>
      <c r="BL92" s="229">
        <v>2.7345999999999999</v>
      </c>
      <c r="BM92" s="228">
        <v>195</v>
      </c>
      <c r="BN92" s="228">
        <v>81</v>
      </c>
      <c r="BO92" s="228">
        <v>114</v>
      </c>
      <c r="BP92" s="229">
        <v>1.3955</v>
      </c>
      <c r="BQ92" s="230">
        <v>1529</v>
      </c>
      <c r="BR92" s="228">
        <v>874</v>
      </c>
      <c r="BS92" s="228">
        <v>655</v>
      </c>
      <c r="BT92" s="229">
        <v>0.75019999999999998</v>
      </c>
      <c r="BU92" s="230">
        <v>1755387</v>
      </c>
      <c r="BV92" s="230">
        <v>521898</v>
      </c>
      <c r="BW92" s="230">
        <v>1233489</v>
      </c>
      <c r="BX92" s="229">
        <v>2.3635000000000002</v>
      </c>
      <c r="BY92" s="228">
        <v>820</v>
      </c>
      <c r="BZ92" s="228">
        <v>793</v>
      </c>
      <c r="CA92" s="228">
        <v>27</v>
      </c>
      <c r="CB92" s="229">
        <v>3.4200000000000001E-2</v>
      </c>
      <c r="CC92" s="228">
        <v>100</v>
      </c>
      <c r="CD92" s="228">
        <v>288</v>
      </c>
      <c r="CE92" s="228">
        <v>-188</v>
      </c>
      <c r="CF92" s="229">
        <v>-0.65239999999999998</v>
      </c>
      <c r="CG92" s="228">
        <v>713</v>
      </c>
      <c r="CH92" s="228">
        <v>500</v>
      </c>
      <c r="CI92" s="228">
        <v>213</v>
      </c>
      <c r="CJ92" s="229">
        <v>0.4264</v>
      </c>
      <c r="CK92" s="228">
        <v>7</v>
      </c>
      <c r="CL92" s="228">
        <v>5</v>
      </c>
      <c r="CM92" s="228">
        <v>2</v>
      </c>
      <c r="CN92" s="229">
        <v>0.41820000000000002</v>
      </c>
      <c r="CO92" s="228">
        <v>249</v>
      </c>
      <c r="CP92" s="228">
        <v>217</v>
      </c>
      <c r="CQ92" s="228">
        <v>33</v>
      </c>
      <c r="CR92" s="229">
        <v>0.15110000000000001</v>
      </c>
      <c r="CS92" s="228">
        <v>151</v>
      </c>
      <c r="CT92" s="228">
        <v>148</v>
      </c>
      <c r="CU92" s="228">
        <v>3</v>
      </c>
      <c r="CV92" s="229">
        <v>2.0299999999999999E-2</v>
      </c>
      <c r="CW92" s="230">
        <v>1221</v>
      </c>
      <c r="CX92" s="230">
        <v>1158</v>
      </c>
      <c r="CY92" s="228">
        <v>63</v>
      </c>
      <c r="CZ92" s="229">
        <v>5.4300000000000001E-2</v>
      </c>
      <c r="DA92" s="228">
        <v>38.22</v>
      </c>
      <c r="DB92" s="228">
        <v>35.99</v>
      </c>
      <c r="DC92" s="228">
        <v>2.23</v>
      </c>
      <c r="DD92" s="228">
        <v>2.23</v>
      </c>
      <c r="DE92" s="228">
        <v>51.91</v>
      </c>
      <c r="DF92" s="228">
        <v>51.87</v>
      </c>
      <c r="DG92" s="228">
        <v>-13.69</v>
      </c>
      <c r="DH92" s="228">
        <v>0.04</v>
      </c>
      <c r="DI92" s="228">
        <v>38.08</v>
      </c>
      <c r="DJ92" s="228">
        <v>36.26</v>
      </c>
      <c r="DK92" s="228">
        <v>1.82</v>
      </c>
      <c r="DL92" s="228">
        <v>1.82</v>
      </c>
      <c r="DM92" s="228">
        <v>39.049999999999997</v>
      </c>
      <c r="DN92" s="228">
        <v>35.25</v>
      </c>
      <c r="DO92" s="228">
        <v>3.8</v>
      </c>
      <c r="DP92" s="228">
        <v>3.8</v>
      </c>
      <c r="DQ92" s="228">
        <v>0.61</v>
      </c>
      <c r="DR92" s="228">
        <v>0.68</v>
      </c>
      <c r="DS92" s="228">
        <v>-7.0000000000000007E-2</v>
      </c>
      <c r="DT92" s="229">
        <v>-0.10290000000000001</v>
      </c>
      <c r="DU92" s="228">
        <v>520</v>
      </c>
      <c r="DV92" s="228">
        <v>480</v>
      </c>
      <c r="DW92" s="228">
        <v>0.34</v>
      </c>
      <c r="DX92" s="228">
        <v>0.52</v>
      </c>
      <c r="DY92" s="228">
        <v>-0.18</v>
      </c>
      <c r="DZ92" s="229">
        <v>-0.34620000000000001</v>
      </c>
      <c r="EA92" s="229">
        <v>0.87780000000000002</v>
      </c>
      <c r="EB92" s="230">
        <v>9980850</v>
      </c>
      <c r="EC92" s="229">
        <v>5.7000000000000002E-3</v>
      </c>
      <c r="ED92" s="229">
        <v>0.87780000000000002</v>
      </c>
      <c r="EE92" s="228">
        <v>3.23</v>
      </c>
      <c r="EF92" s="229">
        <v>6.4000000000000003E-3</v>
      </c>
      <c r="EG92" s="230">
        <v>696156</v>
      </c>
      <c r="EH92" s="230">
        <v>222447</v>
      </c>
      <c r="EI92" s="229">
        <v>2.1295000000000002</v>
      </c>
      <c r="EJ92" s="229">
        <v>0.39660000000000001</v>
      </c>
      <c r="EK92" s="228">
        <v>598.65</v>
      </c>
      <c r="EL92" s="228">
        <v>190.5</v>
      </c>
      <c r="EM92" s="228">
        <v>748.77</v>
      </c>
      <c r="EN92" s="228">
        <v>43.57</v>
      </c>
      <c r="EO92" s="231">
        <v>1537.92</v>
      </c>
      <c r="EP92" s="228">
        <v>855.1</v>
      </c>
      <c r="EQ92" s="228">
        <v>682.81</v>
      </c>
      <c r="ER92" s="229">
        <v>0.79849999999999999</v>
      </c>
      <c r="ES92" s="228">
        <v>249.89</v>
      </c>
      <c r="ET92" s="228">
        <v>139.77000000000001</v>
      </c>
      <c r="EU92" s="228">
        <v>824.38</v>
      </c>
      <c r="EV92" s="231">
        <v>47888370</v>
      </c>
      <c r="EW92" s="231">
        <v>1214.04</v>
      </c>
      <c r="EX92" s="231">
        <v>1123.76</v>
      </c>
      <c r="EY92" s="228">
        <v>90.28</v>
      </c>
      <c r="EZ92" s="229">
        <v>8.0299999999999996E-2</v>
      </c>
      <c r="FA92" s="229">
        <v>0.504</v>
      </c>
      <c r="FB92" s="227" t="s">
        <v>555</v>
      </c>
      <c r="FC92">
        <f t="shared" si="1"/>
        <v>720</v>
      </c>
    </row>
    <row r="93" spans="1:159" ht="17.25" thickBot="1" x14ac:dyDescent="0.3">
      <c r="A93" s="226">
        <v>45957</v>
      </c>
      <c r="B93" s="227" t="s">
        <v>206</v>
      </c>
      <c r="C93" s="227" t="s">
        <v>501</v>
      </c>
      <c r="D93" s="228">
        <v>1000</v>
      </c>
      <c r="E93" s="228">
        <v>1</v>
      </c>
      <c r="F93" s="228">
        <v>746.45</v>
      </c>
      <c r="G93" s="228">
        <v>735</v>
      </c>
      <c r="H93" s="228">
        <v>11.45</v>
      </c>
      <c r="I93" s="229">
        <v>1.5599999999999999E-2</v>
      </c>
      <c r="J93" s="228">
        <v>746.55</v>
      </c>
      <c r="K93" s="228">
        <v>735.9</v>
      </c>
      <c r="L93" s="228">
        <v>10.65</v>
      </c>
      <c r="M93" s="229">
        <v>1.4500000000000001E-2</v>
      </c>
      <c r="N93" s="228">
        <v>746.45</v>
      </c>
      <c r="O93" s="228">
        <v>735</v>
      </c>
      <c r="P93" s="228">
        <v>11.45</v>
      </c>
      <c r="Q93" s="229">
        <v>1.5599999999999999E-2</v>
      </c>
      <c r="R93" s="228">
        <v>750.8</v>
      </c>
      <c r="S93" s="228">
        <v>739.05</v>
      </c>
      <c r="T93" s="228">
        <v>11.75</v>
      </c>
      <c r="U93" s="229">
        <v>1.5900000000000001E-2</v>
      </c>
      <c r="V93" s="228">
        <v>756</v>
      </c>
      <c r="W93" s="228">
        <v>744.5</v>
      </c>
      <c r="X93" s="228">
        <v>11.5</v>
      </c>
      <c r="Y93" s="229">
        <v>1.54E-2</v>
      </c>
      <c r="Z93" s="228">
        <v>-0.1</v>
      </c>
      <c r="AA93" s="228">
        <v>-0.9</v>
      </c>
      <c r="AB93" s="228">
        <v>0.8</v>
      </c>
      <c r="AC93" s="229">
        <v>-1E-4</v>
      </c>
      <c r="AD93" s="228">
        <v>-0.1</v>
      </c>
      <c r="AE93" s="228">
        <v>-0.9</v>
      </c>
      <c r="AF93" s="228">
        <v>0.8</v>
      </c>
      <c r="AG93" s="229">
        <v>-1E-4</v>
      </c>
      <c r="AH93" s="228">
        <v>4.25</v>
      </c>
      <c r="AI93" s="228">
        <v>3.15</v>
      </c>
      <c r="AJ93" s="228">
        <v>1.1000000000000001</v>
      </c>
      <c r="AK93" s="229">
        <v>5.7000000000000002E-3</v>
      </c>
      <c r="AL93" s="228">
        <v>9.4499999999999993</v>
      </c>
      <c r="AM93" s="228">
        <v>8.6</v>
      </c>
      <c r="AN93" s="228">
        <v>0.85</v>
      </c>
      <c r="AO93" s="229">
        <v>1.2699999999999999E-2</v>
      </c>
      <c r="AP93" s="228">
        <v>743.04</v>
      </c>
      <c r="AQ93" s="228">
        <v>747.13</v>
      </c>
      <c r="AR93" s="228">
        <v>0</v>
      </c>
      <c r="AS93" s="230">
        <v>1639</v>
      </c>
      <c r="AT93" s="230">
        <v>1305</v>
      </c>
      <c r="AU93" s="228">
        <v>334</v>
      </c>
      <c r="AV93" s="229">
        <v>0.25559999999999999</v>
      </c>
      <c r="AW93" s="228">
        <v>820</v>
      </c>
      <c r="AX93" s="228">
        <v>662</v>
      </c>
      <c r="AY93" s="228">
        <v>158</v>
      </c>
      <c r="AZ93" s="229">
        <v>0.2392</v>
      </c>
      <c r="BA93" s="228">
        <v>804</v>
      </c>
      <c r="BB93" s="228">
        <v>638</v>
      </c>
      <c r="BC93" s="228">
        <v>166</v>
      </c>
      <c r="BD93" s="229">
        <v>0.26050000000000001</v>
      </c>
      <c r="BE93" s="228">
        <v>14</v>
      </c>
      <c r="BF93" s="228">
        <v>5</v>
      </c>
      <c r="BG93" s="228">
        <v>9</v>
      </c>
      <c r="BH93" s="229">
        <v>1.7285999999999999</v>
      </c>
      <c r="BI93" s="230">
        <v>1086</v>
      </c>
      <c r="BJ93" s="228">
        <v>922</v>
      </c>
      <c r="BK93" s="228">
        <v>164</v>
      </c>
      <c r="BL93" s="229">
        <v>0.17780000000000001</v>
      </c>
      <c r="BM93" s="228">
        <v>668</v>
      </c>
      <c r="BN93" s="228">
        <v>461</v>
      </c>
      <c r="BO93" s="228">
        <v>207</v>
      </c>
      <c r="BP93" s="229">
        <v>0.4496</v>
      </c>
      <c r="BQ93" s="230">
        <v>3393</v>
      </c>
      <c r="BR93" s="230">
        <v>2688</v>
      </c>
      <c r="BS93" s="228">
        <v>705</v>
      </c>
      <c r="BT93" s="229">
        <v>0.26219999999999999</v>
      </c>
      <c r="BU93" s="230">
        <v>1671033</v>
      </c>
      <c r="BV93" s="230">
        <v>1730274</v>
      </c>
      <c r="BW93" s="230">
        <v>-59241</v>
      </c>
      <c r="BX93" s="229">
        <v>-3.4200000000000001E-2</v>
      </c>
      <c r="BY93" s="230">
        <v>2043</v>
      </c>
      <c r="BZ93" s="230">
        <v>2152</v>
      </c>
      <c r="CA93" s="228">
        <v>-109</v>
      </c>
      <c r="CB93" s="229">
        <v>-5.0799999999999998E-2</v>
      </c>
      <c r="CC93" s="228">
        <v>338</v>
      </c>
      <c r="CD93" s="230">
        <v>1040</v>
      </c>
      <c r="CE93" s="228">
        <v>-702</v>
      </c>
      <c r="CF93" s="229">
        <v>-0.67479999999999996</v>
      </c>
      <c r="CG93" s="230">
        <v>1678</v>
      </c>
      <c r="CH93" s="230">
        <v>1092</v>
      </c>
      <c r="CI93" s="228">
        <v>586</v>
      </c>
      <c r="CJ93" s="229">
        <v>0.53669999999999995</v>
      </c>
      <c r="CK93" s="228">
        <v>27</v>
      </c>
      <c r="CL93" s="228">
        <v>20</v>
      </c>
      <c r="CM93" s="228">
        <v>7</v>
      </c>
      <c r="CN93" s="229">
        <v>0.32840000000000003</v>
      </c>
      <c r="CO93" s="228">
        <v>692</v>
      </c>
      <c r="CP93" s="228">
        <v>864</v>
      </c>
      <c r="CQ93" s="228">
        <v>-172</v>
      </c>
      <c r="CR93" s="229">
        <v>-0.19889999999999999</v>
      </c>
      <c r="CS93" s="228">
        <v>528</v>
      </c>
      <c r="CT93" s="228">
        <v>520</v>
      </c>
      <c r="CU93" s="228">
        <v>9</v>
      </c>
      <c r="CV93" s="229">
        <v>1.7000000000000001E-2</v>
      </c>
      <c r="CW93" s="230">
        <v>3264</v>
      </c>
      <c r="CX93" s="230">
        <v>3536</v>
      </c>
      <c r="CY93" s="228">
        <v>-272</v>
      </c>
      <c r="CZ93" s="229">
        <v>-7.6999999999999999E-2</v>
      </c>
      <c r="DA93" s="228">
        <v>23.71</v>
      </c>
      <c r="DB93" s="228">
        <v>24.73</v>
      </c>
      <c r="DC93" s="228">
        <v>-1.02</v>
      </c>
      <c r="DD93" s="228">
        <v>-1.02</v>
      </c>
      <c r="DE93" s="228">
        <v>35.11</v>
      </c>
      <c r="DF93" s="228">
        <v>35.15</v>
      </c>
      <c r="DG93" s="228">
        <v>-11.4</v>
      </c>
      <c r="DH93" s="228">
        <v>-0.04</v>
      </c>
      <c r="DI93" s="228">
        <v>24.04</v>
      </c>
      <c r="DJ93" s="228">
        <v>24.91</v>
      </c>
      <c r="DK93" s="228">
        <v>-0.87</v>
      </c>
      <c r="DL93" s="228">
        <v>-0.87</v>
      </c>
      <c r="DM93" s="228">
        <v>23.37</v>
      </c>
      <c r="DN93" s="228">
        <v>24.51</v>
      </c>
      <c r="DO93" s="228">
        <v>-1.1399999999999999</v>
      </c>
      <c r="DP93" s="228">
        <v>-1.1399999999999999</v>
      </c>
      <c r="DQ93" s="228">
        <v>0.76</v>
      </c>
      <c r="DR93" s="228">
        <v>0.6</v>
      </c>
      <c r="DS93" s="228">
        <v>0.16</v>
      </c>
      <c r="DT93" s="229">
        <v>0.26669999999999999</v>
      </c>
      <c r="DU93" s="228">
        <v>800</v>
      </c>
      <c r="DV93" s="228">
        <v>700</v>
      </c>
      <c r="DW93" s="228">
        <v>0.62</v>
      </c>
      <c r="DX93" s="228">
        <v>0.5</v>
      </c>
      <c r="DY93" s="228">
        <v>0.12</v>
      </c>
      <c r="DZ93" s="229">
        <v>0.24</v>
      </c>
      <c r="EA93" s="229">
        <v>0.83440000000000003</v>
      </c>
      <c r="EB93" s="230">
        <v>14897000</v>
      </c>
      <c r="EC93" s="229">
        <v>5.7999999999999996E-3</v>
      </c>
      <c r="ED93" s="229">
        <v>0.83440000000000003</v>
      </c>
      <c r="EE93" s="228">
        <v>4.09</v>
      </c>
      <c r="EF93" s="229">
        <v>5.4999999999999997E-3</v>
      </c>
      <c r="EG93" s="230">
        <v>1116455</v>
      </c>
      <c r="EH93" s="230">
        <v>1003058</v>
      </c>
      <c r="EI93" s="229">
        <v>0.11310000000000001</v>
      </c>
      <c r="EJ93" s="229">
        <v>0.66810000000000003</v>
      </c>
      <c r="EK93" s="231">
        <v>1113.68</v>
      </c>
      <c r="EL93" s="228">
        <v>668.58</v>
      </c>
      <c r="EM93" s="231">
        <v>1635.85</v>
      </c>
      <c r="EN93" s="228">
        <v>90.94</v>
      </c>
      <c r="EO93" s="231">
        <v>3418.11</v>
      </c>
      <c r="EP93" s="231">
        <v>2691.56</v>
      </c>
      <c r="EQ93" s="228">
        <v>726.55</v>
      </c>
      <c r="ER93" s="229">
        <v>0.26989999999999997</v>
      </c>
      <c r="ES93" s="228">
        <v>715.52</v>
      </c>
      <c r="ET93" s="228">
        <v>520.41999999999996</v>
      </c>
      <c r="EU93" s="231">
        <v>2053.08</v>
      </c>
      <c r="EV93" s="231">
        <v>111956321</v>
      </c>
      <c r="EW93" s="231">
        <v>3289.02</v>
      </c>
      <c r="EX93" s="231">
        <v>3527.45</v>
      </c>
      <c r="EY93" s="228">
        <v>-238.43</v>
      </c>
      <c r="EZ93" s="229">
        <v>-6.7599999999999993E-2</v>
      </c>
      <c r="FA93" s="229">
        <v>0.39050000000000001</v>
      </c>
      <c r="FB93" s="227" t="s">
        <v>556</v>
      </c>
      <c r="FC93">
        <f t="shared" si="1"/>
        <v>1705</v>
      </c>
    </row>
    <row r="94" spans="1:159" ht="17.25" thickBot="1" x14ac:dyDescent="0.3">
      <c r="A94" s="226">
        <v>45957</v>
      </c>
      <c r="B94" s="227" t="s">
        <v>172</v>
      </c>
      <c r="C94" s="227" t="s">
        <v>578</v>
      </c>
      <c r="D94" s="228">
        <v>1000</v>
      </c>
      <c r="E94" s="228">
        <v>1</v>
      </c>
      <c r="F94" s="228">
        <v>829.9</v>
      </c>
      <c r="G94" s="228">
        <v>820.05</v>
      </c>
      <c r="H94" s="228">
        <v>9.85</v>
      </c>
      <c r="I94" s="229">
        <v>1.2E-2</v>
      </c>
      <c r="J94" s="228">
        <v>825.85</v>
      </c>
      <c r="K94" s="228">
        <v>820.05</v>
      </c>
      <c r="L94" s="228">
        <v>5.8</v>
      </c>
      <c r="M94" s="229">
        <v>7.1000000000000004E-3</v>
      </c>
      <c r="N94" s="228">
        <v>829.9</v>
      </c>
      <c r="O94" s="228">
        <v>820.05</v>
      </c>
      <c r="P94" s="228">
        <v>9.85</v>
      </c>
      <c r="Q94" s="229">
        <v>1.2E-2</v>
      </c>
      <c r="R94" s="228">
        <v>834.1</v>
      </c>
      <c r="S94" s="228">
        <v>822.85</v>
      </c>
      <c r="T94" s="228">
        <v>11.25</v>
      </c>
      <c r="U94" s="229">
        <v>1.37E-2</v>
      </c>
      <c r="V94" s="228">
        <v>834.9</v>
      </c>
      <c r="W94" s="228">
        <v>821</v>
      </c>
      <c r="X94" s="228">
        <v>13.9</v>
      </c>
      <c r="Y94" s="229">
        <v>1.6899999999999998E-2</v>
      </c>
      <c r="Z94" s="228">
        <v>4.05</v>
      </c>
      <c r="AA94" s="228">
        <v>0</v>
      </c>
      <c r="AB94" s="228">
        <v>4.05</v>
      </c>
      <c r="AC94" s="229">
        <v>4.8999999999999998E-3</v>
      </c>
      <c r="AD94" s="228">
        <v>4.05</v>
      </c>
      <c r="AE94" s="228">
        <v>0</v>
      </c>
      <c r="AF94" s="228">
        <v>4.05</v>
      </c>
      <c r="AG94" s="229">
        <v>4.8999999999999998E-3</v>
      </c>
      <c r="AH94" s="228">
        <v>8.25</v>
      </c>
      <c r="AI94" s="228">
        <v>2.8</v>
      </c>
      <c r="AJ94" s="228">
        <v>5.45</v>
      </c>
      <c r="AK94" s="229">
        <v>0.01</v>
      </c>
      <c r="AL94" s="228">
        <v>9.0500000000000007</v>
      </c>
      <c r="AM94" s="228">
        <v>0.95</v>
      </c>
      <c r="AN94" s="228">
        <v>8.1</v>
      </c>
      <c r="AO94" s="229">
        <v>1.0999999999999999E-2</v>
      </c>
      <c r="AP94" s="228">
        <v>828.4</v>
      </c>
      <c r="AQ94" s="228">
        <v>831.59</v>
      </c>
      <c r="AR94" s="228">
        <v>0</v>
      </c>
      <c r="AS94" s="228">
        <v>618</v>
      </c>
      <c r="AT94" s="228">
        <v>706</v>
      </c>
      <c r="AU94" s="228">
        <v>-89</v>
      </c>
      <c r="AV94" s="229">
        <v>-0.1255</v>
      </c>
      <c r="AW94" s="228">
        <v>270</v>
      </c>
      <c r="AX94" s="228">
        <v>360</v>
      </c>
      <c r="AY94" s="228">
        <v>-90</v>
      </c>
      <c r="AZ94" s="229">
        <v>-0.249</v>
      </c>
      <c r="BA94" s="228">
        <v>344</v>
      </c>
      <c r="BB94" s="228">
        <v>345</v>
      </c>
      <c r="BC94" s="228">
        <v>-1</v>
      </c>
      <c r="BD94" s="229">
        <v>-2.5999999999999999E-3</v>
      </c>
      <c r="BE94" s="228">
        <v>3</v>
      </c>
      <c r="BF94" s="228">
        <v>1</v>
      </c>
      <c r="BG94" s="228">
        <v>2</v>
      </c>
      <c r="BH94" s="229">
        <v>1.9167000000000001</v>
      </c>
      <c r="BI94" s="228">
        <v>685</v>
      </c>
      <c r="BJ94" s="228">
        <v>754</v>
      </c>
      <c r="BK94" s="228">
        <v>-69</v>
      </c>
      <c r="BL94" s="229">
        <v>-9.1300000000000006E-2</v>
      </c>
      <c r="BM94" s="228">
        <v>417</v>
      </c>
      <c r="BN94" s="228">
        <v>481</v>
      </c>
      <c r="BO94" s="228">
        <v>-64</v>
      </c>
      <c r="BP94" s="229">
        <v>-0.13220000000000001</v>
      </c>
      <c r="BQ94" s="230">
        <v>1720</v>
      </c>
      <c r="BR94" s="230">
        <v>1941</v>
      </c>
      <c r="BS94" s="228">
        <v>-221</v>
      </c>
      <c r="BT94" s="229">
        <v>-0.1139</v>
      </c>
      <c r="BU94" s="230">
        <v>1886598</v>
      </c>
      <c r="BV94" s="230">
        <v>1816453</v>
      </c>
      <c r="BW94" s="230">
        <v>70145</v>
      </c>
      <c r="BX94" s="229">
        <v>3.8600000000000002E-2</v>
      </c>
      <c r="BY94" s="228">
        <v>742</v>
      </c>
      <c r="BZ94" s="228">
        <v>735</v>
      </c>
      <c r="CA94" s="228">
        <v>7</v>
      </c>
      <c r="CB94" s="229">
        <v>9.9000000000000008E-3</v>
      </c>
      <c r="CC94" s="228">
        <v>135</v>
      </c>
      <c r="CD94" s="228">
        <v>269</v>
      </c>
      <c r="CE94" s="228">
        <v>-134</v>
      </c>
      <c r="CF94" s="229">
        <v>-0.49740000000000001</v>
      </c>
      <c r="CG94" s="228">
        <v>602</v>
      </c>
      <c r="CH94" s="228">
        <v>462</v>
      </c>
      <c r="CI94" s="228">
        <v>140</v>
      </c>
      <c r="CJ94" s="229">
        <v>0.30320000000000003</v>
      </c>
      <c r="CK94" s="228">
        <v>5</v>
      </c>
      <c r="CL94" s="228">
        <v>3</v>
      </c>
      <c r="CM94" s="228">
        <v>1</v>
      </c>
      <c r="CN94" s="229">
        <v>0.35709999999999997</v>
      </c>
      <c r="CO94" s="228">
        <v>331</v>
      </c>
      <c r="CP94" s="228">
        <v>369</v>
      </c>
      <c r="CQ94" s="228">
        <v>-38</v>
      </c>
      <c r="CR94" s="229">
        <v>-0.10390000000000001</v>
      </c>
      <c r="CS94" s="228">
        <v>393</v>
      </c>
      <c r="CT94" s="228">
        <v>407</v>
      </c>
      <c r="CU94" s="228">
        <v>-13</v>
      </c>
      <c r="CV94" s="229">
        <v>-3.2899999999999999E-2</v>
      </c>
      <c r="CW94" s="230">
        <v>1466</v>
      </c>
      <c r="CX94" s="230">
        <v>1511</v>
      </c>
      <c r="CY94" s="228">
        <v>-44</v>
      </c>
      <c r="CZ94" s="229">
        <v>-2.9399999999999999E-2</v>
      </c>
      <c r="DA94" s="228">
        <v>27.43</v>
      </c>
      <c r="DB94" s="228">
        <v>27.36</v>
      </c>
      <c r="DC94" s="228">
        <v>7.0000000000000007E-2</v>
      </c>
      <c r="DD94" s="228">
        <v>7.0000000000000007E-2</v>
      </c>
      <c r="DE94" s="228">
        <v>38.159999999999997</v>
      </c>
      <c r="DF94" s="228">
        <v>38.24</v>
      </c>
      <c r="DG94" s="228">
        <v>-10.73</v>
      </c>
      <c r="DH94" s="228">
        <v>-0.08</v>
      </c>
      <c r="DI94" s="228">
        <v>27.86</v>
      </c>
      <c r="DJ94" s="228">
        <v>27.38</v>
      </c>
      <c r="DK94" s="228">
        <v>0.48</v>
      </c>
      <c r="DL94" s="228">
        <v>0.48</v>
      </c>
      <c r="DM94" s="228">
        <v>26.66</v>
      </c>
      <c r="DN94" s="228">
        <v>27.34</v>
      </c>
      <c r="DO94" s="228">
        <v>-0.68</v>
      </c>
      <c r="DP94" s="228">
        <v>-0.68</v>
      </c>
      <c r="DQ94" s="228">
        <v>1.19</v>
      </c>
      <c r="DR94" s="228">
        <v>1.1000000000000001</v>
      </c>
      <c r="DS94" s="228">
        <v>0.09</v>
      </c>
      <c r="DT94" s="229">
        <v>8.1799999999999998E-2</v>
      </c>
      <c r="DU94" s="228">
        <v>840</v>
      </c>
      <c r="DV94" s="228">
        <v>800</v>
      </c>
      <c r="DW94" s="228">
        <v>0.61</v>
      </c>
      <c r="DX94" s="228">
        <v>0.64</v>
      </c>
      <c r="DY94" s="228">
        <v>-0.03</v>
      </c>
      <c r="DZ94" s="229">
        <v>-4.6899999999999997E-2</v>
      </c>
      <c r="EA94" s="229">
        <v>0.8175</v>
      </c>
      <c r="EB94" s="230">
        <v>5609000</v>
      </c>
      <c r="EC94" s="229">
        <v>5.1000000000000004E-3</v>
      </c>
      <c r="ED94" s="229">
        <v>0.8175</v>
      </c>
      <c r="EE94" s="228">
        <v>3.19</v>
      </c>
      <c r="EF94" s="229">
        <v>3.8999999999999998E-3</v>
      </c>
      <c r="EG94" s="230">
        <v>1106563</v>
      </c>
      <c r="EH94" s="230">
        <v>788304</v>
      </c>
      <c r="EI94" s="229">
        <v>0.4037</v>
      </c>
      <c r="EJ94" s="229">
        <v>0.58650000000000002</v>
      </c>
      <c r="EK94" s="228">
        <v>701.64</v>
      </c>
      <c r="EL94" s="228">
        <v>408.45</v>
      </c>
      <c r="EM94" s="228">
        <v>617.91</v>
      </c>
      <c r="EN94" s="228">
        <v>53.08</v>
      </c>
      <c r="EO94" s="231">
        <v>1728</v>
      </c>
      <c r="EP94" s="231">
        <v>1933.9</v>
      </c>
      <c r="EQ94" s="228">
        <v>-205.9</v>
      </c>
      <c r="ER94" s="229">
        <v>-0.1065</v>
      </c>
      <c r="ES94" s="228">
        <v>324.41000000000003</v>
      </c>
      <c r="ET94" s="228">
        <v>362.99</v>
      </c>
      <c r="EU94" s="228">
        <v>745.34</v>
      </c>
      <c r="EV94" s="231">
        <v>52862157</v>
      </c>
      <c r="EW94" s="231">
        <v>1432.74</v>
      </c>
      <c r="EX94" s="231">
        <v>1463.57</v>
      </c>
      <c r="EY94" s="228">
        <v>-30.83</v>
      </c>
      <c r="EZ94" s="229">
        <v>-2.1100000000000001E-2</v>
      </c>
      <c r="FA94" s="229">
        <v>0.33429999999999999</v>
      </c>
      <c r="FB94" s="227" t="s">
        <v>555</v>
      </c>
      <c r="FC94">
        <f t="shared" si="1"/>
        <v>607</v>
      </c>
    </row>
    <row r="95" spans="1:159" ht="17.25" thickBot="1" x14ac:dyDescent="0.3">
      <c r="A95" s="226">
        <v>45957</v>
      </c>
      <c r="B95" s="227" t="s">
        <v>181</v>
      </c>
      <c r="C95" s="227" t="s">
        <v>689</v>
      </c>
      <c r="D95" s="228">
        <v>1</v>
      </c>
      <c r="E95" s="228">
        <v>1</v>
      </c>
      <c r="F95" s="228">
        <v>11.86</v>
      </c>
      <c r="G95" s="228">
        <v>11.59</v>
      </c>
      <c r="H95" s="228">
        <v>0.27</v>
      </c>
      <c r="I95" s="229">
        <v>2.3099999999999999E-2</v>
      </c>
      <c r="J95" s="228">
        <v>11.86</v>
      </c>
      <c r="K95" s="228">
        <v>11.59</v>
      </c>
      <c r="L95" s="228">
        <v>0.27</v>
      </c>
      <c r="M95" s="229">
        <v>2.3099999999999999E-2</v>
      </c>
      <c r="N95" s="228">
        <v>0</v>
      </c>
      <c r="O95" s="228">
        <v>0</v>
      </c>
      <c r="P95" s="228">
        <v>0</v>
      </c>
      <c r="Q95" s="229">
        <v>0</v>
      </c>
      <c r="R95" s="228">
        <v>0</v>
      </c>
      <c r="S95" s="228">
        <v>0</v>
      </c>
      <c r="T95" s="228">
        <v>0</v>
      </c>
      <c r="U95" s="229">
        <v>0</v>
      </c>
      <c r="V95" s="228">
        <v>0</v>
      </c>
      <c r="W95" s="228">
        <v>0</v>
      </c>
      <c r="X95" s="228">
        <v>0</v>
      </c>
      <c r="Y95" s="229">
        <v>0</v>
      </c>
      <c r="Z95" s="228">
        <v>0</v>
      </c>
      <c r="AA95" s="228">
        <v>0</v>
      </c>
      <c r="AB95" s="228">
        <v>0</v>
      </c>
      <c r="AC95" s="229">
        <v>0</v>
      </c>
      <c r="AD95" s="228">
        <v>0</v>
      </c>
      <c r="AE95" s="228">
        <v>0</v>
      </c>
      <c r="AF95" s="228">
        <v>0</v>
      </c>
      <c r="AG95" s="229">
        <v>0</v>
      </c>
      <c r="AH95" s="228">
        <v>0</v>
      </c>
      <c r="AI95" s="228">
        <v>0</v>
      </c>
      <c r="AJ95" s="228">
        <v>0</v>
      </c>
      <c r="AK95" s="229">
        <v>0</v>
      </c>
      <c r="AL95" s="228">
        <v>0</v>
      </c>
      <c r="AM95" s="228">
        <v>0</v>
      </c>
      <c r="AN95" s="228">
        <v>0</v>
      </c>
      <c r="AO95" s="229">
        <v>0</v>
      </c>
      <c r="AP95" s="228">
        <v>0</v>
      </c>
      <c r="AQ95" s="228">
        <v>0</v>
      </c>
      <c r="AR95" s="228">
        <v>0</v>
      </c>
      <c r="AS95" s="228">
        <v>0</v>
      </c>
      <c r="AT95" s="228">
        <v>0</v>
      </c>
      <c r="AU95" s="228">
        <v>0</v>
      </c>
      <c r="AV95" s="229">
        <v>0</v>
      </c>
      <c r="AW95" s="228">
        <v>0</v>
      </c>
      <c r="AX95" s="228">
        <v>0</v>
      </c>
      <c r="AY95" s="228">
        <v>0</v>
      </c>
      <c r="AZ95" s="229">
        <v>0</v>
      </c>
      <c r="BA95" s="228">
        <v>0</v>
      </c>
      <c r="BB95" s="228">
        <v>0</v>
      </c>
      <c r="BC95" s="228">
        <v>0</v>
      </c>
      <c r="BD95" s="229">
        <v>0</v>
      </c>
      <c r="BE95" s="228">
        <v>0</v>
      </c>
      <c r="BF95" s="228">
        <v>0</v>
      </c>
      <c r="BG95" s="228">
        <v>0</v>
      </c>
      <c r="BH95" s="229">
        <v>0</v>
      </c>
      <c r="BI95" s="228">
        <v>0</v>
      </c>
      <c r="BJ95" s="228">
        <v>0</v>
      </c>
      <c r="BK95" s="228">
        <v>0</v>
      </c>
      <c r="BL95" s="229">
        <v>0</v>
      </c>
      <c r="BM95" s="228">
        <v>0</v>
      </c>
      <c r="BN95" s="228">
        <v>0</v>
      </c>
      <c r="BO95" s="228">
        <v>0</v>
      </c>
      <c r="BP95" s="229">
        <v>0</v>
      </c>
      <c r="BQ95" s="228">
        <v>0</v>
      </c>
      <c r="BR95" s="228">
        <v>0</v>
      </c>
      <c r="BS95" s="228">
        <v>0</v>
      </c>
      <c r="BT95" s="229">
        <v>0</v>
      </c>
      <c r="BU95" s="228">
        <v>0</v>
      </c>
      <c r="BV95" s="228">
        <v>0</v>
      </c>
      <c r="BW95" s="228">
        <v>0</v>
      </c>
      <c r="BX95" s="229">
        <v>0</v>
      </c>
      <c r="BY95" s="228">
        <v>0</v>
      </c>
      <c r="BZ95" s="228">
        <v>0</v>
      </c>
      <c r="CA95" s="228">
        <v>0</v>
      </c>
      <c r="CB95" s="229">
        <v>0</v>
      </c>
      <c r="CC95" s="228">
        <v>0</v>
      </c>
      <c r="CD95" s="228">
        <v>0</v>
      </c>
      <c r="CE95" s="228">
        <v>0</v>
      </c>
      <c r="CF95" s="229">
        <v>0</v>
      </c>
      <c r="CG95" s="228">
        <v>0</v>
      </c>
      <c r="CH95" s="228">
        <v>0</v>
      </c>
      <c r="CI95" s="228">
        <v>0</v>
      </c>
      <c r="CJ95" s="229">
        <v>0</v>
      </c>
      <c r="CK95" s="228">
        <v>0</v>
      </c>
      <c r="CL95" s="228">
        <v>0</v>
      </c>
      <c r="CM95" s="228">
        <v>0</v>
      </c>
      <c r="CN95" s="229">
        <v>0</v>
      </c>
      <c r="CO95" s="228">
        <v>0</v>
      </c>
      <c r="CP95" s="228">
        <v>0</v>
      </c>
      <c r="CQ95" s="228">
        <v>0</v>
      </c>
      <c r="CR95" s="229">
        <v>0</v>
      </c>
      <c r="CS95" s="228">
        <v>0</v>
      </c>
      <c r="CT95" s="228">
        <v>0</v>
      </c>
      <c r="CU95" s="228">
        <v>0</v>
      </c>
      <c r="CV95" s="229">
        <v>0</v>
      </c>
      <c r="CW95" s="228">
        <v>0</v>
      </c>
      <c r="CX95" s="228">
        <v>0</v>
      </c>
      <c r="CY95" s="228">
        <v>0</v>
      </c>
      <c r="CZ95" s="229">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8">
        <v>0</v>
      </c>
      <c r="DT95" s="229">
        <v>0</v>
      </c>
      <c r="DU95" s="228">
        <v>0</v>
      </c>
      <c r="DV95" s="228">
        <v>0</v>
      </c>
      <c r="DW95" s="228">
        <v>0</v>
      </c>
      <c r="DX95" s="228">
        <v>0</v>
      </c>
      <c r="DY95" s="228">
        <v>0</v>
      </c>
      <c r="DZ95" s="229">
        <v>0</v>
      </c>
      <c r="EA95" s="229">
        <v>0</v>
      </c>
      <c r="EB95" s="228">
        <v>0</v>
      </c>
      <c r="EC95" s="229">
        <v>0</v>
      </c>
      <c r="ED95" s="229">
        <v>0</v>
      </c>
      <c r="EE95" s="228">
        <v>0</v>
      </c>
      <c r="EF95" s="229">
        <v>0</v>
      </c>
      <c r="EG95" s="228">
        <v>0</v>
      </c>
      <c r="EH95" s="228">
        <v>0</v>
      </c>
      <c r="EI95" s="229">
        <v>0</v>
      </c>
      <c r="EJ95" s="229">
        <v>0</v>
      </c>
      <c r="EK95" s="228">
        <v>0</v>
      </c>
      <c r="EL95" s="228">
        <v>0</v>
      </c>
      <c r="EM95" s="228">
        <v>0</v>
      </c>
      <c r="EN95" s="228">
        <v>0</v>
      </c>
      <c r="EO95" s="228">
        <v>0</v>
      </c>
      <c r="EP95" s="228">
        <v>0</v>
      </c>
      <c r="EQ95" s="228">
        <v>0</v>
      </c>
      <c r="ER95" s="229">
        <v>0</v>
      </c>
      <c r="ES95" s="228">
        <v>0</v>
      </c>
      <c r="ET95" s="228">
        <v>0</v>
      </c>
      <c r="EU95" s="228">
        <v>0</v>
      </c>
      <c r="EV95" s="228">
        <v>0</v>
      </c>
      <c r="EW95" s="228">
        <v>0</v>
      </c>
      <c r="EX95" s="228">
        <v>0</v>
      </c>
      <c r="EY95" s="228">
        <v>0</v>
      </c>
      <c r="EZ95" s="229">
        <v>0</v>
      </c>
      <c r="FA95" s="229">
        <v>0</v>
      </c>
      <c r="FB95" s="227" t="s">
        <v>237</v>
      </c>
      <c r="FC95">
        <f t="shared" si="1"/>
        <v>0</v>
      </c>
    </row>
    <row r="96" spans="1:159" ht="17.25" thickBot="1" x14ac:dyDescent="0.3">
      <c r="A96" s="226">
        <v>45957</v>
      </c>
      <c r="B96" s="227" t="s">
        <v>215</v>
      </c>
      <c r="C96" s="227" t="s">
        <v>238</v>
      </c>
      <c r="D96" s="228">
        <v>150</v>
      </c>
      <c r="E96" s="228">
        <v>1</v>
      </c>
      <c r="F96" s="231">
        <v>5836.5</v>
      </c>
      <c r="G96" s="231">
        <v>5765</v>
      </c>
      <c r="H96" s="228">
        <v>71.5</v>
      </c>
      <c r="I96" s="229">
        <v>1.24E-2</v>
      </c>
      <c r="J96" s="231">
        <v>5835</v>
      </c>
      <c r="K96" s="231">
        <v>5779</v>
      </c>
      <c r="L96" s="228">
        <v>56</v>
      </c>
      <c r="M96" s="229">
        <v>9.7000000000000003E-3</v>
      </c>
      <c r="N96" s="231">
        <v>5836.5</v>
      </c>
      <c r="O96" s="231">
        <v>5765</v>
      </c>
      <c r="P96" s="228">
        <v>71.5</v>
      </c>
      <c r="Q96" s="229">
        <v>1.24E-2</v>
      </c>
      <c r="R96" s="231">
        <v>5862.5</v>
      </c>
      <c r="S96" s="231">
        <v>5792</v>
      </c>
      <c r="T96" s="228">
        <v>70.5</v>
      </c>
      <c r="U96" s="229">
        <v>1.2200000000000001E-2</v>
      </c>
      <c r="V96" s="231">
        <v>5894</v>
      </c>
      <c r="W96" s="231">
        <v>5828.5</v>
      </c>
      <c r="X96" s="228">
        <v>65.5</v>
      </c>
      <c r="Y96" s="229">
        <v>1.12E-2</v>
      </c>
      <c r="Z96" s="228">
        <v>1.5</v>
      </c>
      <c r="AA96" s="228">
        <v>-14</v>
      </c>
      <c r="AB96" s="228">
        <v>15.5</v>
      </c>
      <c r="AC96" s="229">
        <v>2.9999999999999997E-4</v>
      </c>
      <c r="AD96" s="228">
        <v>1.5</v>
      </c>
      <c r="AE96" s="228">
        <v>-14</v>
      </c>
      <c r="AF96" s="228">
        <v>15.5</v>
      </c>
      <c r="AG96" s="229">
        <v>2.9999999999999997E-4</v>
      </c>
      <c r="AH96" s="228">
        <v>27.5</v>
      </c>
      <c r="AI96" s="228">
        <v>13</v>
      </c>
      <c r="AJ96" s="228">
        <v>14.5</v>
      </c>
      <c r="AK96" s="229">
        <v>4.7000000000000002E-3</v>
      </c>
      <c r="AL96" s="228">
        <v>59</v>
      </c>
      <c r="AM96" s="228">
        <v>49.5</v>
      </c>
      <c r="AN96" s="228">
        <v>9.5</v>
      </c>
      <c r="AO96" s="229">
        <v>1.01E-2</v>
      </c>
      <c r="AP96" s="231">
        <v>5846.88</v>
      </c>
      <c r="AQ96" s="231">
        <v>5875.04</v>
      </c>
      <c r="AR96" s="228">
        <v>0</v>
      </c>
      <c r="AS96" s="230">
        <v>3599</v>
      </c>
      <c r="AT96" s="230">
        <v>4158</v>
      </c>
      <c r="AU96" s="228">
        <v>-559</v>
      </c>
      <c r="AV96" s="229">
        <v>-0.13450000000000001</v>
      </c>
      <c r="AW96" s="230">
        <v>1683</v>
      </c>
      <c r="AX96" s="230">
        <v>2059</v>
      </c>
      <c r="AY96" s="228">
        <v>-376</v>
      </c>
      <c r="AZ96" s="229">
        <v>-0.18260000000000001</v>
      </c>
      <c r="BA96" s="230">
        <v>1901</v>
      </c>
      <c r="BB96" s="230">
        <v>2086</v>
      </c>
      <c r="BC96" s="228">
        <v>-185</v>
      </c>
      <c r="BD96" s="229">
        <v>-8.8800000000000004E-2</v>
      </c>
      <c r="BE96" s="228">
        <v>15</v>
      </c>
      <c r="BF96" s="228">
        <v>13</v>
      </c>
      <c r="BG96" s="228">
        <v>2</v>
      </c>
      <c r="BH96" s="229">
        <v>0.1467</v>
      </c>
      <c r="BI96" s="230">
        <v>2915</v>
      </c>
      <c r="BJ96" s="230">
        <v>2881</v>
      </c>
      <c r="BK96" s="228">
        <v>34</v>
      </c>
      <c r="BL96" s="229">
        <v>1.18E-2</v>
      </c>
      <c r="BM96" s="230">
        <v>2124</v>
      </c>
      <c r="BN96" s="230">
        <v>1830</v>
      </c>
      <c r="BO96" s="228">
        <v>293</v>
      </c>
      <c r="BP96" s="229">
        <v>0.1603</v>
      </c>
      <c r="BQ96" s="230">
        <v>8637</v>
      </c>
      <c r="BR96" s="230">
        <v>8869</v>
      </c>
      <c r="BS96" s="228">
        <v>-232</v>
      </c>
      <c r="BT96" s="229">
        <v>-2.6200000000000001E-2</v>
      </c>
      <c r="BU96" s="230">
        <v>483507</v>
      </c>
      <c r="BV96" s="230">
        <v>575639</v>
      </c>
      <c r="BW96" s="230">
        <v>-92132</v>
      </c>
      <c r="BX96" s="229">
        <v>-0.16009999999999999</v>
      </c>
      <c r="BY96" s="230">
        <v>4631</v>
      </c>
      <c r="BZ96" s="230">
        <v>4761</v>
      </c>
      <c r="CA96" s="228">
        <v>-130</v>
      </c>
      <c r="CB96" s="229">
        <v>-2.7400000000000001E-2</v>
      </c>
      <c r="CC96" s="228">
        <v>698</v>
      </c>
      <c r="CD96" s="230">
        <v>1962</v>
      </c>
      <c r="CE96" s="230">
        <v>-1264</v>
      </c>
      <c r="CF96" s="229">
        <v>-0.64429999999999998</v>
      </c>
      <c r="CG96" s="230">
        <v>3867</v>
      </c>
      <c r="CH96" s="230">
        <v>2733</v>
      </c>
      <c r="CI96" s="230">
        <v>1134</v>
      </c>
      <c r="CJ96" s="229">
        <v>0.41489999999999999</v>
      </c>
      <c r="CK96" s="228">
        <v>65</v>
      </c>
      <c r="CL96" s="228">
        <v>66</v>
      </c>
      <c r="CM96" s="228">
        <v>0</v>
      </c>
      <c r="CN96" s="229">
        <v>-5.3E-3</v>
      </c>
      <c r="CO96" s="230">
        <v>1125</v>
      </c>
      <c r="CP96" s="230">
        <v>1186</v>
      </c>
      <c r="CQ96" s="228">
        <v>-61</v>
      </c>
      <c r="CR96" s="229">
        <v>-5.1299999999999998E-2</v>
      </c>
      <c r="CS96" s="230">
        <v>1022</v>
      </c>
      <c r="CT96" s="228">
        <v>914</v>
      </c>
      <c r="CU96" s="228">
        <v>108</v>
      </c>
      <c r="CV96" s="229">
        <v>0.1182</v>
      </c>
      <c r="CW96" s="230">
        <v>6778</v>
      </c>
      <c r="CX96" s="230">
        <v>6861</v>
      </c>
      <c r="CY96" s="228">
        <v>-83</v>
      </c>
      <c r="CZ96" s="229">
        <v>-1.21E-2</v>
      </c>
      <c r="DA96" s="228">
        <v>24.93</v>
      </c>
      <c r="DB96" s="228">
        <v>24.15</v>
      </c>
      <c r="DC96" s="228">
        <v>0.78</v>
      </c>
      <c r="DD96" s="228">
        <v>0.78</v>
      </c>
      <c r="DE96" s="228">
        <v>32.43</v>
      </c>
      <c r="DF96" s="228">
        <v>32.49</v>
      </c>
      <c r="DG96" s="228">
        <v>-7.5</v>
      </c>
      <c r="DH96" s="228">
        <v>-0.06</v>
      </c>
      <c r="DI96" s="228">
        <v>24.8</v>
      </c>
      <c r="DJ96" s="228">
        <v>24.14</v>
      </c>
      <c r="DK96" s="228">
        <v>0.66</v>
      </c>
      <c r="DL96" s="228">
        <v>0.66</v>
      </c>
      <c r="DM96" s="228">
        <v>25.08</v>
      </c>
      <c r="DN96" s="228">
        <v>24.16</v>
      </c>
      <c r="DO96" s="228">
        <v>0.92</v>
      </c>
      <c r="DP96" s="228">
        <v>0.92</v>
      </c>
      <c r="DQ96" s="228">
        <v>0.91</v>
      </c>
      <c r="DR96" s="228">
        <v>0.77</v>
      </c>
      <c r="DS96" s="228">
        <v>0.14000000000000001</v>
      </c>
      <c r="DT96" s="229">
        <v>0.18179999999999999</v>
      </c>
      <c r="DU96" s="231">
        <v>6000</v>
      </c>
      <c r="DV96" s="231">
        <v>5400</v>
      </c>
      <c r="DW96" s="228">
        <v>0.73</v>
      </c>
      <c r="DX96" s="228">
        <v>0.64</v>
      </c>
      <c r="DY96" s="228">
        <v>0.09</v>
      </c>
      <c r="DZ96" s="229">
        <v>0.1406</v>
      </c>
      <c r="EA96" s="229">
        <v>0.84930000000000005</v>
      </c>
      <c r="EB96" s="230">
        <v>4795500</v>
      </c>
      <c r="EC96" s="229">
        <v>4.4999999999999997E-3</v>
      </c>
      <c r="ED96" s="229">
        <v>0.84930000000000005</v>
      </c>
      <c r="EE96" s="228">
        <v>28.16</v>
      </c>
      <c r="EF96" s="229">
        <v>4.7999999999999996E-3</v>
      </c>
      <c r="EG96" s="230">
        <v>291908</v>
      </c>
      <c r="EH96" s="230">
        <v>295157</v>
      </c>
      <c r="EI96" s="229">
        <v>-1.0999999999999999E-2</v>
      </c>
      <c r="EJ96" s="229">
        <v>0.60370000000000001</v>
      </c>
      <c r="EK96" s="231">
        <v>2998.01</v>
      </c>
      <c r="EL96" s="231">
        <v>2091.2199999999998</v>
      </c>
      <c r="EM96" s="231">
        <v>3614.59</v>
      </c>
      <c r="EN96" s="228">
        <v>204.8</v>
      </c>
      <c r="EO96" s="231">
        <v>8703.81</v>
      </c>
      <c r="EP96" s="231">
        <v>8806.51</v>
      </c>
      <c r="EQ96" s="228">
        <v>-102.69</v>
      </c>
      <c r="ER96" s="229">
        <v>-1.17E-2</v>
      </c>
      <c r="ES96" s="231">
        <v>1149.3800000000001</v>
      </c>
      <c r="ET96" s="228">
        <v>992.77</v>
      </c>
      <c r="EU96" s="231">
        <v>4648.43</v>
      </c>
      <c r="EV96" s="231">
        <v>32732860</v>
      </c>
      <c r="EW96" s="231">
        <v>6790.59</v>
      </c>
      <c r="EX96" s="231">
        <v>6806.68</v>
      </c>
      <c r="EY96" s="228">
        <v>-16.09</v>
      </c>
      <c r="EZ96" s="229">
        <v>-2.3999999999999998E-3</v>
      </c>
      <c r="FA96" s="229">
        <v>0.3548</v>
      </c>
      <c r="FB96" s="227" t="s">
        <v>556</v>
      </c>
      <c r="FC96">
        <f t="shared" si="1"/>
        <v>3933</v>
      </c>
    </row>
    <row r="97" spans="1:159" ht="17.25" thickBot="1" x14ac:dyDescent="0.3">
      <c r="A97" s="226">
        <v>45957</v>
      </c>
      <c r="B97" s="227" t="s">
        <v>172</v>
      </c>
      <c r="C97" s="227" t="s">
        <v>239</v>
      </c>
      <c r="D97" s="228">
        <v>700</v>
      </c>
      <c r="E97" s="228">
        <v>1</v>
      </c>
      <c r="F97" s="228">
        <v>770</v>
      </c>
      <c r="G97" s="228">
        <v>754.4</v>
      </c>
      <c r="H97" s="228">
        <v>15.6</v>
      </c>
      <c r="I97" s="229">
        <v>2.07E-2</v>
      </c>
      <c r="J97" s="228">
        <v>770.05</v>
      </c>
      <c r="K97" s="228">
        <v>755.05</v>
      </c>
      <c r="L97" s="228">
        <v>15</v>
      </c>
      <c r="M97" s="229">
        <v>1.9900000000000001E-2</v>
      </c>
      <c r="N97" s="228">
        <v>770</v>
      </c>
      <c r="O97" s="228">
        <v>754.4</v>
      </c>
      <c r="P97" s="228">
        <v>15.6</v>
      </c>
      <c r="Q97" s="229">
        <v>2.07E-2</v>
      </c>
      <c r="R97" s="228">
        <v>774.65</v>
      </c>
      <c r="S97" s="228">
        <v>758.65</v>
      </c>
      <c r="T97" s="228">
        <v>16</v>
      </c>
      <c r="U97" s="229">
        <v>2.1100000000000001E-2</v>
      </c>
      <c r="V97" s="228">
        <v>780.1</v>
      </c>
      <c r="W97" s="228">
        <v>763.5</v>
      </c>
      <c r="X97" s="228">
        <v>16.600000000000001</v>
      </c>
      <c r="Y97" s="229">
        <v>2.1700000000000001E-2</v>
      </c>
      <c r="Z97" s="228">
        <v>-0.05</v>
      </c>
      <c r="AA97" s="228">
        <v>-0.65</v>
      </c>
      <c r="AB97" s="228">
        <v>0.6</v>
      </c>
      <c r="AC97" s="229">
        <v>-1E-4</v>
      </c>
      <c r="AD97" s="228">
        <v>-0.05</v>
      </c>
      <c r="AE97" s="228">
        <v>-0.65</v>
      </c>
      <c r="AF97" s="228">
        <v>0.6</v>
      </c>
      <c r="AG97" s="229">
        <v>-1E-4</v>
      </c>
      <c r="AH97" s="228">
        <v>4.5999999999999996</v>
      </c>
      <c r="AI97" s="228">
        <v>3.6</v>
      </c>
      <c r="AJ97" s="228">
        <v>1</v>
      </c>
      <c r="AK97" s="229">
        <v>6.0000000000000001E-3</v>
      </c>
      <c r="AL97" s="228">
        <v>10.050000000000001</v>
      </c>
      <c r="AM97" s="228">
        <v>8.4499999999999993</v>
      </c>
      <c r="AN97" s="228">
        <v>1.6</v>
      </c>
      <c r="AO97" s="229">
        <v>1.3100000000000001E-2</v>
      </c>
      <c r="AP97" s="228">
        <v>763.5</v>
      </c>
      <c r="AQ97" s="228">
        <v>768.1</v>
      </c>
      <c r="AR97" s="228">
        <v>0</v>
      </c>
      <c r="AS97" s="230">
        <v>2934</v>
      </c>
      <c r="AT97" s="230">
        <v>2305</v>
      </c>
      <c r="AU97" s="228">
        <v>629</v>
      </c>
      <c r="AV97" s="229">
        <v>0.2727</v>
      </c>
      <c r="AW97" s="230">
        <v>1405</v>
      </c>
      <c r="AX97" s="230">
        <v>1175</v>
      </c>
      <c r="AY97" s="228">
        <v>231</v>
      </c>
      <c r="AZ97" s="229">
        <v>0.19650000000000001</v>
      </c>
      <c r="BA97" s="230">
        <v>1506</v>
      </c>
      <c r="BB97" s="230">
        <v>1120</v>
      </c>
      <c r="BC97" s="228">
        <v>385</v>
      </c>
      <c r="BD97" s="229">
        <v>0.34389999999999998</v>
      </c>
      <c r="BE97" s="228">
        <v>23</v>
      </c>
      <c r="BF97" s="228">
        <v>10</v>
      </c>
      <c r="BG97" s="228">
        <v>13</v>
      </c>
      <c r="BH97" s="229">
        <v>1.2251000000000001</v>
      </c>
      <c r="BI97" s="230">
        <v>2069</v>
      </c>
      <c r="BJ97" s="230">
        <v>1446</v>
      </c>
      <c r="BK97" s="228">
        <v>624</v>
      </c>
      <c r="BL97" s="229">
        <v>0.43130000000000002</v>
      </c>
      <c r="BM97" s="230">
        <v>1249</v>
      </c>
      <c r="BN97" s="230">
        <v>1058</v>
      </c>
      <c r="BO97" s="228">
        <v>190</v>
      </c>
      <c r="BP97" s="229">
        <v>0.17979999999999999</v>
      </c>
      <c r="BQ97" s="230">
        <v>6252</v>
      </c>
      <c r="BR97" s="230">
        <v>4809</v>
      </c>
      <c r="BS97" s="230">
        <v>1443</v>
      </c>
      <c r="BT97" s="229">
        <v>0.2999</v>
      </c>
      <c r="BU97" s="230">
        <v>3944349</v>
      </c>
      <c r="BV97" s="230">
        <v>2077422</v>
      </c>
      <c r="BW97" s="230">
        <v>1866927</v>
      </c>
      <c r="BX97" s="229">
        <v>0.89870000000000005</v>
      </c>
      <c r="BY97" s="230">
        <v>4407</v>
      </c>
      <c r="BZ97" s="230">
        <v>4457</v>
      </c>
      <c r="CA97" s="228">
        <v>-50</v>
      </c>
      <c r="CB97" s="229">
        <v>-1.12E-2</v>
      </c>
      <c r="CC97" s="228">
        <v>602</v>
      </c>
      <c r="CD97" s="230">
        <v>1705</v>
      </c>
      <c r="CE97" s="230">
        <v>-1103</v>
      </c>
      <c r="CF97" s="229">
        <v>-0.64690000000000003</v>
      </c>
      <c r="CG97" s="230">
        <v>3747</v>
      </c>
      <c r="CH97" s="230">
        <v>2701</v>
      </c>
      <c r="CI97" s="230">
        <v>1046</v>
      </c>
      <c r="CJ97" s="229">
        <v>0.38740000000000002</v>
      </c>
      <c r="CK97" s="228">
        <v>58</v>
      </c>
      <c r="CL97" s="228">
        <v>51</v>
      </c>
      <c r="CM97" s="228">
        <v>7</v>
      </c>
      <c r="CN97" s="229">
        <v>0.1313</v>
      </c>
      <c r="CO97" s="230">
        <v>1524</v>
      </c>
      <c r="CP97" s="230">
        <v>1549</v>
      </c>
      <c r="CQ97" s="228">
        <v>-25</v>
      </c>
      <c r="CR97" s="229">
        <v>-1.61E-2</v>
      </c>
      <c r="CS97" s="230">
        <v>1220</v>
      </c>
      <c r="CT97" s="230">
        <v>1126</v>
      </c>
      <c r="CU97" s="228">
        <v>94</v>
      </c>
      <c r="CV97" s="229">
        <v>8.3599999999999994E-2</v>
      </c>
      <c r="CW97" s="230">
        <v>7151</v>
      </c>
      <c r="CX97" s="230">
        <v>7132</v>
      </c>
      <c r="CY97" s="228">
        <v>19</v>
      </c>
      <c r="CZ97" s="229">
        <v>2.7000000000000001E-3</v>
      </c>
      <c r="DA97" s="228">
        <v>27.67</v>
      </c>
      <c r="DB97" s="228">
        <v>28.02</v>
      </c>
      <c r="DC97" s="228">
        <v>-0.35</v>
      </c>
      <c r="DD97" s="228">
        <v>-0.35</v>
      </c>
      <c r="DE97" s="228">
        <v>46.65</v>
      </c>
      <c r="DF97" s="228">
        <v>46.69</v>
      </c>
      <c r="DG97" s="228">
        <v>-18.98</v>
      </c>
      <c r="DH97" s="228">
        <v>-0.04</v>
      </c>
      <c r="DI97" s="228">
        <v>28.04</v>
      </c>
      <c r="DJ97" s="228">
        <v>28.36</v>
      </c>
      <c r="DK97" s="228">
        <v>-0.32</v>
      </c>
      <c r="DL97" s="228">
        <v>-0.32</v>
      </c>
      <c r="DM97" s="228">
        <v>27.12</v>
      </c>
      <c r="DN97" s="228">
        <v>27.43</v>
      </c>
      <c r="DO97" s="228">
        <v>-0.31</v>
      </c>
      <c r="DP97" s="228">
        <v>-0.31</v>
      </c>
      <c r="DQ97" s="228">
        <v>0.8</v>
      </c>
      <c r="DR97" s="228">
        <v>0.73</v>
      </c>
      <c r="DS97" s="228">
        <v>7.0000000000000007E-2</v>
      </c>
      <c r="DT97" s="229">
        <v>9.5899999999999999E-2</v>
      </c>
      <c r="DU97" s="228">
        <v>800</v>
      </c>
      <c r="DV97" s="228">
        <v>720</v>
      </c>
      <c r="DW97" s="228">
        <v>0.6</v>
      </c>
      <c r="DX97" s="228">
        <v>0.73</v>
      </c>
      <c r="DY97" s="228">
        <v>-0.13</v>
      </c>
      <c r="DZ97" s="229">
        <v>-0.17810000000000001</v>
      </c>
      <c r="EA97" s="229">
        <v>0.86339999999999995</v>
      </c>
      <c r="EB97" s="230">
        <v>35742000</v>
      </c>
      <c r="EC97" s="229">
        <v>6.0000000000000001E-3</v>
      </c>
      <c r="ED97" s="229">
        <v>0.86339999999999995</v>
      </c>
      <c r="EE97" s="228">
        <v>4.5999999999999996</v>
      </c>
      <c r="EF97" s="229">
        <v>6.0000000000000001E-3</v>
      </c>
      <c r="EG97" s="230">
        <v>2408064</v>
      </c>
      <c r="EH97" s="230">
        <v>1214914</v>
      </c>
      <c r="EI97" s="229">
        <v>0.98209999999999997</v>
      </c>
      <c r="EJ97" s="229">
        <v>0.61050000000000004</v>
      </c>
      <c r="EK97" s="231">
        <v>2124.0100000000002</v>
      </c>
      <c r="EL97" s="231">
        <v>1244.83</v>
      </c>
      <c r="EM97" s="231">
        <v>2918.42</v>
      </c>
      <c r="EN97" s="228">
        <v>365.37</v>
      </c>
      <c r="EO97" s="231">
        <v>6287.26</v>
      </c>
      <c r="EP97" s="231">
        <v>4775.34</v>
      </c>
      <c r="EQ97" s="231">
        <v>1511.92</v>
      </c>
      <c r="ER97" s="229">
        <v>0.31659999999999999</v>
      </c>
      <c r="ES97" s="231">
        <v>1557.67</v>
      </c>
      <c r="ET97" s="231">
        <v>1185.03</v>
      </c>
      <c r="EU97" s="231">
        <v>4430.79</v>
      </c>
      <c r="EV97" s="231">
        <v>93805784</v>
      </c>
      <c r="EW97" s="231">
        <v>7173.49</v>
      </c>
      <c r="EX97" s="231">
        <v>7047.15</v>
      </c>
      <c r="EY97" s="228">
        <v>126.34</v>
      </c>
      <c r="EZ97" s="229">
        <v>1.7899999999999999E-2</v>
      </c>
      <c r="FA97" s="229">
        <v>0.99</v>
      </c>
      <c r="FB97" s="227" t="s">
        <v>556</v>
      </c>
      <c r="FC97">
        <f t="shared" si="1"/>
        <v>3805</v>
      </c>
    </row>
    <row r="98" spans="1:159" ht="17.25" thickBot="1" x14ac:dyDescent="0.3">
      <c r="A98" s="226">
        <v>45957</v>
      </c>
      <c r="B98" s="227" t="s">
        <v>188</v>
      </c>
      <c r="C98" s="227" t="s">
        <v>473</v>
      </c>
      <c r="D98" s="228">
        <v>1700</v>
      </c>
      <c r="E98" s="228">
        <v>1</v>
      </c>
      <c r="F98" s="228">
        <v>372.05</v>
      </c>
      <c r="G98" s="228">
        <v>362.2</v>
      </c>
      <c r="H98" s="228">
        <v>9.85</v>
      </c>
      <c r="I98" s="229">
        <v>2.7199999999999998E-2</v>
      </c>
      <c r="J98" s="228">
        <v>371.3</v>
      </c>
      <c r="K98" s="228">
        <v>361.55</v>
      </c>
      <c r="L98" s="228">
        <v>9.75</v>
      </c>
      <c r="M98" s="229">
        <v>2.7E-2</v>
      </c>
      <c r="N98" s="228">
        <v>372.05</v>
      </c>
      <c r="O98" s="228">
        <v>362.2</v>
      </c>
      <c r="P98" s="228">
        <v>9.85</v>
      </c>
      <c r="Q98" s="229">
        <v>2.7199999999999998E-2</v>
      </c>
      <c r="R98" s="228">
        <v>374.1</v>
      </c>
      <c r="S98" s="228">
        <v>364.15</v>
      </c>
      <c r="T98" s="228">
        <v>9.9499999999999993</v>
      </c>
      <c r="U98" s="229">
        <v>2.7300000000000001E-2</v>
      </c>
      <c r="V98" s="228">
        <v>376.95</v>
      </c>
      <c r="W98" s="228">
        <v>366.65</v>
      </c>
      <c r="X98" s="228">
        <v>10.3</v>
      </c>
      <c r="Y98" s="229">
        <v>2.81E-2</v>
      </c>
      <c r="Z98" s="228">
        <v>0.75</v>
      </c>
      <c r="AA98" s="228">
        <v>0.65</v>
      </c>
      <c r="AB98" s="228">
        <v>0.1</v>
      </c>
      <c r="AC98" s="229">
        <v>2E-3</v>
      </c>
      <c r="AD98" s="228">
        <v>0.75</v>
      </c>
      <c r="AE98" s="228">
        <v>0.65</v>
      </c>
      <c r="AF98" s="228">
        <v>0.1</v>
      </c>
      <c r="AG98" s="229">
        <v>2E-3</v>
      </c>
      <c r="AH98" s="228">
        <v>2.8</v>
      </c>
      <c r="AI98" s="228">
        <v>2.6</v>
      </c>
      <c r="AJ98" s="228">
        <v>0.2</v>
      </c>
      <c r="AK98" s="229">
        <v>7.4999999999999997E-3</v>
      </c>
      <c r="AL98" s="228">
        <v>5.65</v>
      </c>
      <c r="AM98" s="228">
        <v>5.0999999999999996</v>
      </c>
      <c r="AN98" s="228">
        <v>0.55000000000000004</v>
      </c>
      <c r="AO98" s="229">
        <v>1.52E-2</v>
      </c>
      <c r="AP98" s="228">
        <v>371.79</v>
      </c>
      <c r="AQ98" s="228">
        <v>374.17</v>
      </c>
      <c r="AR98" s="228">
        <v>0</v>
      </c>
      <c r="AS98" s="230">
        <v>4347</v>
      </c>
      <c r="AT98" s="230">
        <v>2010</v>
      </c>
      <c r="AU98" s="230">
        <v>2337</v>
      </c>
      <c r="AV98" s="229">
        <v>1.1624000000000001</v>
      </c>
      <c r="AW98" s="230">
        <v>1887</v>
      </c>
      <c r="AX98" s="228">
        <v>962</v>
      </c>
      <c r="AY98" s="228">
        <v>924</v>
      </c>
      <c r="AZ98" s="229">
        <v>0.96020000000000005</v>
      </c>
      <c r="BA98" s="230">
        <v>2435</v>
      </c>
      <c r="BB98" s="230">
        <v>1039</v>
      </c>
      <c r="BC98" s="230">
        <v>1396</v>
      </c>
      <c r="BD98" s="229">
        <v>1.3426</v>
      </c>
      <c r="BE98" s="228">
        <v>25</v>
      </c>
      <c r="BF98" s="228">
        <v>8</v>
      </c>
      <c r="BG98" s="228">
        <v>17</v>
      </c>
      <c r="BH98" s="229">
        <v>2.0301</v>
      </c>
      <c r="BI98" s="230">
        <v>7112</v>
      </c>
      <c r="BJ98" s="230">
        <v>1110</v>
      </c>
      <c r="BK98" s="230">
        <v>6001</v>
      </c>
      <c r="BL98" s="229">
        <v>5.4054000000000002</v>
      </c>
      <c r="BM98" s="230">
        <v>3102</v>
      </c>
      <c r="BN98" s="228">
        <v>429</v>
      </c>
      <c r="BO98" s="230">
        <v>2673</v>
      </c>
      <c r="BP98" s="229">
        <v>6.2309000000000001</v>
      </c>
      <c r="BQ98" s="230">
        <v>14561</v>
      </c>
      <c r="BR98" s="230">
        <v>3550</v>
      </c>
      <c r="BS98" s="230">
        <v>11011</v>
      </c>
      <c r="BT98" s="229">
        <v>3.1021999999999998</v>
      </c>
      <c r="BU98" s="230">
        <v>28047421</v>
      </c>
      <c r="BV98" s="230">
        <v>7745260</v>
      </c>
      <c r="BW98" s="230">
        <v>20302161</v>
      </c>
      <c r="BX98" s="229">
        <v>2.6212</v>
      </c>
      <c r="BY98" s="230">
        <v>3720</v>
      </c>
      <c r="BZ98" s="230">
        <v>3549</v>
      </c>
      <c r="CA98" s="228">
        <v>171</v>
      </c>
      <c r="CB98" s="229">
        <v>4.8099999999999997E-2</v>
      </c>
      <c r="CC98" s="228">
        <v>533</v>
      </c>
      <c r="CD98" s="230">
        <v>1667</v>
      </c>
      <c r="CE98" s="230">
        <v>-1134</v>
      </c>
      <c r="CF98" s="229">
        <v>-0.6804</v>
      </c>
      <c r="CG98" s="230">
        <v>3168</v>
      </c>
      <c r="CH98" s="230">
        <v>1868</v>
      </c>
      <c r="CI98" s="230">
        <v>1300</v>
      </c>
      <c r="CJ98" s="229">
        <v>0.69610000000000005</v>
      </c>
      <c r="CK98" s="228">
        <v>19</v>
      </c>
      <c r="CL98" s="228">
        <v>14</v>
      </c>
      <c r="CM98" s="228">
        <v>5</v>
      </c>
      <c r="CN98" s="229">
        <v>0.33639999999999998</v>
      </c>
      <c r="CO98" s="230">
        <v>1140</v>
      </c>
      <c r="CP98" s="228">
        <v>790</v>
      </c>
      <c r="CQ98" s="228">
        <v>350</v>
      </c>
      <c r="CR98" s="229">
        <v>0.44350000000000001</v>
      </c>
      <c r="CS98" s="228">
        <v>891</v>
      </c>
      <c r="CT98" s="228">
        <v>569</v>
      </c>
      <c r="CU98" s="228">
        <v>322</v>
      </c>
      <c r="CV98" s="229">
        <v>0.56599999999999995</v>
      </c>
      <c r="CW98" s="230">
        <v>5750</v>
      </c>
      <c r="CX98" s="230">
        <v>4907</v>
      </c>
      <c r="CY98" s="228">
        <v>843</v>
      </c>
      <c r="CZ98" s="229">
        <v>0.17180000000000001</v>
      </c>
      <c r="DA98" s="228">
        <v>34.090000000000003</v>
      </c>
      <c r="DB98" s="228">
        <v>31.08</v>
      </c>
      <c r="DC98" s="228">
        <v>3.01</v>
      </c>
      <c r="DD98" s="228">
        <v>3.01</v>
      </c>
      <c r="DE98" s="228">
        <v>39.71</v>
      </c>
      <c r="DF98" s="228">
        <v>39.64</v>
      </c>
      <c r="DG98" s="228">
        <v>-5.62</v>
      </c>
      <c r="DH98" s="228">
        <v>7.0000000000000007E-2</v>
      </c>
      <c r="DI98" s="228">
        <v>34.21</v>
      </c>
      <c r="DJ98" s="228">
        <v>31.12</v>
      </c>
      <c r="DK98" s="228">
        <v>3.09</v>
      </c>
      <c r="DL98" s="228">
        <v>3.09</v>
      </c>
      <c r="DM98" s="228">
        <v>33.82</v>
      </c>
      <c r="DN98" s="228">
        <v>30.98</v>
      </c>
      <c r="DO98" s="228">
        <v>2.84</v>
      </c>
      <c r="DP98" s="228">
        <v>2.84</v>
      </c>
      <c r="DQ98" s="228">
        <v>0.78</v>
      </c>
      <c r="DR98" s="228">
        <v>0.72</v>
      </c>
      <c r="DS98" s="228">
        <v>0.06</v>
      </c>
      <c r="DT98" s="229">
        <v>8.3299999999999999E-2</v>
      </c>
      <c r="DU98" s="228">
        <v>380</v>
      </c>
      <c r="DV98" s="228">
        <v>370</v>
      </c>
      <c r="DW98" s="228">
        <v>0.44</v>
      </c>
      <c r="DX98" s="228">
        <v>0.39</v>
      </c>
      <c r="DY98" s="228">
        <v>0.05</v>
      </c>
      <c r="DZ98" s="229">
        <v>0.12820000000000001</v>
      </c>
      <c r="EA98" s="229">
        <v>0.85680000000000001</v>
      </c>
      <c r="EB98" s="230">
        <v>50583500</v>
      </c>
      <c r="EC98" s="229">
        <v>5.4999999999999997E-3</v>
      </c>
      <c r="ED98" s="229">
        <v>0.85680000000000001</v>
      </c>
      <c r="EE98" s="228">
        <v>2.38</v>
      </c>
      <c r="EF98" s="229">
        <v>6.4000000000000003E-3</v>
      </c>
      <c r="EG98" s="230">
        <v>12046896</v>
      </c>
      <c r="EH98" s="230">
        <v>5153147</v>
      </c>
      <c r="EI98" s="229">
        <v>1.3378000000000001</v>
      </c>
      <c r="EJ98" s="229">
        <v>0.42949999999999999</v>
      </c>
      <c r="EK98" s="231">
        <v>7422.49</v>
      </c>
      <c r="EL98" s="231">
        <v>3063.65</v>
      </c>
      <c r="EM98" s="231">
        <v>4360.03</v>
      </c>
      <c r="EN98" s="228">
        <v>194.29</v>
      </c>
      <c r="EO98" s="231">
        <v>14846.17</v>
      </c>
      <c r="EP98" s="231">
        <v>3487.75</v>
      </c>
      <c r="EQ98" s="231">
        <v>11358.43</v>
      </c>
      <c r="ER98" s="229">
        <v>3.2566999999999999</v>
      </c>
      <c r="ES98" s="231">
        <v>1154.8499999999999</v>
      </c>
      <c r="ET98" s="228">
        <v>849.29</v>
      </c>
      <c r="EU98" s="231">
        <v>3737.28</v>
      </c>
      <c r="EV98" s="231">
        <v>197705578</v>
      </c>
      <c r="EW98" s="231">
        <v>5741.42</v>
      </c>
      <c r="EX98" s="231">
        <v>4780.01</v>
      </c>
      <c r="EY98" s="228">
        <v>961.41</v>
      </c>
      <c r="EZ98" s="229">
        <v>0.2011</v>
      </c>
      <c r="FA98" s="229">
        <v>0.78180000000000005</v>
      </c>
      <c r="FB98" s="227" t="s">
        <v>555</v>
      </c>
      <c r="FC98">
        <f t="shared" si="1"/>
        <v>3187</v>
      </c>
    </row>
    <row r="99" spans="1:159" ht="17.25" thickBot="1" x14ac:dyDescent="0.3">
      <c r="A99" s="226">
        <v>45957</v>
      </c>
      <c r="B99" s="227" t="s">
        <v>221</v>
      </c>
      <c r="C99" s="227" t="s">
        <v>240</v>
      </c>
      <c r="D99" s="228">
        <v>400</v>
      </c>
      <c r="E99" s="228">
        <v>1</v>
      </c>
      <c r="F99" s="231">
        <v>1505.4</v>
      </c>
      <c r="G99" s="231">
        <v>1501.3</v>
      </c>
      <c r="H99" s="228">
        <v>4.0999999999999996</v>
      </c>
      <c r="I99" s="229">
        <v>2.7000000000000001E-3</v>
      </c>
      <c r="J99" s="231">
        <v>1504.5</v>
      </c>
      <c r="K99" s="231">
        <v>1525.4</v>
      </c>
      <c r="L99" s="228">
        <v>-20.9</v>
      </c>
      <c r="M99" s="229">
        <v>-1.37E-2</v>
      </c>
      <c r="N99" s="231">
        <v>1505.4</v>
      </c>
      <c r="O99" s="231">
        <v>1501.3</v>
      </c>
      <c r="P99" s="228">
        <v>4.0999999999999996</v>
      </c>
      <c r="Q99" s="229">
        <v>2.7000000000000001E-3</v>
      </c>
      <c r="R99" s="231">
        <v>1504.1</v>
      </c>
      <c r="S99" s="231">
        <v>1500.3</v>
      </c>
      <c r="T99" s="228">
        <v>3.8</v>
      </c>
      <c r="U99" s="229">
        <v>2.5000000000000001E-3</v>
      </c>
      <c r="V99" s="231">
        <v>1506.5</v>
      </c>
      <c r="W99" s="231">
        <v>1502.9</v>
      </c>
      <c r="X99" s="228">
        <v>3.6</v>
      </c>
      <c r="Y99" s="229">
        <v>2.3999999999999998E-3</v>
      </c>
      <c r="Z99" s="228">
        <v>0.9</v>
      </c>
      <c r="AA99" s="228">
        <v>-24.1</v>
      </c>
      <c r="AB99" s="228">
        <v>25</v>
      </c>
      <c r="AC99" s="229">
        <v>5.9999999999999995E-4</v>
      </c>
      <c r="AD99" s="228">
        <v>0.9</v>
      </c>
      <c r="AE99" s="228">
        <v>-24.1</v>
      </c>
      <c r="AF99" s="228">
        <v>25</v>
      </c>
      <c r="AG99" s="229">
        <v>5.9999999999999995E-4</v>
      </c>
      <c r="AH99" s="228">
        <v>-0.4</v>
      </c>
      <c r="AI99" s="228">
        <v>-25.1</v>
      </c>
      <c r="AJ99" s="228">
        <v>24.7</v>
      </c>
      <c r="AK99" s="229">
        <v>-2.9999999999999997E-4</v>
      </c>
      <c r="AL99" s="228">
        <v>2</v>
      </c>
      <c r="AM99" s="228">
        <v>-22.5</v>
      </c>
      <c r="AN99" s="228">
        <v>24.5</v>
      </c>
      <c r="AO99" s="229">
        <v>1.2999999999999999E-3</v>
      </c>
      <c r="AP99" s="231">
        <v>1506.8</v>
      </c>
      <c r="AQ99" s="231">
        <v>1507.2</v>
      </c>
      <c r="AR99" s="228">
        <v>0</v>
      </c>
      <c r="AS99" s="230">
        <v>4777</v>
      </c>
      <c r="AT99" s="230">
        <v>4581</v>
      </c>
      <c r="AU99" s="228">
        <v>196</v>
      </c>
      <c r="AV99" s="229">
        <v>4.2799999999999998E-2</v>
      </c>
      <c r="AW99" s="230">
        <v>2303</v>
      </c>
      <c r="AX99" s="230">
        <v>2497</v>
      </c>
      <c r="AY99" s="228">
        <v>-194</v>
      </c>
      <c r="AZ99" s="229">
        <v>-7.7799999999999994E-2</v>
      </c>
      <c r="BA99" s="230">
        <v>2369</v>
      </c>
      <c r="BB99" s="230">
        <v>2039</v>
      </c>
      <c r="BC99" s="228">
        <v>330</v>
      </c>
      <c r="BD99" s="229">
        <v>0.16189999999999999</v>
      </c>
      <c r="BE99" s="228">
        <v>105</v>
      </c>
      <c r="BF99" s="228">
        <v>45</v>
      </c>
      <c r="BG99" s="228">
        <v>60</v>
      </c>
      <c r="BH99" s="229">
        <v>1.3541000000000001</v>
      </c>
      <c r="BI99" s="230">
        <v>9543</v>
      </c>
      <c r="BJ99" s="230">
        <v>12944</v>
      </c>
      <c r="BK99" s="230">
        <v>-3401</v>
      </c>
      <c r="BL99" s="229">
        <v>-0.26269999999999999</v>
      </c>
      <c r="BM99" s="230">
        <v>4215</v>
      </c>
      <c r="BN99" s="230">
        <v>5674</v>
      </c>
      <c r="BO99" s="230">
        <v>-1459</v>
      </c>
      <c r="BP99" s="229">
        <v>-0.25719999999999998</v>
      </c>
      <c r="BQ99" s="230">
        <v>18535</v>
      </c>
      <c r="BR99" s="230">
        <v>23199</v>
      </c>
      <c r="BS99" s="230">
        <v>-4664</v>
      </c>
      <c r="BT99" s="229">
        <v>-0.20100000000000001</v>
      </c>
      <c r="BU99" s="230">
        <v>7568599</v>
      </c>
      <c r="BV99" s="230">
        <v>9025426</v>
      </c>
      <c r="BW99" s="230">
        <v>-1456827</v>
      </c>
      <c r="BX99" s="229">
        <v>-0.16139999999999999</v>
      </c>
      <c r="BY99" s="230">
        <v>9851</v>
      </c>
      <c r="BZ99" s="230">
        <v>9820</v>
      </c>
      <c r="CA99" s="228">
        <v>31</v>
      </c>
      <c r="CB99" s="229">
        <v>3.2000000000000002E-3</v>
      </c>
      <c r="CC99" s="230">
        <v>1732</v>
      </c>
      <c r="CD99" s="230">
        <v>3260</v>
      </c>
      <c r="CE99" s="230">
        <v>-1528</v>
      </c>
      <c r="CF99" s="229">
        <v>-0.46860000000000002</v>
      </c>
      <c r="CG99" s="230">
        <v>7884</v>
      </c>
      <c r="CH99" s="230">
        <v>6382</v>
      </c>
      <c r="CI99" s="230">
        <v>1502</v>
      </c>
      <c r="CJ99" s="229">
        <v>0.2354</v>
      </c>
      <c r="CK99" s="228">
        <v>235</v>
      </c>
      <c r="CL99" s="228">
        <v>178</v>
      </c>
      <c r="CM99" s="228">
        <v>57</v>
      </c>
      <c r="CN99" s="229">
        <v>0.31759999999999999</v>
      </c>
      <c r="CO99" s="230">
        <v>6980</v>
      </c>
      <c r="CP99" s="230">
        <v>7488</v>
      </c>
      <c r="CQ99" s="228">
        <v>-508</v>
      </c>
      <c r="CR99" s="229">
        <v>-6.7799999999999999E-2</v>
      </c>
      <c r="CS99" s="230">
        <v>2938</v>
      </c>
      <c r="CT99" s="230">
        <v>3228</v>
      </c>
      <c r="CU99" s="228">
        <v>-290</v>
      </c>
      <c r="CV99" s="229">
        <v>-8.9700000000000002E-2</v>
      </c>
      <c r="CW99" s="230">
        <v>19770</v>
      </c>
      <c r="CX99" s="230">
        <v>20536</v>
      </c>
      <c r="CY99" s="228">
        <v>-766</v>
      </c>
      <c r="CZ99" s="229">
        <v>-3.73E-2</v>
      </c>
      <c r="DA99" s="228">
        <v>23.06</v>
      </c>
      <c r="DB99" s="228">
        <v>22.87</v>
      </c>
      <c r="DC99" s="228">
        <v>0.19</v>
      </c>
      <c r="DD99" s="228">
        <v>0.19</v>
      </c>
      <c r="DE99" s="228">
        <v>29.5</v>
      </c>
      <c r="DF99" s="228">
        <v>29.57</v>
      </c>
      <c r="DG99" s="228">
        <v>-6.44</v>
      </c>
      <c r="DH99" s="228">
        <v>-7.0000000000000007E-2</v>
      </c>
      <c r="DI99" s="228">
        <v>23.09</v>
      </c>
      <c r="DJ99" s="228">
        <v>23</v>
      </c>
      <c r="DK99" s="228">
        <v>0.09</v>
      </c>
      <c r="DL99" s="228">
        <v>0.09</v>
      </c>
      <c r="DM99" s="228">
        <v>22.99</v>
      </c>
      <c r="DN99" s="228">
        <v>22.53</v>
      </c>
      <c r="DO99" s="228">
        <v>0.46</v>
      </c>
      <c r="DP99" s="228">
        <v>0.46</v>
      </c>
      <c r="DQ99" s="228">
        <v>0.42</v>
      </c>
      <c r="DR99" s="228">
        <v>0.43</v>
      </c>
      <c r="DS99" s="228">
        <v>-0.01</v>
      </c>
      <c r="DT99" s="229">
        <v>-2.3300000000000001E-2</v>
      </c>
      <c r="DU99" s="231">
        <v>1560</v>
      </c>
      <c r="DV99" s="231">
        <v>1500</v>
      </c>
      <c r="DW99" s="228">
        <v>0.44</v>
      </c>
      <c r="DX99" s="228">
        <v>0.44</v>
      </c>
      <c r="DY99" s="228">
        <v>0</v>
      </c>
      <c r="DZ99" s="229">
        <v>0</v>
      </c>
      <c r="EA99" s="229">
        <v>0.82420000000000004</v>
      </c>
      <c r="EB99" s="230">
        <v>43578400</v>
      </c>
      <c r="EC99" s="229">
        <v>-8.9999999999999998E-4</v>
      </c>
      <c r="ED99" s="229">
        <v>0.82420000000000004</v>
      </c>
      <c r="EE99" s="228">
        <v>0.4</v>
      </c>
      <c r="EF99" s="229">
        <v>2.9999999999999997E-4</v>
      </c>
      <c r="EG99" s="230">
        <v>5015330</v>
      </c>
      <c r="EH99" s="230">
        <v>5449549</v>
      </c>
      <c r="EI99" s="229">
        <v>-7.9699999999999993E-2</v>
      </c>
      <c r="EJ99" s="229">
        <v>0.66259999999999997</v>
      </c>
      <c r="EK99" s="231">
        <v>9866.81</v>
      </c>
      <c r="EL99" s="231">
        <v>4142.08</v>
      </c>
      <c r="EM99" s="231">
        <v>4782.0600000000004</v>
      </c>
      <c r="EN99" s="228">
        <v>633.71</v>
      </c>
      <c r="EO99" s="231">
        <v>18790.96</v>
      </c>
      <c r="EP99" s="231">
        <v>23606.22</v>
      </c>
      <c r="EQ99" s="231">
        <v>-4815.26</v>
      </c>
      <c r="ER99" s="229">
        <v>-0.20399999999999999</v>
      </c>
      <c r="ES99" s="231">
        <v>7196.93</v>
      </c>
      <c r="ET99" s="231">
        <v>2828.64</v>
      </c>
      <c r="EU99" s="231">
        <v>9844.7000000000007</v>
      </c>
      <c r="EV99" s="231">
        <v>341789333</v>
      </c>
      <c r="EW99" s="231">
        <v>19870.27</v>
      </c>
      <c r="EX99" s="231">
        <v>20602.89</v>
      </c>
      <c r="EY99" s="228">
        <v>-732.62</v>
      </c>
      <c r="EZ99" s="229">
        <v>-3.56E-2</v>
      </c>
      <c r="FA99" s="229">
        <v>0.38419999999999999</v>
      </c>
      <c r="FB99" s="227" t="s">
        <v>555</v>
      </c>
      <c r="FC99">
        <f t="shared" si="1"/>
        <v>8119</v>
      </c>
    </row>
    <row r="100" spans="1:159" ht="17.25" thickBot="1" x14ac:dyDescent="0.3">
      <c r="A100" s="226">
        <v>45957</v>
      </c>
      <c r="B100" s="227" t="s">
        <v>161</v>
      </c>
      <c r="C100" s="227" t="s">
        <v>670</v>
      </c>
      <c r="D100" s="228">
        <v>3272</v>
      </c>
      <c r="E100" s="228">
        <v>1</v>
      </c>
      <c r="F100" s="228">
        <v>153.22</v>
      </c>
      <c r="G100" s="228">
        <v>153.85</v>
      </c>
      <c r="H100" s="228">
        <v>-0.63</v>
      </c>
      <c r="I100" s="229">
        <v>-4.1000000000000003E-3</v>
      </c>
      <c r="J100" s="228">
        <v>153.1</v>
      </c>
      <c r="K100" s="228">
        <v>154.08000000000001</v>
      </c>
      <c r="L100" s="228">
        <v>-0.98</v>
      </c>
      <c r="M100" s="229">
        <v>-6.4000000000000003E-3</v>
      </c>
      <c r="N100" s="228">
        <v>153.22</v>
      </c>
      <c r="O100" s="228">
        <v>153.85</v>
      </c>
      <c r="P100" s="228">
        <v>-0.63</v>
      </c>
      <c r="Q100" s="229">
        <v>-4.1000000000000003E-3</v>
      </c>
      <c r="R100" s="228">
        <v>154.06</v>
      </c>
      <c r="S100" s="228">
        <v>154.65</v>
      </c>
      <c r="T100" s="228">
        <v>-0.59</v>
      </c>
      <c r="U100" s="229">
        <v>-3.8E-3</v>
      </c>
      <c r="V100" s="228">
        <v>154.88999999999999</v>
      </c>
      <c r="W100" s="228">
        <v>155.68</v>
      </c>
      <c r="X100" s="228">
        <v>-0.79</v>
      </c>
      <c r="Y100" s="229">
        <v>-5.1000000000000004E-3</v>
      </c>
      <c r="Z100" s="228">
        <v>0.12</v>
      </c>
      <c r="AA100" s="228">
        <v>-0.23</v>
      </c>
      <c r="AB100" s="228">
        <v>0.35</v>
      </c>
      <c r="AC100" s="229">
        <v>8.0000000000000004E-4</v>
      </c>
      <c r="AD100" s="228">
        <v>0.12</v>
      </c>
      <c r="AE100" s="228">
        <v>-0.23</v>
      </c>
      <c r="AF100" s="228">
        <v>0.35</v>
      </c>
      <c r="AG100" s="229">
        <v>8.0000000000000004E-4</v>
      </c>
      <c r="AH100" s="228">
        <v>0.96</v>
      </c>
      <c r="AI100" s="228">
        <v>0.56999999999999995</v>
      </c>
      <c r="AJ100" s="228">
        <v>0.39</v>
      </c>
      <c r="AK100" s="229">
        <v>6.3E-3</v>
      </c>
      <c r="AL100" s="228">
        <v>1.79</v>
      </c>
      <c r="AM100" s="228">
        <v>1.6</v>
      </c>
      <c r="AN100" s="228">
        <v>0.19</v>
      </c>
      <c r="AO100" s="229">
        <v>1.17E-2</v>
      </c>
      <c r="AP100" s="228">
        <v>153.83000000000001</v>
      </c>
      <c r="AQ100" s="228">
        <v>154.66</v>
      </c>
      <c r="AR100" s="228">
        <v>0</v>
      </c>
      <c r="AS100" s="228">
        <v>562</v>
      </c>
      <c r="AT100" s="228">
        <v>661</v>
      </c>
      <c r="AU100" s="228">
        <v>-99</v>
      </c>
      <c r="AV100" s="229">
        <v>-0.1502</v>
      </c>
      <c r="AW100" s="228">
        <v>256</v>
      </c>
      <c r="AX100" s="228">
        <v>298</v>
      </c>
      <c r="AY100" s="228">
        <v>-42</v>
      </c>
      <c r="AZ100" s="229">
        <v>-0.14130000000000001</v>
      </c>
      <c r="BA100" s="228">
        <v>301</v>
      </c>
      <c r="BB100" s="228">
        <v>357</v>
      </c>
      <c r="BC100" s="228">
        <v>-56</v>
      </c>
      <c r="BD100" s="229">
        <v>-0.157</v>
      </c>
      <c r="BE100" s="228">
        <v>5</v>
      </c>
      <c r="BF100" s="228">
        <v>6</v>
      </c>
      <c r="BG100" s="228">
        <v>-1</v>
      </c>
      <c r="BH100" s="229">
        <v>-0.18640000000000001</v>
      </c>
      <c r="BI100" s="228">
        <v>279</v>
      </c>
      <c r="BJ100" s="228">
        <v>889</v>
      </c>
      <c r="BK100" s="228">
        <v>-610</v>
      </c>
      <c r="BL100" s="229">
        <v>-0.68630000000000002</v>
      </c>
      <c r="BM100" s="228">
        <v>91</v>
      </c>
      <c r="BN100" s="228">
        <v>384</v>
      </c>
      <c r="BO100" s="228">
        <v>-292</v>
      </c>
      <c r="BP100" s="229">
        <v>-0.76149999999999995</v>
      </c>
      <c r="BQ100" s="228">
        <v>932</v>
      </c>
      <c r="BR100" s="230">
        <v>1934</v>
      </c>
      <c r="BS100" s="230">
        <v>-1002</v>
      </c>
      <c r="BT100" s="229">
        <v>-0.51800000000000002</v>
      </c>
      <c r="BU100" s="230">
        <v>5257803</v>
      </c>
      <c r="BV100" s="230">
        <v>11163941</v>
      </c>
      <c r="BW100" s="230">
        <v>-5906138</v>
      </c>
      <c r="BX100" s="229">
        <v>-0.52900000000000003</v>
      </c>
      <c r="BY100" s="228">
        <v>842</v>
      </c>
      <c r="BZ100" s="228">
        <v>835</v>
      </c>
      <c r="CA100" s="228">
        <v>7</v>
      </c>
      <c r="CB100" s="229">
        <v>8.6E-3</v>
      </c>
      <c r="CC100" s="228">
        <v>167</v>
      </c>
      <c r="CD100" s="228">
        <v>367</v>
      </c>
      <c r="CE100" s="228">
        <v>-200</v>
      </c>
      <c r="CF100" s="229">
        <v>-0.54430000000000001</v>
      </c>
      <c r="CG100" s="228">
        <v>665</v>
      </c>
      <c r="CH100" s="228">
        <v>459</v>
      </c>
      <c r="CI100" s="228">
        <v>206</v>
      </c>
      <c r="CJ100" s="229">
        <v>0.44869999999999999</v>
      </c>
      <c r="CK100" s="228">
        <v>10</v>
      </c>
      <c r="CL100" s="228">
        <v>9</v>
      </c>
      <c r="CM100" s="228">
        <v>1</v>
      </c>
      <c r="CN100" s="229">
        <v>0.1186</v>
      </c>
      <c r="CO100" s="228">
        <v>340</v>
      </c>
      <c r="CP100" s="228">
        <v>375</v>
      </c>
      <c r="CQ100" s="228">
        <v>-35</v>
      </c>
      <c r="CR100" s="229">
        <v>-9.4500000000000001E-2</v>
      </c>
      <c r="CS100" s="228">
        <v>203</v>
      </c>
      <c r="CT100" s="228">
        <v>217</v>
      </c>
      <c r="CU100" s="228">
        <v>-14</v>
      </c>
      <c r="CV100" s="229">
        <v>-6.4199999999999993E-2</v>
      </c>
      <c r="CW100" s="230">
        <v>1385</v>
      </c>
      <c r="CX100" s="230">
        <v>1427</v>
      </c>
      <c r="CY100" s="228">
        <v>-42</v>
      </c>
      <c r="CZ100" s="229">
        <v>-2.9600000000000001E-2</v>
      </c>
      <c r="DA100" s="228">
        <v>38.04</v>
      </c>
      <c r="DB100" s="228">
        <v>38.590000000000003</v>
      </c>
      <c r="DC100" s="228">
        <v>-0.55000000000000004</v>
      </c>
      <c r="DD100" s="228">
        <v>-0.55000000000000004</v>
      </c>
      <c r="DE100" s="228">
        <v>56.05</v>
      </c>
      <c r="DF100" s="228">
        <v>56.18</v>
      </c>
      <c r="DG100" s="228">
        <v>-18.010000000000002</v>
      </c>
      <c r="DH100" s="228">
        <v>-0.13</v>
      </c>
      <c r="DI100" s="228">
        <v>38.17</v>
      </c>
      <c r="DJ100" s="228">
        <v>39.049999999999997</v>
      </c>
      <c r="DK100" s="228">
        <v>-0.88</v>
      </c>
      <c r="DL100" s="228">
        <v>-0.88</v>
      </c>
      <c r="DM100" s="228">
        <v>37.590000000000003</v>
      </c>
      <c r="DN100" s="228">
        <v>37.36</v>
      </c>
      <c r="DO100" s="228">
        <v>0.23</v>
      </c>
      <c r="DP100" s="228">
        <v>0.23</v>
      </c>
      <c r="DQ100" s="228">
        <v>0.6</v>
      </c>
      <c r="DR100" s="228">
        <v>0.57999999999999996</v>
      </c>
      <c r="DS100" s="228">
        <v>0.02</v>
      </c>
      <c r="DT100" s="229">
        <v>3.4500000000000003E-2</v>
      </c>
      <c r="DU100" s="228">
        <v>160</v>
      </c>
      <c r="DV100" s="228">
        <v>140</v>
      </c>
      <c r="DW100" s="228">
        <v>0.33</v>
      </c>
      <c r="DX100" s="228">
        <v>0.43</v>
      </c>
      <c r="DY100" s="228">
        <v>-0.1</v>
      </c>
      <c r="DZ100" s="229">
        <v>-0.2326</v>
      </c>
      <c r="EA100" s="229">
        <v>0.80130000000000001</v>
      </c>
      <c r="EB100" s="230">
        <v>30527760</v>
      </c>
      <c r="EC100" s="229">
        <v>5.4999999999999997E-3</v>
      </c>
      <c r="ED100" s="229">
        <v>0.80130000000000001</v>
      </c>
      <c r="EE100" s="228">
        <v>0.83</v>
      </c>
      <c r="EF100" s="229">
        <v>5.4000000000000003E-3</v>
      </c>
      <c r="EG100" s="230">
        <v>2708018</v>
      </c>
      <c r="EH100" s="230">
        <v>3660683</v>
      </c>
      <c r="EI100" s="229">
        <v>-0.26019999999999999</v>
      </c>
      <c r="EJ100" s="229">
        <v>0.51500000000000001</v>
      </c>
      <c r="EK100" s="228">
        <v>293.66000000000003</v>
      </c>
      <c r="EL100" s="228">
        <v>92.17</v>
      </c>
      <c r="EM100" s="228">
        <v>565.63</v>
      </c>
      <c r="EN100" s="228">
        <v>78.67</v>
      </c>
      <c r="EO100" s="228">
        <v>951.46</v>
      </c>
      <c r="EP100" s="231">
        <v>1988.57</v>
      </c>
      <c r="EQ100" s="231">
        <v>-1037.1099999999999</v>
      </c>
      <c r="ER100" s="229">
        <v>-0.52149999999999996</v>
      </c>
      <c r="ES100" s="228">
        <v>351.39</v>
      </c>
      <c r="ET100" s="228">
        <v>192.32</v>
      </c>
      <c r="EU100" s="228">
        <v>845.75</v>
      </c>
      <c r="EV100" s="231">
        <v>144708707</v>
      </c>
      <c r="EW100" s="231">
        <v>1389.46</v>
      </c>
      <c r="EX100" s="231">
        <v>1434.63</v>
      </c>
      <c r="EY100" s="228">
        <v>-45.17</v>
      </c>
      <c r="EZ100" s="229">
        <v>-3.15E-2</v>
      </c>
      <c r="FA100" s="229">
        <v>0.62450000000000006</v>
      </c>
      <c r="FB100" s="227" t="s">
        <v>567</v>
      </c>
      <c r="FC100">
        <f t="shared" si="1"/>
        <v>675</v>
      </c>
    </row>
    <row r="101" spans="1:159" ht="17.25" thickBot="1" x14ac:dyDescent="0.3">
      <c r="A101" s="226">
        <v>45957</v>
      </c>
      <c r="B101" s="227" t="s">
        <v>193</v>
      </c>
      <c r="C101" s="227" t="s">
        <v>241</v>
      </c>
      <c r="D101" s="228">
        <v>4875</v>
      </c>
      <c r="E101" s="228">
        <v>1</v>
      </c>
      <c r="F101" s="228">
        <v>155.16</v>
      </c>
      <c r="G101" s="228">
        <v>150.37</v>
      </c>
      <c r="H101" s="228">
        <v>4.79</v>
      </c>
      <c r="I101" s="229">
        <v>3.1899999999999998E-2</v>
      </c>
      <c r="J101" s="228">
        <v>155.19999999999999</v>
      </c>
      <c r="K101" s="228">
        <v>150.37</v>
      </c>
      <c r="L101" s="228">
        <v>4.83</v>
      </c>
      <c r="M101" s="229">
        <v>3.2099999999999997E-2</v>
      </c>
      <c r="N101" s="228">
        <v>155.16</v>
      </c>
      <c r="O101" s="228">
        <v>150.37</v>
      </c>
      <c r="P101" s="228">
        <v>4.79</v>
      </c>
      <c r="Q101" s="229">
        <v>3.1899999999999998E-2</v>
      </c>
      <c r="R101" s="228">
        <v>155.96</v>
      </c>
      <c r="S101" s="228">
        <v>151.13999999999999</v>
      </c>
      <c r="T101" s="228">
        <v>4.82</v>
      </c>
      <c r="U101" s="229">
        <v>3.1899999999999998E-2</v>
      </c>
      <c r="V101" s="228">
        <v>156.63</v>
      </c>
      <c r="W101" s="228">
        <v>151.85</v>
      </c>
      <c r="X101" s="228">
        <v>4.78</v>
      </c>
      <c r="Y101" s="229">
        <v>3.15E-2</v>
      </c>
      <c r="Z101" s="228">
        <v>-0.04</v>
      </c>
      <c r="AA101" s="228">
        <v>0</v>
      </c>
      <c r="AB101" s="228">
        <v>-0.04</v>
      </c>
      <c r="AC101" s="229">
        <v>-2.9999999999999997E-4</v>
      </c>
      <c r="AD101" s="228">
        <v>-0.04</v>
      </c>
      <c r="AE101" s="228">
        <v>0</v>
      </c>
      <c r="AF101" s="228">
        <v>-0.04</v>
      </c>
      <c r="AG101" s="229">
        <v>-2.9999999999999997E-4</v>
      </c>
      <c r="AH101" s="228">
        <v>0.76</v>
      </c>
      <c r="AI101" s="228">
        <v>0.77</v>
      </c>
      <c r="AJ101" s="228">
        <v>-0.01</v>
      </c>
      <c r="AK101" s="229">
        <v>4.8999999999999998E-3</v>
      </c>
      <c r="AL101" s="228">
        <v>1.43</v>
      </c>
      <c r="AM101" s="228">
        <v>1.48</v>
      </c>
      <c r="AN101" s="228">
        <v>-0.05</v>
      </c>
      <c r="AO101" s="229">
        <v>9.1999999999999998E-3</v>
      </c>
      <c r="AP101" s="228">
        <v>153.72999999999999</v>
      </c>
      <c r="AQ101" s="228">
        <v>154.63999999999999</v>
      </c>
      <c r="AR101" s="228">
        <v>0</v>
      </c>
      <c r="AS101" s="230">
        <v>1420</v>
      </c>
      <c r="AT101" s="230">
        <v>1391</v>
      </c>
      <c r="AU101" s="228">
        <v>28</v>
      </c>
      <c r="AV101" s="229">
        <v>2.0299999999999999E-2</v>
      </c>
      <c r="AW101" s="228">
        <v>651</v>
      </c>
      <c r="AX101" s="228">
        <v>685</v>
      </c>
      <c r="AY101" s="228">
        <v>-34</v>
      </c>
      <c r="AZ101" s="229">
        <v>-5.0200000000000002E-2</v>
      </c>
      <c r="BA101" s="228">
        <v>750</v>
      </c>
      <c r="BB101" s="228">
        <v>683</v>
      </c>
      <c r="BC101" s="228">
        <v>67</v>
      </c>
      <c r="BD101" s="229">
        <v>9.8199999999999996E-2</v>
      </c>
      <c r="BE101" s="228">
        <v>19</v>
      </c>
      <c r="BF101" s="228">
        <v>23</v>
      </c>
      <c r="BG101" s="228">
        <v>-4</v>
      </c>
      <c r="BH101" s="229">
        <v>-0.18709999999999999</v>
      </c>
      <c r="BI101" s="230">
        <v>2517</v>
      </c>
      <c r="BJ101" s="230">
        <v>1003</v>
      </c>
      <c r="BK101" s="230">
        <v>1514</v>
      </c>
      <c r="BL101" s="229">
        <v>1.5089999999999999</v>
      </c>
      <c r="BM101" s="228">
        <v>952</v>
      </c>
      <c r="BN101" s="228">
        <v>522</v>
      </c>
      <c r="BO101" s="228">
        <v>430</v>
      </c>
      <c r="BP101" s="229">
        <v>0.82279999999999998</v>
      </c>
      <c r="BQ101" s="230">
        <v>4889</v>
      </c>
      <c r="BR101" s="230">
        <v>2917</v>
      </c>
      <c r="BS101" s="230">
        <v>1972</v>
      </c>
      <c r="BT101" s="229">
        <v>0.67610000000000003</v>
      </c>
      <c r="BU101" s="230">
        <v>17398413</v>
      </c>
      <c r="BV101" s="230">
        <v>8739026</v>
      </c>
      <c r="BW101" s="230">
        <v>8659387</v>
      </c>
      <c r="BX101" s="229">
        <v>0.9909</v>
      </c>
      <c r="BY101" s="230">
        <v>1994</v>
      </c>
      <c r="BZ101" s="230">
        <v>1972</v>
      </c>
      <c r="CA101" s="228">
        <v>22</v>
      </c>
      <c r="CB101" s="229">
        <v>1.0999999999999999E-2</v>
      </c>
      <c r="CC101" s="228">
        <v>690</v>
      </c>
      <c r="CD101" s="230">
        <v>1080</v>
      </c>
      <c r="CE101" s="228">
        <v>-390</v>
      </c>
      <c r="CF101" s="229">
        <v>-0.36099999999999999</v>
      </c>
      <c r="CG101" s="230">
        <v>1282</v>
      </c>
      <c r="CH101" s="228">
        <v>871</v>
      </c>
      <c r="CI101" s="228">
        <v>411</v>
      </c>
      <c r="CJ101" s="229">
        <v>0.47120000000000001</v>
      </c>
      <c r="CK101" s="228">
        <v>22</v>
      </c>
      <c r="CL101" s="228">
        <v>21</v>
      </c>
      <c r="CM101" s="228">
        <v>1</v>
      </c>
      <c r="CN101" s="229">
        <v>5.4199999999999998E-2</v>
      </c>
      <c r="CO101" s="228">
        <v>967</v>
      </c>
      <c r="CP101" s="228">
        <v>873</v>
      </c>
      <c r="CQ101" s="228">
        <v>94</v>
      </c>
      <c r="CR101" s="229">
        <v>0.1071</v>
      </c>
      <c r="CS101" s="228">
        <v>669</v>
      </c>
      <c r="CT101" s="228">
        <v>595</v>
      </c>
      <c r="CU101" s="228">
        <v>74</v>
      </c>
      <c r="CV101" s="229">
        <v>0.125</v>
      </c>
      <c r="CW101" s="230">
        <v>3630</v>
      </c>
      <c r="CX101" s="230">
        <v>3440</v>
      </c>
      <c r="CY101" s="228">
        <v>190</v>
      </c>
      <c r="CZ101" s="229">
        <v>5.5100000000000003E-2</v>
      </c>
      <c r="DA101" s="228">
        <v>25.44</v>
      </c>
      <c r="DB101" s="228">
        <v>23.85</v>
      </c>
      <c r="DC101" s="228">
        <v>1.59</v>
      </c>
      <c r="DD101" s="228">
        <v>1.59</v>
      </c>
      <c r="DE101" s="228">
        <v>32.03</v>
      </c>
      <c r="DF101" s="228">
        <v>31.83</v>
      </c>
      <c r="DG101" s="228">
        <v>-6.59</v>
      </c>
      <c r="DH101" s="228">
        <v>0.2</v>
      </c>
      <c r="DI101" s="228">
        <v>25.54</v>
      </c>
      <c r="DJ101" s="228">
        <v>23.97</v>
      </c>
      <c r="DK101" s="228">
        <v>1.57</v>
      </c>
      <c r="DL101" s="228">
        <v>1.57</v>
      </c>
      <c r="DM101" s="228">
        <v>25.19</v>
      </c>
      <c r="DN101" s="228">
        <v>23.62</v>
      </c>
      <c r="DO101" s="228">
        <v>1.57</v>
      </c>
      <c r="DP101" s="228">
        <v>1.57</v>
      </c>
      <c r="DQ101" s="228">
        <v>0.69</v>
      </c>
      <c r="DR101" s="228">
        <v>0.68</v>
      </c>
      <c r="DS101" s="228">
        <v>0.01</v>
      </c>
      <c r="DT101" s="229">
        <v>1.47E-2</v>
      </c>
      <c r="DU101" s="228">
        <v>160</v>
      </c>
      <c r="DV101" s="228">
        <v>150</v>
      </c>
      <c r="DW101" s="228">
        <v>0.38</v>
      </c>
      <c r="DX101" s="228">
        <v>0.52</v>
      </c>
      <c r="DY101" s="228">
        <v>-0.14000000000000001</v>
      </c>
      <c r="DZ101" s="229">
        <v>-0.26919999999999999</v>
      </c>
      <c r="EA101" s="229">
        <v>0.65390000000000004</v>
      </c>
      <c r="EB101" s="230">
        <v>57505500</v>
      </c>
      <c r="EC101" s="229">
        <v>5.1999999999999998E-3</v>
      </c>
      <c r="ED101" s="229">
        <v>0.65390000000000004</v>
      </c>
      <c r="EE101" s="228">
        <v>0.91</v>
      </c>
      <c r="EF101" s="229">
        <v>5.8999999999999999E-3</v>
      </c>
      <c r="EG101" s="230">
        <v>8240771</v>
      </c>
      <c r="EH101" s="230">
        <v>4229650</v>
      </c>
      <c r="EI101" s="229">
        <v>0.94830000000000003</v>
      </c>
      <c r="EJ101" s="229">
        <v>0.47370000000000001</v>
      </c>
      <c r="EK101" s="231">
        <v>2563.38</v>
      </c>
      <c r="EL101" s="228">
        <v>938.34</v>
      </c>
      <c r="EM101" s="231">
        <v>1411.04</v>
      </c>
      <c r="EN101" s="228">
        <v>89.59</v>
      </c>
      <c r="EO101" s="231">
        <v>4912.76</v>
      </c>
      <c r="EP101" s="231">
        <v>2878.71</v>
      </c>
      <c r="EQ101" s="231">
        <v>2034.05</v>
      </c>
      <c r="ER101" s="229">
        <v>0.70660000000000001</v>
      </c>
      <c r="ES101" s="228">
        <v>985.81</v>
      </c>
      <c r="ET101" s="228">
        <v>643.03</v>
      </c>
      <c r="EU101" s="231">
        <v>2000.85</v>
      </c>
      <c r="EV101" s="231">
        <v>684903861</v>
      </c>
      <c r="EW101" s="231">
        <v>3629.69</v>
      </c>
      <c r="EX101" s="231">
        <v>3371.76</v>
      </c>
      <c r="EY101" s="228">
        <v>257.93</v>
      </c>
      <c r="EZ101" s="229">
        <v>7.6499999999999999E-2</v>
      </c>
      <c r="FA101" s="229">
        <v>0.34160000000000001</v>
      </c>
      <c r="FB101" s="227" t="s">
        <v>555</v>
      </c>
      <c r="FC101">
        <f t="shared" si="1"/>
        <v>1304</v>
      </c>
    </row>
    <row r="102" spans="1:159" ht="17.25" thickBot="1" x14ac:dyDescent="0.3">
      <c r="A102" s="226">
        <v>45957</v>
      </c>
      <c r="B102" s="227" t="s">
        <v>215</v>
      </c>
      <c r="C102" s="227" t="s">
        <v>490</v>
      </c>
      <c r="D102" s="228">
        <v>875</v>
      </c>
      <c r="E102" s="228">
        <v>1</v>
      </c>
      <c r="F102" s="228">
        <v>723.35</v>
      </c>
      <c r="G102" s="228">
        <v>716.55</v>
      </c>
      <c r="H102" s="228">
        <v>6.8</v>
      </c>
      <c r="I102" s="229">
        <v>9.4999999999999998E-3</v>
      </c>
      <c r="J102" s="228">
        <v>724.1</v>
      </c>
      <c r="K102" s="228">
        <v>714.8</v>
      </c>
      <c r="L102" s="228">
        <v>9.3000000000000007</v>
      </c>
      <c r="M102" s="229">
        <v>1.2999999999999999E-2</v>
      </c>
      <c r="N102" s="228">
        <v>723.35</v>
      </c>
      <c r="O102" s="228">
        <v>716.55</v>
      </c>
      <c r="P102" s="228">
        <v>6.8</v>
      </c>
      <c r="Q102" s="229">
        <v>9.4999999999999998E-3</v>
      </c>
      <c r="R102" s="228">
        <v>722.95</v>
      </c>
      <c r="S102" s="228">
        <v>716.2</v>
      </c>
      <c r="T102" s="228">
        <v>6.75</v>
      </c>
      <c r="U102" s="229">
        <v>9.4000000000000004E-3</v>
      </c>
      <c r="V102" s="228">
        <v>727.6</v>
      </c>
      <c r="W102" s="228">
        <v>721.2</v>
      </c>
      <c r="X102" s="228">
        <v>6.4</v>
      </c>
      <c r="Y102" s="229">
        <v>8.8999999999999999E-3</v>
      </c>
      <c r="Z102" s="228">
        <v>-0.75</v>
      </c>
      <c r="AA102" s="228">
        <v>1.75</v>
      </c>
      <c r="AB102" s="228">
        <v>-2.5</v>
      </c>
      <c r="AC102" s="229">
        <v>-1E-3</v>
      </c>
      <c r="AD102" s="228">
        <v>-0.75</v>
      </c>
      <c r="AE102" s="228">
        <v>1.75</v>
      </c>
      <c r="AF102" s="228">
        <v>-2.5</v>
      </c>
      <c r="AG102" s="229">
        <v>-1E-3</v>
      </c>
      <c r="AH102" s="228">
        <v>-1.1499999999999999</v>
      </c>
      <c r="AI102" s="228">
        <v>1.4</v>
      </c>
      <c r="AJ102" s="228">
        <v>-2.5499999999999998</v>
      </c>
      <c r="AK102" s="229">
        <v>-1.6000000000000001E-3</v>
      </c>
      <c r="AL102" s="228">
        <v>3.5</v>
      </c>
      <c r="AM102" s="228">
        <v>6.4</v>
      </c>
      <c r="AN102" s="228">
        <v>-2.9</v>
      </c>
      <c r="AO102" s="229">
        <v>4.7999999999999996E-3</v>
      </c>
      <c r="AP102" s="228">
        <v>720.71</v>
      </c>
      <c r="AQ102" s="228">
        <v>720.53</v>
      </c>
      <c r="AR102" s="228">
        <v>0</v>
      </c>
      <c r="AS102" s="228">
        <v>658</v>
      </c>
      <c r="AT102" s="228">
        <v>844</v>
      </c>
      <c r="AU102" s="228">
        <v>-186</v>
      </c>
      <c r="AV102" s="229">
        <v>-0.22</v>
      </c>
      <c r="AW102" s="228">
        <v>311</v>
      </c>
      <c r="AX102" s="228">
        <v>419</v>
      </c>
      <c r="AY102" s="228">
        <v>-108</v>
      </c>
      <c r="AZ102" s="229">
        <v>-0.25700000000000001</v>
      </c>
      <c r="BA102" s="228">
        <v>327</v>
      </c>
      <c r="BB102" s="228">
        <v>410</v>
      </c>
      <c r="BC102" s="228">
        <v>-83</v>
      </c>
      <c r="BD102" s="229">
        <v>-0.2034</v>
      </c>
      <c r="BE102" s="228">
        <v>20</v>
      </c>
      <c r="BF102" s="228">
        <v>15</v>
      </c>
      <c r="BG102" s="228">
        <v>5</v>
      </c>
      <c r="BH102" s="229">
        <v>0.36020000000000002</v>
      </c>
      <c r="BI102" s="228">
        <v>638</v>
      </c>
      <c r="BJ102" s="230">
        <v>1385</v>
      </c>
      <c r="BK102" s="228">
        <v>-746</v>
      </c>
      <c r="BL102" s="229">
        <v>-0.53910000000000002</v>
      </c>
      <c r="BM102" s="228">
        <v>301</v>
      </c>
      <c r="BN102" s="228">
        <v>408</v>
      </c>
      <c r="BO102" s="228">
        <v>-107</v>
      </c>
      <c r="BP102" s="229">
        <v>-0.26240000000000002</v>
      </c>
      <c r="BQ102" s="230">
        <v>1597</v>
      </c>
      <c r="BR102" s="230">
        <v>2636</v>
      </c>
      <c r="BS102" s="230">
        <v>-1039</v>
      </c>
      <c r="BT102" s="229">
        <v>-0.39410000000000001</v>
      </c>
      <c r="BU102" s="230">
        <v>1165477</v>
      </c>
      <c r="BV102" s="230">
        <v>1051251</v>
      </c>
      <c r="BW102" s="230">
        <v>114226</v>
      </c>
      <c r="BX102" s="229">
        <v>0.1087</v>
      </c>
      <c r="BY102" s="230">
        <v>1183</v>
      </c>
      <c r="BZ102" s="230">
        <v>1126</v>
      </c>
      <c r="CA102" s="228">
        <v>57</v>
      </c>
      <c r="CB102" s="229">
        <v>5.0599999999999999E-2</v>
      </c>
      <c r="CC102" s="228">
        <v>240</v>
      </c>
      <c r="CD102" s="228">
        <v>375</v>
      </c>
      <c r="CE102" s="228">
        <v>-135</v>
      </c>
      <c r="CF102" s="229">
        <v>-0.36030000000000001</v>
      </c>
      <c r="CG102" s="228">
        <v>907</v>
      </c>
      <c r="CH102" s="228">
        <v>723</v>
      </c>
      <c r="CI102" s="228">
        <v>184</v>
      </c>
      <c r="CJ102" s="229">
        <v>0.254</v>
      </c>
      <c r="CK102" s="228">
        <v>37</v>
      </c>
      <c r="CL102" s="228">
        <v>29</v>
      </c>
      <c r="CM102" s="228">
        <v>8</v>
      </c>
      <c r="CN102" s="229">
        <v>0.29049999999999998</v>
      </c>
      <c r="CO102" s="228">
        <v>641</v>
      </c>
      <c r="CP102" s="228">
        <v>690</v>
      </c>
      <c r="CQ102" s="228">
        <v>-49</v>
      </c>
      <c r="CR102" s="229">
        <v>-7.1199999999999999E-2</v>
      </c>
      <c r="CS102" s="228">
        <v>386</v>
      </c>
      <c r="CT102" s="228">
        <v>384</v>
      </c>
      <c r="CU102" s="228">
        <v>2</v>
      </c>
      <c r="CV102" s="229">
        <v>5.4000000000000003E-3</v>
      </c>
      <c r="CW102" s="230">
        <v>2210</v>
      </c>
      <c r="CX102" s="230">
        <v>2200</v>
      </c>
      <c r="CY102" s="228">
        <v>10</v>
      </c>
      <c r="CZ102" s="229">
        <v>4.4999999999999997E-3</v>
      </c>
      <c r="DA102" s="228">
        <v>22.8</v>
      </c>
      <c r="DB102" s="228">
        <v>23.05</v>
      </c>
      <c r="DC102" s="228">
        <v>-0.25</v>
      </c>
      <c r="DD102" s="228">
        <v>-0.25</v>
      </c>
      <c r="DE102" s="228">
        <v>30.79</v>
      </c>
      <c r="DF102" s="228">
        <v>30.84</v>
      </c>
      <c r="DG102" s="228">
        <v>-7.99</v>
      </c>
      <c r="DH102" s="228">
        <v>-0.05</v>
      </c>
      <c r="DI102" s="228">
        <v>23.04</v>
      </c>
      <c r="DJ102" s="228">
        <v>23.11</v>
      </c>
      <c r="DK102" s="228">
        <v>-7.0000000000000007E-2</v>
      </c>
      <c r="DL102" s="228">
        <v>-7.0000000000000007E-2</v>
      </c>
      <c r="DM102" s="228">
        <v>22.28</v>
      </c>
      <c r="DN102" s="228">
        <v>22.89</v>
      </c>
      <c r="DO102" s="228">
        <v>-0.61</v>
      </c>
      <c r="DP102" s="228">
        <v>-0.61</v>
      </c>
      <c r="DQ102" s="228">
        <v>0.6</v>
      </c>
      <c r="DR102" s="228">
        <v>0.56000000000000005</v>
      </c>
      <c r="DS102" s="228">
        <v>0.04</v>
      </c>
      <c r="DT102" s="229">
        <v>7.1400000000000005E-2</v>
      </c>
      <c r="DU102" s="228">
        <v>800</v>
      </c>
      <c r="DV102" s="228">
        <v>720</v>
      </c>
      <c r="DW102" s="228">
        <v>0.47</v>
      </c>
      <c r="DX102" s="228">
        <v>0.28999999999999998</v>
      </c>
      <c r="DY102" s="228">
        <v>0.18</v>
      </c>
      <c r="DZ102" s="229">
        <v>0.62070000000000003</v>
      </c>
      <c r="EA102" s="229">
        <v>0.79749999999999999</v>
      </c>
      <c r="EB102" s="230">
        <v>10393250</v>
      </c>
      <c r="EC102" s="229">
        <v>-5.9999999999999995E-4</v>
      </c>
      <c r="ED102" s="229">
        <v>0.79749999999999999</v>
      </c>
      <c r="EE102" s="228">
        <v>-0.18</v>
      </c>
      <c r="EF102" s="229">
        <v>-2.0000000000000001E-4</v>
      </c>
      <c r="EG102" s="230">
        <v>689856</v>
      </c>
      <c r="EH102" s="230">
        <v>516819</v>
      </c>
      <c r="EI102" s="229">
        <v>0.33479999999999999</v>
      </c>
      <c r="EJ102" s="229">
        <v>0.59189999999999998</v>
      </c>
      <c r="EK102" s="228">
        <v>655.84</v>
      </c>
      <c r="EL102" s="228">
        <v>306.08</v>
      </c>
      <c r="EM102" s="228">
        <v>655.82</v>
      </c>
      <c r="EN102" s="228">
        <v>78.62</v>
      </c>
      <c r="EO102" s="231">
        <v>1617.74</v>
      </c>
      <c r="EP102" s="231">
        <v>2668.59</v>
      </c>
      <c r="EQ102" s="231">
        <v>-1050.8599999999999</v>
      </c>
      <c r="ER102" s="229">
        <v>-0.39379999999999998</v>
      </c>
      <c r="ES102" s="228">
        <v>664.35</v>
      </c>
      <c r="ET102" s="228">
        <v>381.72</v>
      </c>
      <c r="EU102" s="231">
        <v>1183.17</v>
      </c>
      <c r="EV102" s="231">
        <v>30082783</v>
      </c>
      <c r="EW102" s="231">
        <v>2229.2399999999998</v>
      </c>
      <c r="EX102" s="231">
        <v>2209.54</v>
      </c>
      <c r="EY102" s="228">
        <v>19.7</v>
      </c>
      <c r="EZ102" s="229">
        <v>8.8999999999999999E-3</v>
      </c>
      <c r="FA102" s="229">
        <v>1.0158</v>
      </c>
      <c r="FB102" s="227" t="s">
        <v>555</v>
      </c>
      <c r="FC102">
        <f t="shared" si="1"/>
        <v>943</v>
      </c>
    </row>
    <row r="103" spans="1:159" ht="17.25" thickBot="1" x14ac:dyDescent="0.3">
      <c r="A103" s="226">
        <v>45957</v>
      </c>
      <c r="B103" s="227" t="s">
        <v>175</v>
      </c>
      <c r="C103" s="227" t="s">
        <v>665</v>
      </c>
      <c r="D103" s="228">
        <v>3450</v>
      </c>
      <c r="E103" s="228">
        <v>1</v>
      </c>
      <c r="F103" s="228">
        <v>153.79</v>
      </c>
      <c r="G103" s="228">
        <v>153.86000000000001</v>
      </c>
      <c r="H103" s="228">
        <v>-7.0000000000000007E-2</v>
      </c>
      <c r="I103" s="229">
        <v>-5.0000000000000001E-4</v>
      </c>
      <c r="J103" s="228">
        <v>153.37</v>
      </c>
      <c r="K103" s="228">
        <v>153.4</v>
      </c>
      <c r="L103" s="228">
        <v>-0.03</v>
      </c>
      <c r="M103" s="229">
        <v>-2.0000000000000001E-4</v>
      </c>
      <c r="N103" s="228">
        <v>153.79</v>
      </c>
      <c r="O103" s="228">
        <v>153.86000000000001</v>
      </c>
      <c r="P103" s="228">
        <v>-7.0000000000000007E-2</v>
      </c>
      <c r="Q103" s="229">
        <v>-5.0000000000000001E-4</v>
      </c>
      <c r="R103" s="228">
        <v>153.75</v>
      </c>
      <c r="S103" s="228">
        <v>152.52000000000001</v>
      </c>
      <c r="T103" s="228">
        <v>1.23</v>
      </c>
      <c r="U103" s="229">
        <v>8.0999999999999996E-3</v>
      </c>
      <c r="V103" s="228">
        <v>153.41</v>
      </c>
      <c r="W103" s="228">
        <v>152.13999999999999</v>
      </c>
      <c r="X103" s="228">
        <v>1.27</v>
      </c>
      <c r="Y103" s="229">
        <v>8.3000000000000001E-3</v>
      </c>
      <c r="Z103" s="228">
        <v>0.42</v>
      </c>
      <c r="AA103" s="228">
        <v>0.46</v>
      </c>
      <c r="AB103" s="228">
        <v>-0.04</v>
      </c>
      <c r="AC103" s="229">
        <v>2.7000000000000001E-3</v>
      </c>
      <c r="AD103" s="228">
        <v>0.42</v>
      </c>
      <c r="AE103" s="228">
        <v>0.46</v>
      </c>
      <c r="AF103" s="228">
        <v>-0.04</v>
      </c>
      <c r="AG103" s="229">
        <v>2.7000000000000001E-3</v>
      </c>
      <c r="AH103" s="228">
        <v>0.38</v>
      </c>
      <c r="AI103" s="228">
        <v>-0.88</v>
      </c>
      <c r="AJ103" s="228">
        <v>1.26</v>
      </c>
      <c r="AK103" s="229">
        <v>2.5000000000000001E-3</v>
      </c>
      <c r="AL103" s="228">
        <v>0.04</v>
      </c>
      <c r="AM103" s="228">
        <v>-1.26</v>
      </c>
      <c r="AN103" s="228">
        <v>1.3</v>
      </c>
      <c r="AO103" s="229">
        <v>2.9999999999999997E-4</v>
      </c>
      <c r="AP103" s="228">
        <v>154.88999999999999</v>
      </c>
      <c r="AQ103" s="228">
        <v>154.27000000000001</v>
      </c>
      <c r="AR103" s="228">
        <v>0</v>
      </c>
      <c r="AS103" s="228">
        <v>649</v>
      </c>
      <c r="AT103" s="228">
        <v>545</v>
      </c>
      <c r="AU103" s="228">
        <v>104</v>
      </c>
      <c r="AV103" s="229">
        <v>0.1915</v>
      </c>
      <c r="AW103" s="228">
        <v>317</v>
      </c>
      <c r="AX103" s="228">
        <v>289</v>
      </c>
      <c r="AY103" s="228">
        <v>28</v>
      </c>
      <c r="AZ103" s="229">
        <v>9.74E-2</v>
      </c>
      <c r="BA103" s="228">
        <v>323</v>
      </c>
      <c r="BB103" s="228">
        <v>249</v>
      </c>
      <c r="BC103" s="228">
        <v>74</v>
      </c>
      <c r="BD103" s="229">
        <v>0.29899999999999999</v>
      </c>
      <c r="BE103" s="228">
        <v>10</v>
      </c>
      <c r="BF103" s="228">
        <v>8</v>
      </c>
      <c r="BG103" s="228">
        <v>2</v>
      </c>
      <c r="BH103" s="229">
        <v>0.24490000000000001</v>
      </c>
      <c r="BI103" s="228">
        <v>493</v>
      </c>
      <c r="BJ103" s="228">
        <v>566</v>
      </c>
      <c r="BK103" s="228">
        <v>-73</v>
      </c>
      <c r="BL103" s="229">
        <v>-0.12859999999999999</v>
      </c>
      <c r="BM103" s="228">
        <v>166</v>
      </c>
      <c r="BN103" s="228">
        <v>192</v>
      </c>
      <c r="BO103" s="228">
        <v>-27</v>
      </c>
      <c r="BP103" s="229">
        <v>-0.13880000000000001</v>
      </c>
      <c r="BQ103" s="230">
        <v>1308</v>
      </c>
      <c r="BR103" s="230">
        <v>1303</v>
      </c>
      <c r="BS103" s="228">
        <v>5</v>
      </c>
      <c r="BT103" s="229">
        <v>3.8E-3</v>
      </c>
      <c r="BU103" s="230">
        <v>7507527</v>
      </c>
      <c r="BV103" s="230">
        <v>7629782</v>
      </c>
      <c r="BW103" s="230">
        <v>-122255</v>
      </c>
      <c r="BX103" s="229">
        <v>-1.6E-2</v>
      </c>
      <c r="BY103" s="228">
        <v>660</v>
      </c>
      <c r="BZ103" s="228">
        <v>733</v>
      </c>
      <c r="CA103" s="228">
        <v>-73</v>
      </c>
      <c r="CB103" s="229">
        <v>-9.9699999999999997E-2</v>
      </c>
      <c r="CC103" s="228">
        <v>140</v>
      </c>
      <c r="CD103" s="228">
        <v>307</v>
      </c>
      <c r="CE103" s="228">
        <v>-166</v>
      </c>
      <c r="CF103" s="229">
        <v>-0.5423</v>
      </c>
      <c r="CG103" s="228">
        <v>480</v>
      </c>
      <c r="CH103" s="228">
        <v>388</v>
      </c>
      <c r="CI103" s="228">
        <v>92</v>
      </c>
      <c r="CJ103" s="229">
        <v>0.23830000000000001</v>
      </c>
      <c r="CK103" s="228">
        <v>40</v>
      </c>
      <c r="CL103" s="228">
        <v>39</v>
      </c>
      <c r="CM103" s="228">
        <v>1</v>
      </c>
      <c r="CN103" s="229">
        <v>2.0400000000000001E-2</v>
      </c>
      <c r="CO103" s="228">
        <v>455</v>
      </c>
      <c r="CP103" s="228">
        <v>532</v>
      </c>
      <c r="CQ103" s="228">
        <v>-77</v>
      </c>
      <c r="CR103" s="229">
        <v>-0.1452</v>
      </c>
      <c r="CS103" s="228">
        <v>239</v>
      </c>
      <c r="CT103" s="228">
        <v>252</v>
      </c>
      <c r="CU103" s="228">
        <v>-13</v>
      </c>
      <c r="CV103" s="229">
        <v>-5.2200000000000003E-2</v>
      </c>
      <c r="CW103" s="230">
        <v>1354</v>
      </c>
      <c r="CX103" s="230">
        <v>1517</v>
      </c>
      <c r="CY103" s="228">
        <v>-164</v>
      </c>
      <c r="CZ103" s="229">
        <v>-0.10780000000000001</v>
      </c>
      <c r="DA103" s="228">
        <v>33.770000000000003</v>
      </c>
      <c r="DB103" s="228">
        <v>32.33</v>
      </c>
      <c r="DC103" s="228">
        <v>1.44</v>
      </c>
      <c r="DD103" s="228">
        <v>1.44</v>
      </c>
      <c r="DE103" s="228">
        <v>51.74</v>
      </c>
      <c r="DF103" s="228">
        <v>51.87</v>
      </c>
      <c r="DG103" s="228">
        <v>-17.97</v>
      </c>
      <c r="DH103" s="228">
        <v>-0.13</v>
      </c>
      <c r="DI103" s="228">
        <v>33.700000000000003</v>
      </c>
      <c r="DJ103" s="228">
        <v>32.58</v>
      </c>
      <c r="DK103" s="228">
        <v>1.1200000000000001</v>
      </c>
      <c r="DL103" s="228">
        <v>1.1200000000000001</v>
      </c>
      <c r="DM103" s="228">
        <v>33.94</v>
      </c>
      <c r="DN103" s="228">
        <v>31.65</v>
      </c>
      <c r="DO103" s="228">
        <v>2.29</v>
      </c>
      <c r="DP103" s="228">
        <v>2.29</v>
      </c>
      <c r="DQ103" s="228">
        <v>0.52</v>
      </c>
      <c r="DR103" s="228">
        <v>0.47</v>
      </c>
      <c r="DS103" s="228">
        <v>0.05</v>
      </c>
      <c r="DT103" s="229">
        <v>0.10639999999999999</v>
      </c>
      <c r="DU103" s="228">
        <v>160</v>
      </c>
      <c r="DV103" s="228">
        <v>150</v>
      </c>
      <c r="DW103" s="228">
        <v>0.34</v>
      </c>
      <c r="DX103" s="228">
        <v>0.34</v>
      </c>
      <c r="DY103" s="228">
        <v>0</v>
      </c>
      <c r="DZ103" s="229">
        <v>0</v>
      </c>
      <c r="EA103" s="229">
        <v>0.78739999999999999</v>
      </c>
      <c r="EB103" s="230">
        <v>27738000</v>
      </c>
      <c r="EC103" s="229">
        <v>-2.9999999999999997E-4</v>
      </c>
      <c r="ED103" s="229">
        <v>0.78739999999999999</v>
      </c>
      <c r="EE103" s="228">
        <v>-0.62</v>
      </c>
      <c r="EF103" s="229">
        <v>-4.0000000000000001E-3</v>
      </c>
      <c r="EG103" s="230">
        <v>2831628</v>
      </c>
      <c r="EH103" s="230">
        <v>1913114</v>
      </c>
      <c r="EI103" s="229">
        <v>0.48010000000000003</v>
      </c>
      <c r="EJ103" s="229">
        <v>0.37719999999999998</v>
      </c>
      <c r="EK103" s="228">
        <v>514.96</v>
      </c>
      <c r="EL103" s="228">
        <v>164.55</v>
      </c>
      <c r="EM103" s="228">
        <v>652.71</v>
      </c>
      <c r="EN103" s="228">
        <v>61.17</v>
      </c>
      <c r="EO103" s="231">
        <v>1332.22</v>
      </c>
      <c r="EP103" s="231">
        <v>1326.39</v>
      </c>
      <c r="EQ103" s="228">
        <v>5.83</v>
      </c>
      <c r="ER103" s="229">
        <v>4.4000000000000003E-3</v>
      </c>
      <c r="ES103" s="228">
        <v>477.55</v>
      </c>
      <c r="ET103" s="228">
        <v>231.34</v>
      </c>
      <c r="EU103" s="228">
        <v>659.87</v>
      </c>
      <c r="EV103" s="231">
        <v>119011160</v>
      </c>
      <c r="EW103" s="231">
        <v>1368.76</v>
      </c>
      <c r="EX103" s="231">
        <v>1531.81</v>
      </c>
      <c r="EY103" s="228">
        <v>-163.05000000000001</v>
      </c>
      <c r="EZ103" s="229">
        <v>-0.10639999999999999</v>
      </c>
      <c r="FA103" s="229">
        <v>0.73970000000000002</v>
      </c>
      <c r="FB103" s="227" t="s">
        <v>568</v>
      </c>
      <c r="FC103">
        <f t="shared" si="1"/>
        <v>520</v>
      </c>
    </row>
    <row r="104" spans="1:159" ht="17.25" thickBot="1" x14ac:dyDescent="0.3">
      <c r="A104" s="226">
        <v>45957</v>
      </c>
      <c r="B104" s="227" t="s">
        <v>215</v>
      </c>
      <c r="C104" s="227" t="s">
        <v>592</v>
      </c>
      <c r="D104" s="228">
        <v>4250</v>
      </c>
      <c r="E104" s="228">
        <v>1</v>
      </c>
      <c r="F104" s="228">
        <v>123.66</v>
      </c>
      <c r="G104" s="228">
        <v>123.62</v>
      </c>
      <c r="H104" s="228">
        <v>0.04</v>
      </c>
      <c r="I104" s="229">
        <v>2.9999999999999997E-4</v>
      </c>
      <c r="J104" s="228">
        <v>123.45</v>
      </c>
      <c r="K104" s="228">
        <v>123.73</v>
      </c>
      <c r="L104" s="228">
        <v>-0.28000000000000003</v>
      </c>
      <c r="M104" s="229">
        <v>-2.3E-3</v>
      </c>
      <c r="N104" s="228">
        <v>123.66</v>
      </c>
      <c r="O104" s="228">
        <v>123.62</v>
      </c>
      <c r="P104" s="228">
        <v>0.04</v>
      </c>
      <c r="Q104" s="229">
        <v>2.9999999999999997E-4</v>
      </c>
      <c r="R104" s="228">
        <v>124.3</v>
      </c>
      <c r="S104" s="228">
        <v>124.22</v>
      </c>
      <c r="T104" s="228">
        <v>0.08</v>
      </c>
      <c r="U104" s="229">
        <v>5.9999999999999995E-4</v>
      </c>
      <c r="V104" s="228">
        <v>125.07</v>
      </c>
      <c r="W104" s="228">
        <v>124.97</v>
      </c>
      <c r="X104" s="228">
        <v>0.1</v>
      </c>
      <c r="Y104" s="229">
        <v>8.0000000000000004E-4</v>
      </c>
      <c r="Z104" s="228">
        <v>0.21</v>
      </c>
      <c r="AA104" s="228">
        <v>-0.11</v>
      </c>
      <c r="AB104" s="228">
        <v>0.32</v>
      </c>
      <c r="AC104" s="229">
        <v>1.6999999999999999E-3</v>
      </c>
      <c r="AD104" s="228">
        <v>0.21</v>
      </c>
      <c r="AE104" s="228">
        <v>-0.11</v>
      </c>
      <c r="AF104" s="228">
        <v>0.32</v>
      </c>
      <c r="AG104" s="229">
        <v>1.6999999999999999E-3</v>
      </c>
      <c r="AH104" s="228">
        <v>0.85</v>
      </c>
      <c r="AI104" s="228">
        <v>0.49</v>
      </c>
      <c r="AJ104" s="228">
        <v>0.36</v>
      </c>
      <c r="AK104" s="229">
        <v>6.8999999999999999E-3</v>
      </c>
      <c r="AL104" s="228">
        <v>1.62</v>
      </c>
      <c r="AM104" s="228">
        <v>1.24</v>
      </c>
      <c r="AN104" s="228">
        <v>0.38</v>
      </c>
      <c r="AO104" s="229">
        <v>1.3100000000000001E-2</v>
      </c>
      <c r="AP104" s="228">
        <v>123.83</v>
      </c>
      <c r="AQ104" s="228">
        <v>124.47</v>
      </c>
      <c r="AR104" s="228">
        <v>0</v>
      </c>
      <c r="AS104" s="228">
        <v>372</v>
      </c>
      <c r="AT104" s="228">
        <v>395</v>
      </c>
      <c r="AU104" s="228">
        <v>-23</v>
      </c>
      <c r="AV104" s="229">
        <v>-5.8700000000000002E-2</v>
      </c>
      <c r="AW104" s="228">
        <v>181</v>
      </c>
      <c r="AX104" s="228">
        <v>196</v>
      </c>
      <c r="AY104" s="228">
        <v>-15</v>
      </c>
      <c r="AZ104" s="229">
        <v>-7.4800000000000005E-2</v>
      </c>
      <c r="BA104" s="228">
        <v>185</v>
      </c>
      <c r="BB104" s="228">
        <v>193</v>
      </c>
      <c r="BC104" s="228">
        <v>-8</v>
      </c>
      <c r="BD104" s="229">
        <v>-4.36E-2</v>
      </c>
      <c r="BE104" s="228">
        <v>6</v>
      </c>
      <c r="BF104" s="228">
        <v>6</v>
      </c>
      <c r="BG104" s="228">
        <v>0</v>
      </c>
      <c r="BH104" s="229">
        <v>-1.7899999999999999E-2</v>
      </c>
      <c r="BI104" s="228">
        <v>209</v>
      </c>
      <c r="BJ104" s="228">
        <v>234</v>
      </c>
      <c r="BK104" s="228">
        <v>-25</v>
      </c>
      <c r="BL104" s="229">
        <v>-0.1074</v>
      </c>
      <c r="BM104" s="228">
        <v>119</v>
      </c>
      <c r="BN104" s="228">
        <v>92</v>
      </c>
      <c r="BO104" s="228">
        <v>27</v>
      </c>
      <c r="BP104" s="229">
        <v>0.29430000000000001</v>
      </c>
      <c r="BQ104" s="228">
        <v>700</v>
      </c>
      <c r="BR104" s="228">
        <v>721</v>
      </c>
      <c r="BS104" s="228">
        <v>-21</v>
      </c>
      <c r="BT104" s="229">
        <v>-2.9499999999999998E-2</v>
      </c>
      <c r="BU104" s="230">
        <v>5666625</v>
      </c>
      <c r="BV104" s="230">
        <v>6327151</v>
      </c>
      <c r="BW104" s="230">
        <v>-660526</v>
      </c>
      <c r="BX104" s="229">
        <v>-0.10440000000000001</v>
      </c>
      <c r="BY104" s="228">
        <v>552</v>
      </c>
      <c r="BZ104" s="228">
        <v>566</v>
      </c>
      <c r="CA104" s="228">
        <v>-13</v>
      </c>
      <c r="CB104" s="229">
        <v>-2.3099999999999999E-2</v>
      </c>
      <c r="CC104" s="228">
        <v>150</v>
      </c>
      <c r="CD104" s="228">
        <v>277</v>
      </c>
      <c r="CE104" s="228">
        <v>-127</v>
      </c>
      <c r="CF104" s="229">
        <v>-0.45860000000000001</v>
      </c>
      <c r="CG104" s="228">
        <v>380</v>
      </c>
      <c r="CH104" s="228">
        <v>269</v>
      </c>
      <c r="CI104" s="228">
        <v>111</v>
      </c>
      <c r="CJ104" s="229">
        <v>0.41089999999999999</v>
      </c>
      <c r="CK104" s="228">
        <v>23</v>
      </c>
      <c r="CL104" s="228">
        <v>19</v>
      </c>
      <c r="CM104" s="228">
        <v>3</v>
      </c>
      <c r="CN104" s="229">
        <v>0.17660000000000001</v>
      </c>
      <c r="CO104" s="228">
        <v>458</v>
      </c>
      <c r="CP104" s="228">
        <v>470</v>
      </c>
      <c r="CQ104" s="228">
        <v>-13</v>
      </c>
      <c r="CR104" s="229">
        <v>-2.7E-2</v>
      </c>
      <c r="CS104" s="228">
        <v>213</v>
      </c>
      <c r="CT104" s="228">
        <v>216</v>
      </c>
      <c r="CU104" s="228">
        <v>-3</v>
      </c>
      <c r="CV104" s="229">
        <v>-1.41E-2</v>
      </c>
      <c r="CW104" s="230">
        <v>1223</v>
      </c>
      <c r="CX104" s="230">
        <v>1252</v>
      </c>
      <c r="CY104" s="228">
        <v>-29</v>
      </c>
      <c r="CZ104" s="229">
        <v>-2.3E-2</v>
      </c>
      <c r="DA104" s="228">
        <v>27.63</v>
      </c>
      <c r="DB104" s="228">
        <v>27.44</v>
      </c>
      <c r="DC104" s="228">
        <v>0.19</v>
      </c>
      <c r="DD104" s="228">
        <v>0.19</v>
      </c>
      <c r="DE104" s="228">
        <v>46.98</v>
      </c>
      <c r="DF104" s="228">
        <v>47.1</v>
      </c>
      <c r="DG104" s="228">
        <v>-19.350000000000001</v>
      </c>
      <c r="DH104" s="228">
        <v>-0.12</v>
      </c>
      <c r="DI104" s="228">
        <v>28.09</v>
      </c>
      <c r="DJ104" s="228">
        <v>27.84</v>
      </c>
      <c r="DK104" s="228">
        <v>0.25</v>
      </c>
      <c r="DL104" s="228">
        <v>0.25</v>
      </c>
      <c r="DM104" s="228">
        <v>26.94</v>
      </c>
      <c r="DN104" s="228">
        <v>26.77</v>
      </c>
      <c r="DO104" s="228">
        <v>0.17</v>
      </c>
      <c r="DP104" s="228">
        <v>0.17</v>
      </c>
      <c r="DQ104" s="228">
        <v>0.47</v>
      </c>
      <c r="DR104" s="228">
        <v>0.46</v>
      </c>
      <c r="DS104" s="228">
        <v>0.01</v>
      </c>
      <c r="DT104" s="229">
        <v>2.1700000000000001E-2</v>
      </c>
      <c r="DU104" s="228">
        <v>130</v>
      </c>
      <c r="DV104" s="228">
        <v>120</v>
      </c>
      <c r="DW104" s="228">
        <v>0.56999999999999995</v>
      </c>
      <c r="DX104" s="228">
        <v>0.39</v>
      </c>
      <c r="DY104" s="228">
        <v>0.18</v>
      </c>
      <c r="DZ104" s="229">
        <v>0.46150000000000002</v>
      </c>
      <c r="EA104" s="229">
        <v>0.72840000000000005</v>
      </c>
      <c r="EB104" s="230">
        <v>23324000</v>
      </c>
      <c r="EC104" s="229">
        <v>5.1999999999999998E-3</v>
      </c>
      <c r="ED104" s="229">
        <v>0.72840000000000005</v>
      </c>
      <c r="EE104" s="228">
        <v>0.64</v>
      </c>
      <c r="EF104" s="229">
        <v>5.1999999999999998E-3</v>
      </c>
      <c r="EG104" s="230">
        <v>2744078</v>
      </c>
      <c r="EH104" s="230">
        <v>2874806</v>
      </c>
      <c r="EI104" s="229">
        <v>-4.5499999999999999E-2</v>
      </c>
      <c r="EJ104" s="229">
        <v>0.48430000000000001</v>
      </c>
      <c r="EK104" s="228">
        <v>218.2</v>
      </c>
      <c r="EL104" s="228">
        <v>123.6</v>
      </c>
      <c r="EM104" s="228">
        <v>373.19</v>
      </c>
      <c r="EN104" s="228">
        <v>37.340000000000003</v>
      </c>
      <c r="EO104" s="228">
        <v>714.99</v>
      </c>
      <c r="EP104" s="228">
        <v>734.53</v>
      </c>
      <c r="EQ104" s="228">
        <v>-19.54</v>
      </c>
      <c r="ER104" s="229">
        <v>-2.6599999999999999E-2</v>
      </c>
      <c r="ES104" s="228">
        <v>488.74</v>
      </c>
      <c r="ET104" s="228">
        <v>211.47</v>
      </c>
      <c r="EU104" s="228">
        <v>554.69000000000005</v>
      </c>
      <c r="EV104" s="231">
        <v>226853356</v>
      </c>
      <c r="EW104" s="231">
        <v>1254.9100000000001</v>
      </c>
      <c r="EX104" s="231">
        <v>1284.26</v>
      </c>
      <c r="EY104" s="228">
        <v>-29.35</v>
      </c>
      <c r="EZ104" s="229">
        <v>-2.29E-2</v>
      </c>
      <c r="FA104" s="229">
        <v>0.43609999999999999</v>
      </c>
      <c r="FB104" s="227" t="s">
        <v>556</v>
      </c>
      <c r="FC104">
        <f t="shared" si="1"/>
        <v>402</v>
      </c>
    </row>
    <row r="105" spans="1:159" ht="17.25" thickBot="1" x14ac:dyDescent="0.3">
      <c r="A105" s="226">
        <v>45957</v>
      </c>
      <c r="B105" s="227" t="s">
        <v>168</v>
      </c>
      <c r="C105" s="227" t="s">
        <v>242</v>
      </c>
      <c r="D105" s="228">
        <v>1600</v>
      </c>
      <c r="E105" s="228">
        <v>1</v>
      </c>
      <c r="F105" s="228">
        <v>420.7</v>
      </c>
      <c r="G105" s="228">
        <v>417.35</v>
      </c>
      <c r="H105" s="228">
        <v>3.35</v>
      </c>
      <c r="I105" s="229">
        <v>8.0000000000000002E-3</v>
      </c>
      <c r="J105" s="228">
        <v>420.65</v>
      </c>
      <c r="K105" s="228">
        <v>416.8</v>
      </c>
      <c r="L105" s="228">
        <v>3.85</v>
      </c>
      <c r="M105" s="229">
        <v>9.1999999999999998E-3</v>
      </c>
      <c r="N105" s="228">
        <v>420.7</v>
      </c>
      <c r="O105" s="228">
        <v>417.35</v>
      </c>
      <c r="P105" s="228">
        <v>3.35</v>
      </c>
      <c r="Q105" s="229">
        <v>8.0000000000000002E-3</v>
      </c>
      <c r="R105" s="228">
        <v>423.15</v>
      </c>
      <c r="S105" s="228">
        <v>419.7</v>
      </c>
      <c r="T105" s="228">
        <v>3.45</v>
      </c>
      <c r="U105" s="229">
        <v>8.2000000000000007E-3</v>
      </c>
      <c r="V105" s="228">
        <v>426.5</v>
      </c>
      <c r="W105" s="228">
        <v>422.75</v>
      </c>
      <c r="X105" s="228">
        <v>3.75</v>
      </c>
      <c r="Y105" s="229">
        <v>8.8999999999999999E-3</v>
      </c>
      <c r="Z105" s="228">
        <v>0.05</v>
      </c>
      <c r="AA105" s="228">
        <v>0.55000000000000004</v>
      </c>
      <c r="AB105" s="228">
        <v>-0.5</v>
      </c>
      <c r="AC105" s="229">
        <v>1E-4</v>
      </c>
      <c r="AD105" s="228">
        <v>0.05</v>
      </c>
      <c r="AE105" s="228">
        <v>0.55000000000000004</v>
      </c>
      <c r="AF105" s="228">
        <v>-0.5</v>
      </c>
      <c r="AG105" s="229">
        <v>1E-4</v>
      </c>
      <c r="AH105" s="228">
        <v>2.5</v>
      </c>
      <c r="AI105" s="228">
        <v>2.9</v>
      </c>
      <c r="AJ105" s="228">
        <v>-0.4</v>
      </c>
      <c r="AK105" s="229">
        <v>5.8999999999999999E-3</v>
      </c>
      <c r="AL105" s="228">
        <v>5.85</v>
      </c>
      <c r="AM105" s="228">
        <v>5.95</v>
      </c>
      <c r="AN105" s="228">
        <v>-0.1</v>
      </c>
      <c r="AO105" s="229">
        <v>1.3899999999999999E-2</v>
      </c>
      <c r="AP105" s="228">
        <v>420.76</v>
      </c>
      <c r="AQ105" s="228">
        <v>423.25</v>
      </c>
      <c r="AR105" s="228">
        <v>0</v>
      </c>
      <c r="AS105" s="230">
        <v>4438</v>
      </c>
      <c r="AT105" s="230">
        <v>4016</v>
      </c>
      <c r="AU105" s="228">
        <v>422</v>
      </c>
      <c r="AV105" s="229">
        <v>0.1052</v>
      </c>
      <c r="AW105" s="230">
        <v>1999</v>
      </c>
      <c r="AX105" s="230">
        <v>2055</v>
      </c>
      <c r="AY105" s="228">
        <v>-56</v>
      </c>
      <c r="AZ105" s="229">
        <v>-2.7199999999999998E-2</v>
      </c>
      <c r="BA105" s="230">
        <v>2409</v>
      </c>
      <c r="BB105" s="230">
        <v>1945</v>
      </c>
      <c r="BC105" s="228">
        <v>463</v>
      </c>
      <c r="BD105" s="229">
        <v>0.2382</v>
      </c>
      <c r="BE105" s="228">
        <v>30</v>
      </c>
      <c r="BF105" s="228">
        <v>15</v>
      </c>
      <c r="BG105" s="228">
        <v>15</v>
      </c>
      <c r="BH105" s="229">
        <v>0.98199999999999998</v>
      </c>
      <c r="BI105" s="230">
        <v>3308</v>
      </c>
      <c r="BJ105" s="230">
        <v>2273</v>
      </c>
      <c r="BK105" s="230">
        <v>1036</v>
      </c>
      <c r="BL105" s="229">
        <v>0.45569999999999999</v>
      </c>
      <c r="BM105" s="230">
        <v>2251</v>
      </c>
      <c r="BN105" s="230">
        <v>1532</v>
      </c>
      <c r="BO105" s="228">
        <v>719</v>
      </c>
      <c r="BP105" s="229">
        <v>0.46920000000000001</v>
      </c>
      <c r="BQ105" s="230">
        <v>9998</v>
      </c>
      <c r="BR105" s="230">
        <v>7821</v>
      </c>
      <c r="BS105" s="230">
        <v>2177</v>
      </c>
      <c r="BT105" s="229">
        <v>0.27829999999999999</v>
      </c>
      <c r="BU105" s="230">
        <v>12448161</v>
      </c>
      <c r="BV105" s="230">
        <v>16584342</v>
      </c>
      <c r="BW105" s="230">
        <v>-4136181</v>
      </c>
      <c r="BX105" s="229">
        <v>-0.24940000000000001</v>
      </c>
      <c r="BY105" s="230">
        <v>6698</v>
      </c>
      <c r="BZ105" s="230">
        <v>6585</v>
      </c>
      <c r="CA105" s="228">
        <v>113</v>
      </c>
      <c r="CB105" s="229">
        <v>1.72E-2</v>
      </c>
      <c r="CC105" s="230">
        <v>1054</v>
      </c>
      <c r="CD105" s="230">
        <v>2683</v>
      </c>
      <c r="CE105" s="230">
        <v>-1628</v>
      </c>
      <c r="CF105" s="229">
        <v>-0.60699999999999998</v>
      </c>
      <c r="CG105" s="230">
        <v>5580</v>
      </c>
      <c r="CH105" s="230">
        <v>3847</v>
      </c>
      <c r="CI105" s="230">
        <v>1733</v>
      </c>
      <c r="CJ105" s="229">
        <v>0.4506</v>
      </c>
      <c r="CK105" s="228">
        <v>63</v>
      </c>
      <c r="CL105" s="228">
        <v>55</v>
      </c>
      <c r="CM105" s="228">
        <v>8</v>
      </c>
      <c r="CN105" s="229">
        <v>0.15</v>
      </c>
      <c r="CO105" s="230">
        <v>1601</v>
      </c>
      <c r="CP105" s="230">
        <v>1684</v>
      </c>
      <c r="CQ105" s="228">
        <v>-83</v>
      </c>
      <c r="CR105" s="229">
        <v>-4.9200000000000001E-2</v>
      </c>
      <c r="CS105" s="230">
        <v>1448</v>
      </c>
      <c r="CT105" s="230">
        <v>1383</v>
      </c>
      <c r="CU105" s="228">
        <v>65</v>
      </c>
      <c r="CV105" s="229">
        <v>4.7100000000000003E-2</v>
      </c>
      <c r="CW105" s="230">
        <v>9748</v>
      </c>
      <c r="CX105" s="230">
        <v>9652</v>
      </c>
      <c r="CY105" s="228">
        <v>96</v>
      </c>
      <c r="CZ105" s="229">
        <v>9.9000000000000008E-3</v>
      </c>
      <c r="DA105" s="228">
        <v>16.96</v>
      </c>
      <c r="DB105" s="228">
        <v>16.63</v>
      </c>
      <c r="DC105" s="228">
        <v>0.33</v>
      </c>
      <c r="DD105" s="228">
        <v>0.33</v>
      </c>
      <c r="DE105" s="228">
        <v>19.559999999999999</v>
      </c>
      <c r="DF105" s="228">
        <v>19.57</v>
      </c>
      <c r="DG105" s="228">
        <v>-2.6</v>
      </c>
      <c r="DH105" s="228">
        <v>-0.01</v>
      </c>
      <c r="DI105" s="228">
        <v>17.059999999999999</v>
      </c>
      <c r="DJ105" s="228">
        <v>16.829999999999998</v>
      </c>
      <c r="DK105" s="228">
        <v>0.23</v>
      </c>
      <c r="DL105" s="228">
        <v>0.23</v>
      </c>
      <c r="DM105" s="228">
        <v>16.809999999999999</v>
      </c>
      <c r="DN105" s="228">
        <v>16.309999999999999</v>
      </c>
      <c r="DO105" s="228">
        <v>0.5</v>
      </c>
      <c r="DP105" s="228">
        <v>0.5</v>
      </c>
      <c r="DQ105" s="228">
        <v>0.9</v>
      </c>
      <c r="DR105" s="228">
        <v>0.82</v>
      </c>
      <c r="DS105" s="228">
        <v>0.08</v>
      </c>
      <c r="DT105" s="229">
        <v>9.7600000000000006E-2</v>
      </c>
      <c r="DU105" s="228">
        <v>410</v>
      </c>
      <c r="DV105" s="228">
        <v>400</v>
      </c>
      <c r="DW105" s="228">
        <v>0.68</v>
      </c>
      <c r="DX105" s="228">
        <v>0.67</v>
      </c>
      <c r="DY105" s="228">
        <v>0.01</v>
      </c>
      <c r="DZ105" s="229">
        <v>1.49E-2</v>
      </c>
      <c r="EA105" s="229">
        <v>0.84260000000000002</v>
      </c>
      <c r="EB105" s="230">
        <v>92755200</v>
      </c>
      <c r="EC105" s="229">
        <v>5.7999999999999996E-3</v>
      </c>
      <c r="ED105" s="229">
        <v>0.84260000000000002</v>
      </c>
      <c r="EE105" s="228">
        <v>2.4900000000000002</v>
      </c>
      <c r="EF105" s="229">
        <v>5.8999999999999999E-3</v>
      </c>
      <c r="EG105" s="230">
        <v>8223071</v>
      </c>
      <c r="EH105" s="230">
        <v>11277157</v>
      </c>
      <c r="EI105" s="229">
        <v>-0.27079999999999999</v>
      </c>
      <c r="EJ105" s="229">
        <v>0.66059999999999997</v>
      </c>
      <c r="EK105" s="231">
        <v>3354.23</v>
      </c>
      <c r="EL105" s="231">
        <v>2233.91</v>
      </c>
      <c r="EM105" s="231">
        <v>4453.0600000000004</v>
      </c>
      <c r="EN105" s="228">
        <v>311.7</v>
      </c>
      <c r="EO105" s="231">
        <v>10041.200000000001</v>
      </c>
      <c r="EP105" s="231">
        <v>7780.21</v>
      </c>
      <c r="EQ105" s="231">
        <v>2260.9899999999998</v>
      </c>
      <c r="ER105" s="229">
        <v>0.29060000000000002</v>
      </c>
      <c r="ES105" s="231">
        <v>1608.15</v>
      </c>
      <c r="ET105" s="231">
        <v>1397.89</v>
      </c>
      <c r="EU105" s="231">
        <v>6731.46</v>
      </c>
      <c r="EV105" s="231">
        <v>1251412841</v>
      </c>
      <c r="EW105" s="231">
        <v>9737.49</v>
      </c>
      <c r="EX105" s="231">
        <v>9570.0499999999993</v>
      </c>
      <c r="EY105" s="228">
        <v>167.44</v>
      </c>
      <c r="EZ105" s="229">
        <v>1.7500000000000002E-2</v>
      </c>
      <c r="FA105" s="229">
        <v>0.1852</v>
      </c>
      <c r="FB105" s="227" t="s">
        <v>555</v>
      </c>
      <c r="FC105">
        <f t="shared" si="1"/>
        <v>5644</v>
      </c>
    </row>
    <row r="106" spans="1:159" ht="17.25" thickBot="1" x14ac:dyDescent="0.3">
      <c r="A106" s="226">
        <v>45957</v>
      </c>
      <c r="B106" s="227" t="s">
        <v>227</v>
      </c>
      <c r="C106" s="227" t="s">
        <v>243</v>
      </c>
      <c r="D106" s="228">
        <v>625</v>
      </c>
      <c r="E106" s="228">
        <v>1</v>
      </c>
      <c r="F106" s="231">
        <v>1033.8</v>
      </c>
      <c r="G106" s="231">
        <v>1007.5</v>
      </c>
      <c r="H106" s="228">
        <v>26.3</v>
      </c>
      <c r="I106" s="229">
        <v>2.6100000000000002E-2</v>
      </c>
      <c r="J106" s="231">
        <v>1034.3</v>
      </c>
      <c r="K106" s="231">
        <v>1008.2</v>
      </c>
      <c r="L106" s="228">
        <v>26.1</v>
      </c>
      <c r="M106" s="229">
        <v>2.5899999999999999E-2</v>
      </c>
      <c r="N106" s="231">
        <v>1033.8</v>
      </c>
      <c r="O106" s="231">
        <v>1007.5</v>
      </c>
      <c r="P106" s="228">
        <v>26.3</v>
      </c>
      <c r="Q106" s="229">
        <v>2.6100000000000002E-2</v>
      </c>
      <c r="R106" s="231">
        <v>1039.5</v>
      </c>
      <c r="S106" s="231">
        <v>1012.2</v>
      </c>
      <c r="T106" s="228">
        <v>27.3</v>
      </c>
      <c r="U106" s="229">
        <v>2.7E-2</v>
      </c>
      <c r="V106" s="231">
        <v>1046</v>
      </c>
      <c r="W106" s="231">
        <v>1019.2</v>
      </c>
      <c r="X106" s="228">
        <v>26.8</v>
      </c>
      <c r="Y106" s="229">
        <v>2.63E-2</v>
      </c>
      <c r="Z106" s="228">
        <v>-0.5</v>
      </c>
      <c r="AA106" s="228">
        <v>-0.7</v>
      </c>
      <c r="AB106" s="228">
        <v>0.2</v>
      </c>
      <c r="AC106" s="229">
        <v>-5.0000000000000001E-4</v>
      </c>
      <c r="AD106" s="228">
        <v>-0.5</v>
      </c>
      <c r="AE106" s="228">
        <v>-0.7</v>
      </c>
      <c r="AF106" s="228">
        <v>0.2</v>
      </c>
      <c r="AG106" s="229">
        <v>-5.0000000000000001E-4</v>
      </c>
      <c r="AH106" s="228">
        <v>5.2</v>
      </c>
      <c r="AI106" s="228">
        <v>4</v>
      </c>
      <c r="AJ106" s="228">
        <v>1.2</v>
      </c>
      <c r="AK106" s="229">
        <v>5.0000000000000001E-3</v>
      </c>
      <c r="AL106" s="228">
        <v>11.7</v>
      </c>
      <c r="AM106" s="228">
        <v>11</v>
      </c>
      <c r="AN106" s="228">
        <v>0.7</v>
      </c>
      <c r="AO106" s="229">
        <v>1.1299999999999999E-2</v>
      </c>
      <c r="AP106" s="231">
        <v>1023.48</v>
      </c>
      <c r="AQ106" s="231">
        <v>1029.3800000000001</v>
      </c>
      <c r="AR106" s="228">
        <v>0</v>
      </c>
      <c r="AS106" s="230">
        <v>1066</v>
      </c>
      <c r="AT106" s="228">
        <v>997</v>
      </c>
      <c r="AU106" s="228">
        <v>69</v>
      </c>
      <c r="AV106" s="229">
        <v>6.9400000000000003E-2</v>
      </c>
      <c r="AW106" s="228">
        <v>491</v>
      </c>
      <c r="AX106" s="228">
        <v>494</v>
      </c>
      <c r="AY106" s="228">
        <v>-3</v>
      </c>
      <c r="AZ106" s="229">
        <v>-5.4000000000000003E-3</v>
      </c>
      <c r="BA106" s="228">
        <v>568</v>
      </c>
      <c r="BB106" s="228">
        <v>500</v>
      </c>
      <c r="BC106" s="228">
        <v>68</v>
      </c>
      <c r="BD106" s="229">
        <v>0.1366</v>
      </c>
      <c r="BE106" s="228">
        <v>7</v>
      </c>
      <c r="BF106" s="228">
        <v>3</v>
      </c>
      <c r="BG106" s="228">
        <v>4</v>
      </c>
      <c r="BH106" s="229">
        <v>1.1000000000000001</v>
      </c>
      <c r="BI106" s="230">
        <v>1286</v>
      </c>
      <c r="BJ106" s="230">
        <v>1307</v>
      </c>
      <c r="BK106" s="228">
        <v>-21</v>
      </c>
      <c r="BL106" s="229">
        <v>-1.6199999999999999E-2</v>
      </c>
      <c r="BM106" s="228">
        <v>608</v>
      </c>
      <c r="BN106" s="228">
        <v>455</v>
      </c>
      <c r="BO106" s="228">
        <v>153</v>
      </c>
      <c r="BP106" s="229">
        <v>0.3367</v>
      </c>
      <c r="BQ106" s="230">
        <v>2959</v>
      </c>
      <c r="BR106" s="230">
        <v>2758</v>
      </c>
      <c r="BS106" s="228">
        <v>201</v>
      </c>
      <c r="BT106" s="229">
        <v>7.2900000000000006E-2</v>
      </c>
      <c r="BU106" s="230">
        <v>1020942</v>
      </c>
      <c r="BV106" s="230">
        <v>1708759</v>
      </c>
      <c r="BW106" s="230">
        <v>-687817</v>
      </c>
      <c r="BX106" s="229">
        <v>-0.40250000000000002</v>
      </c>
      <c r="BY106" s="230">
        <v>1455</v>
      </c>
      <c r="BZ106" s="230">
        <v>1483</v>
      </c>
      <c r="CA106" s="228">
        <v>-28</v>
      </c>
      <c r="CB106" s="229">
        <v>-1.8800000000000001E-2</v>
      </c>
      <c r="CC106" s="228">
        <v>205</v>
      </c>
      <c r="CD106" s="228">
        <v>569</v>
      </c>
      <c r="CE106" s="228">
        <v>-364</v>
      </c>
      <c r="CF106" s="229">
        <v>-0.63890000000000002</v>
      </c>
      <c r="CG106" s="230">
        <v>1242</v>
      </c>
      <c r="CH106" s="228">
        <v>908</v>
      </c>
      <c r="CI106" s="228">
        <v>334</v>
      </c>
      <c r="CJ106" s="229">
        <v>0.36809999999999998</v>
      </c>
      <c r="CK106" s="228">
        <v>8</v>
      </c>
      <c r="CL106" s="228">
        <v>6</v>
      </c>
      <c r="CM106" s="228">
        <v>2</v>
      </c>
      <c r="CN106" s="229">
        <v>0.2424</v>
      </c>
      <c r="CO106" s="228">
        <v>663</v>
      </c>
      <c r="CP106" s="228">
        <v>804</v>
      </c>
      <c r="CQ106" s="228">
        <v>-141</v>
      </c>
      <c r="CR106" s="229">
        <v>-0.17560000000000001</v>
      </c>
      <c r="CS106" s="228">
        <v>395</v>
      </c>
      <c r="CT106" s="228">
        <v>392</v>
      </c>
      <c r="CU106" s="228">
        <v>3</v>
      </c>
      <c r="CV106" s="229">
        <v>7.7999999999999996E-3</v>
      </c>
      <c r="CW106" s="230">
        <v>2513</v>
      </c>
      <c r="CX106" s="230">
        <v>2679</v>
      </c>
      <c r="CY106" s="228">
        <v>-166</v>
      </c>
      <c r="CZ106" s="229">
        <v>-6.2E-2</v>
      </c>
      <c r="DA106" s="228">
        <v>31.67</v>
      </c>
      <c r="DB106" s="228">
        <v>31.03</v>
      </c>
      <c r="DC106" s="228">
        <v>0.64</v>
      </c>
      <c r="DD106" s="228">
        <v>0.64</v>
      </c>
      <c r="DE106" s="228">
        <v>35.85</v>
      </c>
      <c r="DF106" s="228">
        <v>35.78</v>
      </c>
      <c r="DG106" s="228">
        <v>-4.18</v>
      </c>
      <c r="DH106" s="228">
        <v>7.0000000000000007E-2</v>
      </c>
      <c r="DI106" s="228">
        <v>31.55</v>
      </c>
      <c r="DJ106" s="228">
        <v>31.15</v>
      </c>
      <c r="DK106" s="228">
        <v>0.4</v>
      </c>
      <c r="DL106" s="228">
        <v>0.4</v>
      </c>
      <c r="DM106" s="228">
        <v>31.89</v>
      </c>
      <c r="DN106" s="228">
        <v>30.79</v>
      </c>
      <c r="DO106" s="228">
        <v>1.1000000000000001</v>
      </c>
      <c r="DP106" s="228">
        <v>1.1000000000000001</v>
      </c>
      <c r="DQ106" s="228">
        <v>0.6</v>
      </c>
      <c r="DR106" s="228">
        <v>0.49</v>
      </c>
      <c r="DS106" s="228">
        <v>0.11</v>
      </c>
      <c r="DT106" s="229">
        <v>0.22450000000000001</v>
      </c>
      <c r="DU106" s="231">
        <v>1100</v>
      </c>
      <c r="DV106" s="231">
        <v>1000</v>
      </c>
      <c r="DW106" s="228">
        <v>0.47</v>
      </c>
      <c r="DX106" s="228">
        <v>0.35</v>
      </c>
      <c r="DY106" s="228">
        <v>0.12</v>
      </c>
      <c r="DZ106" s="229">
        <v>0.34289999999999998</v>
      </c>
      <c r="EA106" s="229">
        <v>0.85880000000000001</v>
      </c>
      <c r="EB106" s="230">
        <v>8842500</v>
      </c>
      <c r="EC106" s="229">
        <v>5.4999999999999997E-3</v>
      </c>
      <c r="ED106" s="229">
        <v>0.85880000000000001</v>
      </c>
      <c r="EE106" s="228">
        <v>5.9</v>
      </c>
      <c r="EF106" s="229">
        <v>5.7999999999999996E-3</v>
      </c>
      <c r="EG106" s="230">
        <v>384272</v>
      </c>
      <c r="EH106" s="230">
        <v>869265</v>
      </c>
      <c r="EI106" s="229">
        <v>-0.55789999999999995</v>
      </c>
      <c r="EJ106" s="229">
        <v>0.37640000000000001</v>
      </c>
      <c r="EK106" s="231">
        <v>1323.78</v>
      </c>
      <c r="EL106" s="228">
        <v>595.67999999999995</v>
      </c>
      <c r="EM106" s="231">
        <v>1058.67</v>
      </c>
      <c r="EN106" s="228">
        <v>97.96</v>
      </c>
      <c r="EO106" s="231">
        <v>2978.14</v>
      </c>
      <c r="EP106" s="231">
        <v>2751.47</v>
      </c>
      <c r="EQ106" s="228">
        <v>226.67</v>
      </c>
      <c r="ER106" s="229">
        <v>8.2400000000000001E-2</v>
      </c>
      <c r="ES106" s="228">
        <v>693.62</v>
      </c>
      <c r="ET106" s="228">
        <v>382.27</v>
      </c>
      <c r="EU106" s="231">
        <v>1462.21</v>
      </c>
      <c r="EV106" s="231">
        <v>54776702</v>
      </c>
      <c r="EW106" s="231">
        <v>2538.1</v>
      </c>
      <c r="EX106" s="231">
        <v>2664.51</v>
      </c>
      <c r="EY106" s="228">
        <v>-126.41</v>
      </c>
      <c r="EZ106" s="229">
        <v>-4.7399999999999998E-2</v>
      </c>
      <c r="FA106" s="229">
        <v>0.44369999999999998</v>
      </c>
      <c r="FB106" s="227" t="s">
        <v>556</v>
      </c>
      <c r="FC106">
        <f t="shared" si="1"/>
        <v>1250</v>
      </c>
    </row>
    <row r="107" spans="1:159" ht="17.25" thickBot="1" x14ac:dyDescent="0.3">
      <c r="A107" s="226">
        <v>45957</v>
      </c>
      <c r="B107" s="227" t="s">
        <v>175</v>
      </c>
      <c r="C107" s="227" t="s">
        <v>570</v>
      </c>
      <c r="D107" s="228">
        <v>2350</v>
      </c>
      <c r="E107" s="228">
        <v>1</v>
      </c>
      <c r="F107" s="228">
        <v>305.85000000000002</v>
      </c>
      <c r="G107" s="228">
        <v>305.75</v>
      </c>
      <c r="H107" s="228">
        <v>0.1</v>
      </c>
      <c r="I107" s="229">
        <v>2.9999999999999997E-4</v>
      </c>
      <c r="J107" s="228">
        <v>305.55</v>
      </c>
      <c r="K107" s="228">
        <v>305.95</v>
      </c>
      <c r="L107" s="228">
        <v>-0.4</v>
      </c>
      <c r="M107" s="229">
        <v>-1.2999999999999999E-3</v>
      </c>
      <c r="N107" s="228">
        <v>305.85000000000002</v>
      </c>
      <c r="O107" s="228">
        <v>305.75</v>
      </c>
      <c r="P107" s="228">
        <v>0.1</v>
      </c>
      <c r="Q107" s="229">
        <v>2.9999999999999997E-4</v>
      </c>
      <c r="R107" s="228">
        <v>307.60000000000002</v>
      </c>
      <c r="S107" s="228">
        <v>307.45</v>
      </c>
      <c r="T107" s="228">
        <v>0.15</v>
      </c>
      <c r="U107" s="229">
        <v>5.0000000000000001E-4</v>
      </c>
      <c r="V107" s="228">
        <v>309.55</v>
      </c>
      <c r="W107" s="228">
        <v>309.3</v>
      </c>
      <c r="X107" s="228">
        <v>0.25</v>
      </c>
      <c r="Y107" s="229">
        <v>8.0000000000000004E-4</v>
      </c>
      <c r="Z107" s="228">
        <v>0.3</v>
      </c>
      <c r="AA107" s="228">
        <v>-0.2</v>
      </c>
      <c r="AB107" s="228">
        <v>0.5</v>
      </c>
      <c r="AC107" s="229">
        <v>1E-3</v>
      </c>
      <c r="AD107" s="228">
        <v>0.3</v>
      </c>
      <c r="AE107" s="228">
        <v>-0.2</v>
      </c>
      <c r="AF107" s="228">
        <v>0.5</v>
      </c>
      <c r="AG107" s="229">
        <v>1E-3</v>
      </c>
      <c r="AH107" s="228">
        <v>2.0499999999999998</v>
      </c>
      <c r="AI107" s="228">
        <v>1.5</v>
      </c>
      <c r="AJ107" s="228">
        <v>0.55000000000000004</v>
      </c>
      <c r="AK107" s="229">
        <v>6.7000000000000002E-3</v>
      </c>
      <c r="AL107" s="228">
        <v>4</v>
      </c>
      <c r="AM107" s="228">
        <v>3.35</v>
      </c>
      <c r="AN107" s="228">
        <v>0.65</v>
      </c>
      <c r="AO107" s="229">
        <v>1.3100000000000001E-2</v>
      </c>
      <c r="AP107" s="228">
        <v>306.66000000000003</v>
      </c>
      <c r="AQ107" s="228">
        <v>308.38</v>
      </c>
      <c r="AR107" s="228">
        <v>0</v>
      </c>
      <c r="AS107" s="230">
        <v>2422</v>
      </c>
      <c r="AT107" s="230">
        <v>2104</v>
      </c>
      <c r="AU107" s="228">
        <v>318</v>
      </c>
      <c r="AV107" s="229">
        <v>0.15129999999999999</v>
      </c>
      <c r="AW107" s="230">
        <v>1127</v>
      </c>
      <c r="AX107" s="230">
        <v>1055</v>
      </c>
      <c r="AY107" s="228">
        <v>72</v>
      </c>
      <c r="AZ107" s="229">
        <v>6.8599999999999994E-2</v>
      </c>
      <c r="BA107" s="230">
        <v>1242</v>
      </c>
      <c r="BB107" s="230">
        <v>1011</v>
      </c>
      <c r="BC107" s="228">
        <v>231</v>
      </c>
      <c r="BD107" s="229">
        <v>0.2286</v>
      </c>
      <c r="BE107" s="228">
        <v>53</v>
      </c>
      <c r="BF107" s="228">
        <v>38</v>
      </c>
      <c r="BG107" s="228">
        <v>15</v>
      </c>
      <c r="BH107" s="229">
        <v>0.39200000000000002</v>
      </c>
      <c r="BI107" s="230">
        <v>1728</v>
      </c>
      <c r="BJ107" s="230">
        <v>2402</v>
      </c>
      <c r="BK107" s="228">
        <v>-674</v>
      </c>
      <c r="BL107" s="229">
        <v>-0.28060000000000002</v>
      </c>
      <c r="BM107" s="228">
        <v>896</v>
      </c>
      <c r="BN107" s="230">
        <v>1004</v>
      </c>
      <c r="BO107" s="228">
        <v>-108</v>
      </c>
      <c r="BP107" s="229">
        <v>-0.1072</v>
      </c>
      <c r="BQ107" s="230">
        <v>5046</v>
      </c>
      <c r="BR107" s="230">
        <v>5509</v>
      </c>
      <c r="BS107" s="228">
        <v>-463</v>
      </c>
      <c r="BT107" s="229">
        <v>-8.4099999999999994E-2</v>
      </c>
      <c r="BU107" s="230">
        <v>9170939</v>
      </c>
      <c r="BV107" s="230">
        <v>8565725</v>
      </c>
      <c r="BW107" s="230">
        <v>605214</v>
      </c>
      <c r="BX107" s="229">
        <v>7.0699999999999999E-2</v>
      </c>
      <c r="BY107" s="230">
        <v>4690</v>
      </c>
      <c r="BZ107" s="230">
        <v>4583</v>
      </c>
      <c r="CA107" s="228">
        <v>107</v>
      </c>
      <c r="CB107" s="229">
        <v>2.3400000000000001E-2</v>
      </c>
      <c r="CC107" s="228">
        <v>945</v>
      </c>
      <c r="CD107" s="230">
        <v>1909</v>
      </c>
      <c r="CE107" s="228">
        <v>-964</v>
      </c>
      <c r="CF107" s="229">
        <v>-0.505</v>
      </c>
      <c r="CG107" s="230">
        <v>3606</v>
      </c>
      <c r="CH107" s="230">
        <v>2567</v>
      </c>
      <c r="CI107" s="230">
        <v>1039</v>
      </c>
      <c r="CJ107" s="229">
        <v>0.4047</v>
      </c>
      <c r="CK107" s="228">
        <v>139</v>
      </c>
      <c r="CL107" s="228">
        <v>107</v>
      </c>
      <c r="CM107" s="228">
        <v>33</v>
      </c>
      <c r="CN107" s="229">
        <v>0.30680000000000002</v>
      </c>
      <c r="CO107" s="230">
        <v>2378</v>
      </c>
      <c r="CP107" s="230">
        <v>2388</v>
      </c>
      <c r="CQ107" s="228">
        <v>-10</v>
      </c>
      <c r="CR107" s="229">
        <v>-4.4000000000000003E-3</v>
      </c>
      <c r="CS107" s="230">
        <v>1312</v>
      </c>
      <c r="CT107" s="230">
        <v>1299</v>
      </c>
      <c r="CU107" s="228">
        <v>14</v>
      </c>
      <c r="CV107" s="229">
        <v>1.04E-2</v>
      </c>
      <c r="CW107" s="230">
        <v>8380</v>
      </c>
      <c r="CX107" s="230">
        <v>8270</v>
      </c>
      <c r="CY107" s="228">
        <v>110</v>
      </c>
      <c r="CZ107" s="229">
        <v>1.34E-2</v>
      </c>
      <c r="DA107" s="228">
        <v>25.76</v>
      </c>
      <c r="DB107" s="228">
        <v>25.9</v>
      </c>
      <c r="DC107" s="228">
        <v>-0.14000000000000001</v>
      </c>
      <c r="DD107" s="228">
        <v>-0.14000000000000001</v>
      </c>
      <c r="DE107" s="228">
        <v>35.72</v>
      </c>
      <c r="DF107" s="228">
        <v>35.81</v>
      </c>
      <c r="DG107" s="228">
        <v>-9.9600000000000009</v>
      </c>
      <c r="DH107" s="228">
        <v>-0.09</v>
      </c>
      <c r="DI107" s="228">
        <v>25.78</v>
      </c>
      <c r="DJ107" s="228">
        <v>26.15</v>
      </c>
      <c r="DK107" s="228">
        <v>-0.37</v>
      </c>
      <c r="DL107" s="228">
        <v>-0.37</v>
      </c>
      <c r="DM107" s="228">
        <v>25.72</v>
      </c>
      <c r="DN107" s="228">
        <v>25.42</v>
      </c>
      <c r="DO107" s="228">
        <v>0.3</v>
      </c>
      <c r="DP107" s="228">
        <v>0.3</v>
      </c>
      <c r="DQ107" s="228">
        <v>0.55000000000000004</v>
      </c>
      <c r="DR107" s="228">
        <v>0.54</v>
      </c>
      <c r="DS107" s="228">
        <v>0.01</v>
      </c>
      <c r="DT107" s="229">
        <v>1.8499999999999999E-2</v>
      </c>
      <c r="DU107" s="228">
        <v>350</v>
      </c>
      <c r="DV107" s="228">
        <v>310</v>
      </c>
      <c r="DW107" s="228">
        <v>0.52</v>
      </c>
      <c r="DX107" s="228">
        <v>0.42</v>
      </c>
      <c r="DY107" s="228">
        <v>0.1</v>
      </c>
      <c r="DZ107" s="229">
        <v>0.23810000000000001</v>
      </c>
      <c r="EA107" s="229">
        <v>0.79849999999999999</v>
      </c>
      <c r="EB107" s="230">
        <v>87412950</v>
      </c>
      <c r="EC107" s="229">
        <v>5.7000000000000002E-3</v>
      </c>
      <c r="ED107" s="229">
        <v>0.79849999999999999</v>
      </c>
      <c r="EE107" s="228">
        <v>1.72</v>
      </c>
      <c r="EF107" s="229">
        <v>5.5999999999999999E-3</v>
      </c>
      <c r="EG107" s="230">
        <v>5785294</v>
      </c>
      <c r="EH107" s="230">
        <v>4629483</v>
      </c>
      <c r="EI107" s="229">
        <v>0.24970000000000001</v>
      </c>
      <c r="EJ107" s="229">
        <v>0.63080000000000003</v>
      </c>
      <c r="EK107" s="231">
        <v>1820.51</v>
      </c>
      <c r="EL107" s="228">
        <v>927.79</v>
      </c>
      <c r="EM107" s="231">
        <v>2436.09</v>
      </c>
      <c r="EN107" s="228">
        <v>195.59</v>
      </c>
      <c r="EO107" s="231">
        <v>5184.3900000000003</v>
      </c>
      <c r="EP107" s="231">
        <v>5685.74</v>
      </c>
      <c r="EQ107" s="228">
        <v>-501.35</v>
      </c>
      <c r="ER107" s="229">
        <v>-8.8200000000000001E-2</v>
      </c>
      <c r="ES107" s="231">
        <v>2540.9899999999998</v>
      </c>
      <c r="ET107" s="231">
        <v>1322.02</v>
      </c>
      <c r="EU107" s="231">
        <v>4712.22</v>
      </c>
      <c r="EV107" s="231">
        <v>446457456</v>
      </c>
      <c r="EW107" s="231">
        <v>8575.23</v>
      </c>
      <c r="EX107" s="231">
        <v>8455.25</v>
      </c>
      <c r="EY107" s="228">
        <v>119.98</v>
      </c>
      <c r="EZ107" s="229">
        <v>1.4200000000000001E-2</v>
      </c>
      <c r="FA107" s="229">
        <v>0.61370000000000002</v>
      </c>
      <c r="FB107" s="227" t="s">
        <v>555</v>
      </c>
      <c r="FC107">
        <f t="shared" si="1"/>
        <v>3745</v>
      </c>
    </row>
    <row r="108" spans="1:159" ht="17.25" thickBot="1" x14ac:dyDescent="0.3">
      <c r="A108" s="226">
        <v>45957</v>
      </c>
      <c r="B108" s="227" t="s">
        <v>161</v>
      </c>
      <c r="C108" s="227" t="s">
        <v>580</v>
      </c>
      <c r="D108" s="228">
        <v>1000</v>
      </c>
      <c r="E108" s="228">
        <v>1</v>
      </c>
      <c r="F108" s="228">
        <v>529.75</v>
      </c>
      <c r="G108" s="228">
        <v>530.65</v>
      </c>
      <c r="H108" s="228">
        <v>-0.9</v>
      </c>
      <c r="I108" s="229">
        <v>-1.6999999999999999E-3</v>
      </c>
      <c r="J108" s="228">
        <v>529.35</v>
      </c>
      <c r="K108" s="228">
        <v>531.15</v>
      </c>
      <c r="L108" s="228">
        <v>-1.8</v>
      </c>
      <c r="M108" s="229">
        <v>-3.3999999999999998E-3</v>
      </c>
      <c r="N108" s="228">
        <v>529.75</v>
      </c>
      <c r="O108" s="228">
        <v>530.65</v>
      </c>
      <c r="P108" s="228">
        <v>-0.9</v>
      </c>
      <c r="Q108" s="229">
        <v>-1.6999999999999999E-3</v>
      </c>
      <c r="R108" s="228">
        <v>532.6</v>
      </c>
      <c r="S108" s="228">
        <v>533.65</v>
      </c>
      <c r="T108" s="228">
        <v>-1.05</v>
      </c>
      <c r="U108" s="229">
        <v>-2E-3</v>
      </c>
      <c r="V108" s="228">
        <v>535.95000000000005</v>
      </c>
      <c r="W108" s="228">
        <v>537.25</v>
      </c>
      <c r="X108" s="228">
        <v>-1.3</v>
      </c>
      <c r="Y108" s="229">
        <v>-2.3999999999999998E-3</v>
      </c>
      <c r="Z108" s="228">
        <v>0.4</v>
      </c>
      <c r="AA108" s="228">
        <v>-0.5</v>
      </c>
      <c r="AB108" s="228">
        <v>0.9</v>
      </c>
      <c r="AC108" s="229">
        <v>8.0000000000000004E-4</v>
      </c>
      <c r="AD108" s="228">
        <v>0.4</v>
      </c>
      <c r="AE108" s="228">
        <v>-0.5</v>
      </c>
      <c r="AF108" s="228">
        <v>0.9</v>
      </c>
      <c r="AG108" s="229">
        <v>8.0000000000000004E-4</v>
      </c>
      <c r="AH108" s="228">
        <v>3.25</v>
      </c>
      <c r="AI108" s="228">
        <v>2.5</v>
      </c>
      <c r="AJ108" s="228">
        <v>0.75</v>
      </c>
      <c r="AK108" s="229">
        <v>6.1000000000000004E-3</v>
      </c>
      <c r="AL108" s="228">
        <v>6.6</v>
      </c>
      <c r="AM108" s="228">
        <v>6.1</v>
      </c>
      <c r="AN108" s="228">
        <v>0.5</v>
      </c>
      <c r="AO108" s="229">
        <v>1.2500000000000001E-2</v>
      </c>
      <c r="AP108" s="228">
        <v>531.22</v>
      </c>
      <c r="AQ108" s="228">
        <v>534.58000000000004</v>
      </c>
      <c r="AR108" s="228">
        <v>0</v>
      </c>
      <c r="AS108" s="230">
        <v>1234</v>
      </c>
      <c r="AT108" s="230">
        <v>1583</v>
      </c>
      <c r="AU108" s="228">
        <v>-349</v>
      </c>
      <c r="AV108" s="229">
        <v>-0.22059999999999999</v>
      </c>
      <c r="AW108" s="228">
        <v>505</v>
      </c>
      <c r="AX108" s="228">
        <v>813</v>
      </c>
      <c r="AY108" s="228">
        <v>-308</v>
      </c>
      <c r="AZ108" s="229">
        <v>-0.37940000000000002</v>
      </c>
      <c r="BA108" s="228">
        <v>724</v>
      </c>
      <c r="BB108" s="228">
        <v>768</v>
      </c>
      <c r="BC108" s="228">
        <v>-44</v>
      </c>
      <c r="BD108" s="229">
        <v>-5.7000000000000002E-2</v>
      </c>
      <c r="BE108" s="228">
        <v>5</v>
      </c>
      <c r="BF108" s="228">
        <v>2</v>
      </c>
      <c r="BG108" s="228">
        <v>3</v>
      </c>
      <c r="BH108" s="229">
        <v>1.6</v>
      </c>
      <c r="BI108" s="228">
        <v>826</v>
      </c>
      <c r="BJ108" s="230">
        <v>1261</v>
      </c>
      <c r="BK108" s="228">
        <v>-435</v>
      </c>
      <c r="BL108" s="229">
        <v>-0.34510000000000002</v>
      </c>
      <c r="BM108" s="228">
        <v>342</v>
      </c>
      <c r="BN108" s="228">
        <v>388</v>
      </c>
      <c r="BO108" s="228">
        <v>-47</v>
      </c>
      <c r="BP108" s="229">
        <v>-0.1198</v>
      </c>
      <c r="BQ108" s="230">
        <v>2401</v>
      </c>
      <c r="BR108" s="230">
        <v>3232</v>
      </c>
      <c r="BS108" s="228">
        <v>-831</v>
      </c>
      <c r="BT108" s="229">
        <v>-0.2571</v>
      </c>
      <c r="BU108" s="230">
        <v>6090198</v>
      </c>
      <c r="BV108" s="230">
        <v>2430805</v>
      </c>
      <c r="BW108" s="230">
        <v>3659393</v>
      </c>
      <c r="BX108" s="229">
        <v>1.5054000000000001</v>
      </c>
      <c r="BY108" s="230">
        <v>2107</v>
      </c>
      <c r="BZ108" s="230">
        <v>1951</v>
      </c>
      <c r="CA108" s="228">
        <v>156</v>
      </c>
      <c r="CB108" s="229">
        <v>7.9699999999999993E-2</v>
      </c>
      <c r="CC108" s="228">
        <v>331</v>
      </c>
      <c r="CD108" s="228">
        <v>731</v>
      </c>
      <c r="CE108" s="228">
        <v>-400</v>
      </c>
      <c r="CF108" s="229">
        <v>-0.54679999999999995</v>
      </c>
      <c r="CG108" s="230">
        <v>1767</v>
      </c>
      <c r="CH108" s="230">
        <v>1215</v>
      </c>
      <c r="CI108" s="228">
        <v>552</v>
      </c>
      <c r="CJ108" s="229">
        <v>0.45479999999999998</v>
      </c>
      <c r="CK108" s="228">
        <v>8</v>
      </c>
      <c r="CL108" s="228">
        <v>6</v>
      </c>
      <c r="CM108" s="228">
        <v>3</v>
      </c>
      <c r="CN108" s="229">
        <v>0.4904</v>
      </c>
      <c r="CO108" s="228">
        <v>695</v>
      </c>
      <c r="CP108" s="228">
        <v>762</v>
      </c>
      <c r="CQ108" s="228">
        <v>-67</v>
      </c>
      <c r="CR108" s="229">
        <v>-8.7400000000000005E-2</v>
      </c>
      <c r="CS108" s="228">
        <v>260</v>
      </c>
      <c r="CT108" s="228">
        <v>258</v>
      </c>
      <c r="CU108" s="228">
        <v>2</v>
      </c>
      <c r="CV108" s="229">
        <v>8.0000000000000002E-3</v>
      </c>
      <c r="CW108" s="230">
        <v>3062</v>
      </c>
      <c r="CX108" s="230">
        <v>2971</v>
      </c>
      <c r="CY108" s="228">
        <v>91</v>
      </c>
      <c r="CZ108" s="229">
        <v>3.0599999999999999E-2</v>
      </c>
      <c r="DA108" s="228">
        <v>28.56</v>
      </c>
      <c r="DB108" s="228">
        <v>29.71</v>
      </c>
      <c r="DC108" s="228">
        <v>-1.1499999999999999</v>
      </c>
      <c r="DD108" s="228">
        <v>-1.1499999999999999</v>
      </c>
      <c r="DE108" s="228">
        <v>44.86</v>
      </c>
      <c r="DF108" s="228">
        <v>44.98</v>
      </c>
      <c r="DG108" s="228">
        <v>-16.3</v>
      </c>
      <c r="DH108" s="228">
        <v>-0.12</v>
      </c>
      <c r="DI108" s="228">
        <v>29.24</v>
      </c>
      <c r="DJ108" s="228">
        <v>29.81</v>
      </c>
      <c r="DK108" s="228">
        <v>-0.56999999999999995</v>
      </c>
      <c r="DL108" s="228">
        <v>-0.56999999999999995</v>
      </c>
      <c r="DM108" s="228">
        <v>26.99</v>
      </c>
      <c r="DN108" s="228">
        <v>29.3</v>
      </c>
      <c r="DO108" s="228">
        <v>-2.31</v>
      </c>
      <c r="DP108" s="228">
        <v>-2.31</v>
      </c>
      <c r="DQ108" s="228">
        <v>0.37</v>
      </c>
      <c r="DR108" s="228">
        <v>0.34</v>
      </c>
      <c r="DS108" s="228">
        <v>0.03</v>
      </c>
      <c r="DT108" s="229">
        <v>8.8200000000000001E-2</v>
      </c>
      <c r="DU108" s="228">
        <v>560</v>
      </c>
      <c r="DV108" s="228">
        <v>550</v>
      </c>
      <c r="DW108" s="228">
        <v>0.41</v>
      </c>
      <c r="DX108" s="228">
        <v>0.31</v>
      </c>
      <c r="DY108" s="228">
        <v>0.1</v>
      </c>
      <c r="DZ108" s="229">
        <v>0.3226</v>
      </c>
      <c r="EA108" s="229">
        <v>0.84279999999999999</v>
      </c>
      <c r="EB108" s="230">
        <v>23035000</v>
      </c>
      <c r="EC108" s="229">
        <v>5.4000000000000003E-3</v>
      </c>
      <c r="ED108" s="229">
        <v>0.84279999999999999</v>
      </c>
      <c r="EE108" s="228">
        <v>3.36</v>
      </c>
      <c r="EF108" s="229">
        <v>6.3E-3</v>
      </c>
      <c r="EG108" s="230">
        <v>4598528</v>
      </c>
      <c r="EH108" s="230">
        <v>1134219</v>
      </c>
      <c r="EI108" s="229">
        <v>3.0543999999999998</v>
      </c>
      <c r="EJ108" s="229">
        <v>0.75509999999999999</v>
      </c>
      <c r="EK108" s="228">
        <v>864.51</v>
      </c>
      <c r="EL108" s="228">
        <v>348.84</v>
      </c>
      <c r="EM108" s="231">
        <v>1241.9100000000001</v>
      </c>
      <c r="EN108" s="228">
        <v>161.66</v>
      </c>
      <c r="EO108" s="231">
        <v>2455.27</v>
      </c>
      <c r="EP108" s="231">
        <v>3305.85</v>
      </c>
      <c r="EQ108" s="228">
        <v>-850.59</v>
      </c>
      <c r="ER108" s="229">
        <v>-0.25729999999999997</v>
      </c>
      <c r="ES108" s="228">
        <v>740.74</v>
      </c>
      <c r="ET108" s="228">
        <v>257.94</v>
      </c>
      <c r="EU108" s="231">
        <v>2116.15</v>
      </c>
      <c r="EV108" s="231">
        <v>80203755</v>
      </c>
      <c r="EW108" s="231">
        <v>3114.83</v>
      </c>
      <c r="EX108" s="231">
        <v>3027.86</v>
      </c>
      <c r="EY108" s="228">
        <v>86.97</v>
      </c>
      <c r="EZ108" s="229">
        <v>2.87E-2</v>
      </c>
      <c r="FA108" s="229">
        <v>0.72060000000000002</v>
      </c>
      <c r="FB108" s="227" t="s">
        <v>567</v>
      </c>
      <c r="FC108">
        <f t="shared" si="1"/>
        <v>1776</v>
      </c>
    </row>
    <row r="109" spans="1:159" ht="17.25" thickBot="1" x14ac:dyDescent="0.3">
      <c r="A109" s="226">
        <v>45957</v>
      </c>
      <c r="B109" s="227" t="s">
        <v>227</v>
      </c>
      <c r="C109" s="227" t="s">
        <v>244</v>
      </c>
      <c r="D109" s="228">
        <v>675</v>
      </c>
      <c r="E109" s="228">
        <v>1</v>
      </c>
      <c r="F109" s="231">
        <v>1149.2</v>
      </c>
      <c r="G109" s="231">
        <v>1142.4000000000001</v>
      </c>
      <c r="H109" s="228">
        <v>6.8</v>
      </c>
      <c r="I109" s="229">
        <v>6.0000000000000001E-3</v>
      </c>
      <c r="J109" s="231">
        <v>1150.5999999999999</v>
      </c>
      <c r="K109" s="231">
        <v>1141.4000000000001</v>
      </c>
      <c r="L109" s="228">
        <v>9.1999999999999993</v>
      </c>
      <c r="M109" s="229">
        <v>8.0999999999999996E-3</v>
      </c>
      <c r="N109" s="231">
        <v>1149.2</v>
      </c>
      <c r="O109" s="231">
        <v>1142.4000000000001</v>
      </c>
      <c r="P109" s="228">
        <v>6.8</v>
      </c>
      <c r="Q109" s="229">
        <v>6.0000000000000001E-3</v>
      </c>
      <c r="R109" s="231">
        <v>1155.7</v>
      </c>
      <c r="S109" s="231">
        <v>1149.2</v>
      </c>
      <c r="T109" s="228">
        <v>6.5</v>
      </c>
      <c r="U109" s="229">
        <v>5.7000000000000002E-3</v>
      </c>
      <c r="V109" s="231">
        <v>1162</v>
      </c>
      <c r="W109" s="231">
        <v>1157</v>
      </c>
      <c r="X109" s="228">
        <v>5</v>
      </c>
      <c r="Y109" s="229">
        <v>4.3E-3</v>
      </c>
      <c r="Z109" s="228">
        <v>-1.4</v>
      </c>
      <c r="AA109" s="228">
        <v>1</v>
      </c>
      <c r="AB109" s="228">
        <v>-2.4</v>
      </c>
      <c r="AC109" s="229">
        <v>-1.1999999999999999E-3</v>
      </c>
      <c r="AD109" s="228">
        <v>-1.4</v>
      </c>
      <c r="AE109" s="228">
        <v>1</v>
      </c>
      <c r="AF109" s="228">
        <v>-2.4</v>
      </c>
      <c r="AG109" s="229">
        <v>-1.1999999999999999E-3</v>
      </c>
      <c r="AH109" s="228">
        <v>5.0999999999999996</v>
      </c>
      <c r="AI109" s="228">
        <v>7.8</v>
      </c>
      <c r="AJ109" s="228">
        <v>-2.7</v>
      </c>
      <c r="AK109" s="229">
        <v>4.4000000000000003E-3</v>
      </c>
      <c r="AL109" s="228">
        <v>11.4</v>
      </c>
      <c r="AM109" s="228">
        <v>15.6</v>
      </c>
      <c r="AN109" s="228">
        <v>-4.2</v>
      </c>
      <c r="AO109" s="229">
        <v>9.9000000000000008E-3</v>
      </c>
      <c r="AP109" s="231">
        <v>1148.71</v>
      </c>
      <c r="AQ109" s="231">
        <v>1155.3900000000001</v>
      </c>
      <c r="AR109" s="228">
        <v>0</v>
      </c>
      <c r="AS109" s="230">
        <v>2406</v>
      </c>
      <c r="AT109" s="230">
        <v>3218</v>
      </c>
      <c r="AU109" s="228">
        <v>-812</v>
      </c>
      <c r="AV109" s="229">
        <v>-0.25240000000000001</v>
      </c>
      <c r="AW109" s="230">
        <v>1137</v>
      </c>
      <c r="AX109" s="230">
        <v>1595</v>
      </c>
      <c r="AY109" s="228">
        <v>-458</v>
      </c>
      <c r="AZ109" s="229">
        <v>-0.28710000000000002</v>
      </c>
      <c r="BA109" s="230">
        <v>1265</v>
      </c>
      <c r="BB109" s="230">
        <v>1619</v>
      </c>
      <c r="BC109" s="228">
        <v>-354</v>
      </c>
      <c r="BD109" s="229">
        <v>-0.21870000000000001</v>
      </c>
      <c r="BE109" s="228">
        <v>4</v>
      </c>
      <c r="BF109" s="228">
        <v>4</v>
      </c>
      <c r="BG109" s="228">
        <v>0</v>
      </c>
      <c r="BH109" s="229">
        <v>-7.0199999999999999E-2</v>
      </c>
      <c r="BI109" s="230">
        <v>1328</v>
      </c>
      <c r="BJ109" s="230">
        <v>1501</v>
      </c>
      <c r="BK109" s="228">
        <v>-173</v>
      </c>
      <c r="BL109" s="229">
        <v>-0.11509999999999999</v>
      </c>
      <c r="BM109" s="228">
        <v>695</v>
      </c>
      <c r="BN109" s="228">
        <v>760</v>
      </c>
      <c r="BO109" s="228">
        <v>-65</v>
      </c>
      <c r="BP109" s="229">
        <v>-8.5800000000000001E-2</v>
      </c>
      <c r="BQ109" s="230">
        <v>4428</v>
      </c>
      <c r="BR109" s="230">
        <v>5479</v>
      </c>
      <c r="BS109" s="230">
        <v>-1050</v>
      </c>
      <c r="BT109" s="229">
        <v>-0.19170000000000001</v>
      </c>
      <c r="BU109" s="230">
        <v>1349891</v>
      </c>
      <c r="BV109" s="230">
        <v>1353345</v>
      </c>
      <c r="BW109" s="230">
        <v>-3454</v>
      </c>
      <c r="BX109" s="229">
        <v>-2.5999999999999999E-3</v>
      </c>
      <c r="BY109" s="230">
        <v>5483</v>
      </c>
      <c r="BZ109" s="230">
        <v>5439</v>
      </c>
      <c r="CA109" s="228">
        <v>44</v>
      </c>
      <c r="CB109" s="229">
        <v>8.0999999999999996E-3</v>
      </c>
      <c r="CC109" s="228">
        <v>738</v>
      </c>
      <c r="CD109" s="230">
        <v>1755</v>
      </c>
      <c r="CE109" s="230">
        <v>-1017</v>
      </c>
      <c r="CF109" s="229">
        <v>-0.57950000000000002</v>
      </c>
      <c r="CG109" s="230">
        <v>4735</v>
      </c>
      <c r="CH109" s="230">
        <v>3674</v>
      </c>
      <c r="CI109" s="230">
        <v>1061</v>
      </c>
      <c r="CJ109" s="229">
        <v>0.2888</v>
      </c>
      <c r="CK109" s="228">
        <v>10</v>
      </c>
      <c r="CL109" s="228">
        <v>9</v>
      </c>
      <c r="CM109" s="228">
        <v>0</v>
      </c>
      <c r="CN109" s="229">
        <v>1.6500000000000001E-2</v>
      </c>
      <c r="CO109" s="230">
        <v>1075</v>
      </c>
      <c r="CP109" s="230">
        <v>1105</v>
      </c>
      <c r="CQ109" s="228">
        <v>-30</v>
      </c>
      <c r="CR109" s="229">
        <v>-2.7199999999999998E-2</v>
      </c>
      <c r="CS109" s="228">
        <v>632</v>
      </c>
      <c r="CT109" s="228">
        <v>621</v>
      </c>
      <c r="CU109" s="228">
        <v>12</v>
      </c>
      <c r="CV109" s="229">
        <v>1.9099999999999999E-2</v>
      </c>
      <c r="CW109" s="230">
        <v>7190</v>
      </c>
      <c r="CX109" s="230">
        <v>7165</v>
      </c>
      <c r="CY109" s="228">
        <v>26</v>
      </c>
      <c r="CZ109" s="229">
        <v>3.5999999999999999E-3</v>
      </c>
      <c r="DA109" s="228">
        <v>23.44</v>
      </c>
      <c r="DB109" s="228">
        <v>24.14</v>
      </c>
      <c r="DC109" s="228">
        <v>-0.7</v>
      </c>
      <c r="DD109" s="228">
        <v>-0.7</v>
      </c>
      <c r="DE109" s="228">
        <v>29.21</v>
      </c>
      <c r="DF109" s="228">
        <v>29.27</v>
      </c>
      <c r="DG109" s="228">
        <v>-5.77</v>
      </c>
      <c r="DH109" s="228">
        <v>-0.06</v>
      </c>
      <c r="DI109" s="228">
        <v>23.65</v>
      </c>
      <c r="DJ109" s="228">
        <v>24.49</v>
      </c>
      <c r="DK109" s="228">
        <v>-0.84</v>
      </c>
      <c r="DL109" s="228">
        <v>-0.84</v>
      </c>
      <c r="DM109" s="228">
        <v>23.08</v>
      </c>
      <c r="DN109" s="228">
        <v>23.56</v>
      </c>
      <c r="DO109" s="228">
        <v>-0.48</v>
      </c>
      <c r="DP109" s="228">
        <v>-0.48</v>
      </c>
      <c r="DQ109" s="228">
        <v>0.59</v>
      </c>
      <c r="DR109" s="228">
        <v>0.56000000000000005</v>
      </c>
      <c r="DS109" s="228">
        <v>0.03</v>
      </c>
      <c r="DT109" s="229">
        <v>5.3600000000000002E-2</v>
      </c>
      <c r="DU109" s="231">
        <v>1150</v>
      </c>
      <c r="DV109" s="231">
        <v>1100</v>
      </c>
      <c r="DW109" s="228">
        <v>0.52</v>
      </c>
      <c r="DX109" s="228">
        <v>0.51</v>
      </c>
      <c r="DY109" s="228">
        <v>0.01</v>
      </c>
      <c r="DZ109" s="229">
        <v>1.9599999999999999E-2</v>
      </c>
      <c r="EA109" s="229">
        <v>0.86539999999999995</v>
      </c>
      <c r="EB109" s="230">
        <v>32053725</v>
      </c>
      <c r="EC109" s="229">
        <v>5.7000000000000002E-3</v>
      </c>
      <c r="ED109" s="229">
        <v>0.86539999999999995</v>
      </c>
      <c r="EE109" s="228">
        <v>6.68</v>
      </c>
      <c r="EF109" s="229">
        <v>5.7999999999999996E-3</v>
      </c>
      <c r="EG109" s="230">
        <v>609266</v>
      </c>
      <c r="EH109" s="230">
        <v>771307</v>
      </c>
      <c r="EI109" s="229">
        <v>-0.21010000000000001</v>
      </c>
      <c r="EJ109" s="229">
        <v>0.45129999999999998</v>
      </c>
      <c r="EK109" s="231">
        <v>1370.37</v>
      </c>
      <c r="EL109" s="228">
        <v>689.5</v>
      </c>
      <c r="EM109" s="231">
        <v>2412.09</v>
      </c>
      <c r="EN109" s="228">
        <v>238.8</v>
      </c>
      <c r="EO109" s="231">
        <v>4471.97</v>
      </c>
      <c r="EP109" s="231">
        <v>5499.75</v>
      </c>
      <c r="EQ109" s="231">
        <v>-1027.78</v>
      </c>
      <c r="ER109" s="229">
        <v>-0.18690000000000001</v>
      </c>
      <c r="ES109" s="231">
        <v>1116.27</v>
      </c>
      <c r="ET109" s="228">
        <v>608.09</v>
      </c>
      <c r="EU109" s="231">
        <v>5509.53</v>
      </c>
      <c r="EV109" s="231">
        <v>133166619</v>
      </c>
      <c r="EW109" s="231">
        <v>7233.89</v>
      </c>
      <c r="EX109" s="231">
        <v>7175.74</v>
      </c>
      <c r="EY109" s="228">
        <v>58.15</v>
      </c>
      <c r="EZ109" s="229">
        <v>8.0999999999999996E-3</v>
      </c>
      <c r="FA109" s="229">
        <v>0.46989999999999998</v>
      </c>
      <c r="FB109" s="227" t="s">
        <v>555</v>
      </c>
      <c r="FC109">
        <f t="shared" si="1"/>
        <v>4745</v>
      </c>
    </row>
    <row r="110" spans="1:159" ht="17.25" thickBot="1" x14ac:dyDescent="0.3">
      <c r="A110" s="226">
        <v>45957</v>
      </c>
      <c r="B110" s="227" t="s">
        <v>168</v>
      </c>
      <c r="C110" s="227" t="s">
        <v>245</v>
      </c>
      <c r="D110" s="228">
        <v>1250</v>
      </c>
      <c r="E110" s="228">
        <v>1</v>
      </c>
      <c r="F110" s="228">
        <v>595.4</v>
      </c>
      <c r="G110" s="228">
        <v>590.29999999999995</v>
      </c>
      <c r="H110" s="228">
        <v>5.0999999999999996</v>
      </c>
      <c r="I110" s="229">
        <v>8.6E-3</v>
      </c>
      <c r="J110" s="228">
        <v>595.70000000000005</v>
      </c>
      <c r="K110" s="228">
        <v>590.54999999999995</v>
      </c>
      <c r="L110" s="228">
        <v>5.15</v>
      </c>
      <c r="M110" s="229">
        <v>8.6999999999999994E-3</v>
      </c>
      <c r="N110" s="228">
        <v>595.4</v>
      </c>
      <c r="O110" s="228">
        <v>590.29999999999995</v>
      </c>
      <c r="P110" s="228">
        <v>5.0999999999999996</v>
      </c>
      <c r="Q110" s="229">
        <v>8.6E-3</v>
      </c>
      <c r="R110" s="228">
        <v>598.15</v>
      </c>
      <c r="S110" s="228">
        <v>591.9</v>
      </c>
      <c r="T110" s="228">
        <v>6.25</v>
      </c>
      <c r="U110" s="229">
        <v>1.06E-2</v>
      </c>
      <c r="V110" s="228">
        <v>602.25</v>
      </c>
      <c r="W110" s="228">
        <v>596.5</v>
      </c>
      <c r="X110" s="228">
        <v>5.75</v>
      </c>
      <c r="Y110" s="229">
        <v>9.5999999999999992E-3</v>
      </c>
      <c r="Z110" s="228">
        <v>-0.3</v>
      </c>
      <c r="AA110" s="228">
        <v>-0.25</v>
      </c>
      <c r="AB110" s="228">
        <v>-0.05</v>
      </c>
      <c r="AC110" s="229">
        <v>-5.0000000000000001E-4</v>
      </c>
      <c r="AD110" s="228">
        <v>-0.3</v>
      </c>
      <c r="AE110" s="228">
        <v>-0.25</v>
      </c>
      <c r="AF110" s="228">
        <v>-0.05</v>
      </c>
      <c r="AG110" s="229">
        <v>-5.0000000000000001E-4</v>
      </c>
      <c r="AH110" s="228">
        <v>2.4500000000000002</v>
      </c>
      <c r="AI110" s="228">
        <v>1.35</v>
      </c>
      <c r="AJ110" s="228">
        <v>1.1000000000000001</v>
      </c>
      <c r="AK110" s="229">
        <v>4.1000000000000003E-3</v>
      </c>
      <c r="AL110" s="228">
        <v>6.55</v>
      </c>
      <c r="AM110" s="228">
        <v>5.95</v>
      </c>
      <c r="AN110" s="228">
        <v>0.6</v>
      </c>
      <c r="AO110" s="229">
        <v>1.0999999999999999E-2</v>
      </c>
      <c r="AP110" s="228">
        <v>592.13</v>
      </c>
      <c r="AQ110" s="228">
        <v>595.9</v>
      </c>
      <c r="AR110" s="228">
        <v>0</v>
      </c>
      <c r="AS110" s="230">
        <v>1122</v>
      </c>
      <c r="AT110" s="230">
        <v>1015</v>
      </c>
      <c r="AU110" s="228">
        <v>108</v>
      </c>
      <c r="AV110" s="229">
        <v>0.10630000000000001</v>
      </c>
      <c r="AW110" s="228">
        <v>539</v>
      </c>
      <c r="AX110" s="228">
        <v>500</v>
      </c>
      <c r="AY110" s="228">
        <v>39</v>
      </c>
      <c r="AZ110" s="229">
        <v>7.9000000000000001E-2</v>
      </c>
      <c r="BA110" s="228">
        <v>575</v>
      </c>
      <c r="BB110" s="228">
        <v>510</v>
      </c>
      <c r="BC110" s="228">
        <v>65</v>
      </c>
      <c r="BD110" s="229">
        <v>0.12790000000000001</v>
      </c>
      <c r="BE110" s="228">
        <v>8</v>
      </c>
      <c r="BF110" s="228">
        <v>5</v>
      </c>
      <c r="BG110" s="228">
        <v>3</v>
      </c>
      <c r="BH110" s="229">
        <v>0.61429999999999996</v>
      </c>
      <c r="BI110" s="228">
        <v>448</v>
      </c>
      <c r="BJ110" s="228">
        <v>499</v>
      </c>
      <c r="BK110" s="228">
        <v>-51</v>
      </c>
      <c r="BL110" s="229">
        <v>-0.1017</v>
      </c>
      <c r="BM110" s="228">
        <v>197</v>
      </c>
      <c r="BN110" s="228">
        <v>248</v>
      </c>
      <c r="BO110" s="228">
        <v>-50</v>
      </c>
      <c r="BP110" s="229">
        <v>-0.20230000000000001</v>
      </c>
      <c r="BQ110" s="230">
        <v>1768</v>
      </c>
      <c r="BR110" s="230">
        <v>1761</v>
      </c>
      <c r="BS110" s="228">
        <v>7</v>
      </c>
      <c r="BT110" s="229">
        <v>4.0000000000000001E-3</v>
      </c>
      <c r="BU110" s="230">
        <v>816608</v>
      </c>
      <c r="BV110" s="230">
        <v>885852</v>
      </c>
      <c r="BW110" s="230">
        <v>-69244</v>
      </c>
      <c r="BX110" s="229">
        <v>-7.8200000000000006E-2</v>
      </c>
      <c r="BY110" s="230">
        <v>1343</v>
      </c>
      <c r="BZ110" s="230">
        <v>1382</v>
      </c>
      <c r="CA110" s="228">
        <v>-40</v>
      </c>
      <c r="CB110" s="229">
        <v>-2.87E-2</v>
      </c>
      <c r="CC110" s="228">
        <v>216</v>
      </c>
      <c r="CD110" s="228">
        <v>603</v>
      </c>
      <c r="CE110" s="228">
        <v>-388</v>
      </c>
      <c r="CF110" s="229">
        <v>-0.64259999999999995</v>
      </c>
      <c r="CG110" s="230">
        <v>1108</v>
      </c>
      <c r="CH110" s="228">
        <v>762</v>
      </c>
      <c r="CI110" s="228">
        <v>346</v>
      </c>
      <c r="CJ110" s="229">
        <v>0.4546</v>
      </c>
      <c r="CK110" s="228">
        <v>19</v>
      </c>
      <c r="CL110" s="228">
        <v>18</v>
      </c>
      <c r="CM110" s="228">
        <v>2</v>
      </c>
      <c r="CN110" s="229">
        <v>9.7500000000000003E-2</v>
      </c>
      <c r="CO110" s="228">
        <v>498</v>
      </c>
      <c r="CP110" s="228">
        <v>592</v>
      </c>
      <c r="CQ110" s="228">
        <v>-93</v>
      </c>
      <c r="CR110" s="229">
        <v>-0.1578</v>
      </c>
      <c r="CS110" s="228">
        <v>294</v>
      </c>
      <c r="CT110" s="228">
        <v>316</v>
      </c>
      <c r="CU110" s="228">
        <v>-21</v>
      </c>
      <c r="CV110" s="229">
        <v>-6.7599999999999993E-2</v>
      </c>
      <c r="CW110" s="230">
        <v>2136</v>
      </c>
      <c r="CX110" s="230">
        <v>2290</v>
      </c>
      <c r="CY110" s="228">
        <v>-154</v>
      </c>
      <c r="CZ110" s="229">
        <v>-6.7400000000000002E-2</v>
      </c>
      <c r="DA110" s="228">
        <v>28.73</v>
      </c>
      <c r="DB110" s="228">
        <v>28.22</v>
      </c>
      <c r="DC110" s="228">
        <v>0.51</v>
      </c>
      <c r="DD110" s="228">
        <v>0.51</v>
      </c>
      <c r="DE110" s="228">
        <v>33.65</v>
      </c>
      <c r="DF110" s="228">
        <v>33.71</v>
      </c>
      <c r="DG110" s="228">
        <v>-4.92</v>
      </c>
      <c r="DH110" s="228">
        <v>-0.06</v>
      </c>
      <c r="DI110" s="228">
        <v>28.73</v>
      </c>
      <c r="DJ110" s="228">
        <v>28.84</v>
      </c>
      <c r="DK110" s="228">
        <v>-0.11</v>
      </c>
      <c r="DL110" s="228">
        <v>-0.11</v>
      </c>
      <c r="DM110" s="228">
        <v>28.72</v>
      </c>
      <c r="DN110" s="228">
        <v>27.21</v>
      </c>
      <c r="DO110" s="228">
        <v>1.51</v>
      </c>
      <c r="DP110" s="228">
        <v>1.51</v>
      </c>
      <c r="DQ110" s="228">
        <v>0.59</v>
      </c>
      <c r="DR110" s="228">
        <v>0.53</v>
      </c>
      <c r="DS110" s="228">
        <v>0.06</v>
      </c>
      <c r="DT110" s="229">
        <v>0.1132</v>
      </c>
      <c r="DU110" s="228">
        <v>640</v>
      </c>
      <c r="DV110" s="228">
        <v>600</v>
      </c>
      <c r="DW110" s="228">
        <v>0.44</v>
      </c>
      <c r="DX110" s="228">
        <v>0.5</v>
      </c>
      <c r="DY110" s="228">
        <v>-0.06</v>
      </c>
      <c r="DZ110" s="229">
        <v>-0.12</v>
      </c>
      <c r="EA110" s="229">
        <v>0.83940000000000003</v>
      </c>
      <c r="EB110" s="230">
        <v>13087500</v>
      </c>
      <c r="EC110" s="229">
        <v>4.5999999999999999E-3</v>
      </c>
      <c r="ED110" s="229">
        <v>0.83940000000000003</v>
      </c>
      <c r="EE110" s="228">
        <v>3.77</v>
      </c>
      <c r="EF110" s="229">
        <v>6.4000000000000003E-3</v>
      </c>
      <c r="EG110" s="230">
        <v>441176</v>
      </c>
      <c r="EH110" s="230">
        <v>500296</v>
      </c>
      <c r="EI110" s="229">
        <v>-0.1182</v>
      </c>
      <c r="EJ110" s="229">
        <v>0.5403</v>
      </c>
      <c r="EK110" s="228">
        <v>467.98</v>
      </c>
      <c r="EL110" s="228">
        <v>198.41</v>
      </c>
      <c r="EM110" s="231">
        <v>1120.07</v>
      </c>
      <c r="EN110" s="228">
        <v>71.08</v>
      </c>
      <c r="EO110" s="231">
        <v>1786.46</v>
      </c>
      <c r="EP110" s="231">
        <v>1778.87</v>
      </c>
      <c r="EQ110" s="228">
        <v>7.59</v>
      </c>
      <c r="ER110" s="229">
        <v>4.3E-3</v>
      </c>
      <c r="ES110" s="228">
        <v>529.41999999999996</v>
      </c>
      <c r="ET110" s="228">
        <v>292.02</v>
      </c>
      <c r="EU110" s="231">
        <v>1348.11</v>
      </c>
      <c r="EV110" s="231">
        <v>48884739</v>
      </c>
      <c r="EW110" s="231">
        <v>2169.5500000000002</v>
      </c>
      <c r="EX110" s="231">
        <v>2315.04</v>
      </c>
      <c r="EY110" s="228">
        <v>-145.49</v>
      </c>
      <c r="EZ110" s="229">
        <v>-6.2799999999999995E-2</v>
      </c>
      <c r="FA110" s="229">
        <v>0.73370000000000002</v>
      </c>
      <c r="FB110" s="227" t="s">
        <v>556</v>
      </c>
      <c r="FC110">
        <f t="shared" si="1"/>
        <v>1127</v>
      </c>
    </row>
    <row r="111" spans="1:159" ht="17.25" thickBot="1" x14ac:dyDescent="0.3">
      <c r="A111" s="226">
        <v>45957</v>
      </c>
      <c r="B111" s="227" t="s">
        <v>168</v>
      </c>
      <c r="C111" s="227" t="s">
        <v>582</v>
      </c>
      <c r="D111" s="228">
        <v>1175</v>
      </c>
      <c r="E111" s="228">
        <v>1</v>
      </c>
      <c r="F111" s="228">
        <v>506.7</v>
      </c>
      <c r="G111" s="228">
        <v>494.8</v>
      </c>
      <c r="H111" s="228">
        <v>11.9</v>
      </c>
      <c r="I111" s="229">
        <v>2.41E-2</v>
      </c>
      <c r="J111" s="228">
        <v>505.85</v>
      </c>
      <c r="K111" s="228">
        <v>495.3</v>
      </c>
      <c r="L111" s="228">
        <v>10.55</v>
      </c>
      <c r="M111" s="229">
        <v>2.1299999999999999E-2</v>
      </c>
      <c r="N111" s="228">
        <v>506.7</v>
      </c>
      <c r="O111" s="228">
        <v>494.8</v>
      </c>
      <c r="P111" s="228">
        <v>11.9</v>
      </c>
      <c r="Q111" s="229">
        <v>2.41E-2</v>
      </c>
      <c r="R111" s="228">
        <v>509.55</v>
      </c>
      <c r="S111" s="228">
        <v>497.5</v>
      </c>
      <c r="T111" s="228">
        <v>12.05</v>
      </c>
      <c r="U111" s="229">
        <v>2.4199999999999999E-2</v>
      </c>
      <c r="V111" s="228">
        <v>512.35</v>
      </c>
      <c r="W111" s="228">
        <v>500.15</v>
      </c>
      <c r="X111" s="228">
        <v>12.2</v>
      </c>
      <c r="Y111" s="229">
        <v>2.4400000000000002E-2</v>
      </c>
      <c r="Z111" s="228">
        <v>0.85</v>
      </c>
      <c r="AA111" s="228">
        <v>-0.5</v>
      </c>
      <c r="AB111" s="228">
        <v>1.35</v>
      </c>
      <c r="AC111" s="229">
        <v>1.6999999999999999E-3</v>
      </c>
      <c r="AD111" s="228">
        <v>0.85</v>
      </c>
      <c r="AE111" s="228">
        <v>-0.5</v>
      </c>
      <c r="AF111" s="228">
        <v>1.35</v>
      </c>
      <c r="AG111" s="229">
        <v>1.6999999999999999E-3</v>
      </c>
      <c r="AH111" s="228">
        <v>3.7</v>
      </c>
      <c r="AI111" s="228">
        <v>2.2000000000000002</v>
      </c>
      <c r="AJ111" s="228">
        <v>1.5</v>
      </c>
      <c r="AK111" s="229">
        <v>7.3000000000000001E-3</v>
      </c>
      <c r="AL111" s="228">
        <v>6.5</v>
      </c>
      <c r="AM111" s="228">
        <v>4.8499999999999996</v>
      </c>
      <c r="AN111" s="228">
        <v>1.65</v>
      </c>
      <c r="AO111" s="229">
        <v>1.2800000000000001E-2</v>
      </c>
      <c r="AP111" s="228">
        <v>502.56</v>
      </c>
      <c r="AQ111" s="228">
        <v>505.73</v>
      </c>
      <c r="AR111" s="228">
        <v>0</v>
      </c>
      <c r="AS111" s="230">
        <v>1311</v>
      </c>
      <c r="AT111" s="230">
        <v>1019</v>
      </c>
      <c r="AU111" s="228">
        <v>292</v>
      </c>
      <c r="AV111" s="229">
        <v>0.28699999999999998</v>
      </c>
      <c r="AW111" s="228">
        <v>614</v>
      </c>
      <c r="AX111" s="228">
        <v>509</v>
      </c>
      <c r="AY111" s="228">
        <v>106</v>
      </c>
      <c r="AZ111" s="229">
        <v>0.20730000000000001</v>
      </c>
      <c r="BA111" s="228">
        <v>690</v>
      </c>
      <c r="BB111" s="228">
        <v>507</v>
      </c>
      <c r="BC111" s="228">
        <v>182</v>
      </c>
      <c r="BD111" s="229">
        <v>0.35949999999999999</v>
      </c>
      <c r="BE111" s="228">
        <v>7</v>
      </c>
      <c r="BF111" s="228">
        <v>3</v>
      </c>
      <c r="BG111" s="228">
        <v>4</v>
      </c>
      <c r="BH111" s="229">
        <v>1.7442</v>
      </c>
      <c r="BI111" s="230">
        <v>1016</v>
      </c>
      <c r="BJ111" s="228">
        <v>690</v>
      </c>
      <c r="BK111" s="228">
        <v>326</v>
      </c>
      <c r="BL111" s="229">
        <v>0.47199999999999998</v>
      </c>
      <c r="BM111" s="228">
        <v>438</v>
      </c>
      <c r="BN111" s="228">
        <v>260</v>
      </c>
      <c r="BO111" s="228">
        <v>179</v>
      </c>
      <c r="BP111" s="229">
        <v>0.68720000000000003</v>
      </c>
      <c r="BQ111" s="230">
        <v>2765</v>
      </c>
      <c r="BR111" s="230">
        <v>1969</v>
      </c>
      <c r="BS111" s="228">
        <v>797</v>
      </c>
      <c r="BT111" s="229">
        <v>0.4047</v>
      </c>
      <c r="BU111" s="230">
        <v>3374621</v>
      </c>
      <c r="BV111" s="230">
        <v>1927228</v>
      </c>
      <c r="BW111" s="230">
        <v>1447393</v>
      </c>
      <c r="BX111" s="229">
        <v>0.751</v>
      </c>
      <c r="BY111" s="230">
        <v>1551</v>
      </c>
      <c r="BZ111" s="230">
        <v>1527</v>
      </c>
      <c r="CA111" s="228">
        <v>24</v>
      </c>
      <c r="CB111" s="229">
        <v>1.5800000000000002E-2</v>
      </c>
      <c r="CC111" s="228">
        <v>228</v>
      </c>
      <c r="CD111" s="228">
        <v>702</v>
      </c>
      <c r="CE111" s="228">
        <v>-474</v>
      </c>
      <c r="CF111" s="229">
        <v>-0.67549999999999999</v>
      </c>
      <c r="CG111" s="230">
        <v>1311</v>
      </c>
      <c r="CH111" s="228">
        <v>816</v>
      </c>
      <c r="CI111" s="228">
        <v>495</v>
      </c>
      <c r="CJ111" s="229">
        <v>0.60650000000000004</v>
      </c>
      <c r="CK111" s="228">
        <v>11</v>
      </c>
      <c r="CL111" s="228">
        <v>8</v>
      </c>
      <c r="CM111" s="228">
        <v>3</v>
      </c>
      <c r="CN111" s="229">
        <v>0.4088</v>
      </c>
      <c r="CO111" s="228">
        <v>500</v>
      </c>
      <c r="CP111" s="228">
        <v>649</v>
      </c>
      <c r="CQ111" s="228">
        <v>-149</v>
      </c>
      <c r="CR111" s="229">
        <v>-0.2301</v>
      </c>
      <c r="CS111" s="228">
        <v>377</v>
      </c>
      <c r="CT111" s="228">
        <v>398</v>
      </c>
      <c r="CU111" s="228">
        <v>-21</v>
      </c>
      <c r="CV111" s="229">
        <v>-5.2699999999999997E-2</v>
      </c>
      <c r="CW111" s="230">
        <v>2427</v>
      </c>
      <c r="CX111" s="230">
        <v>2574</v>
      </c>
      <c r="CY111" s="228">
        <v>-146</v>
      </c>
      <c r="CZ111" s="229">
        <v>-5.6800000000000003E-2</v>
      </c>
      <c r="DA111" s="228">
        <v>38.43</v>
      </c>
      <c r="DB111" s="228">
        <v>38.630000000000003</v>
      </c>
      <c r="DC111" s="228">
        <v>-0.2</v>
      </c>
      <c r="DD111" s="228">
        <v>-0.2</v>
      </c>
      <c r="DE111" s="228">
        <v>51.12</v>
      </c>
      <c r="DF111" s="228">
        <v>51.17</v>
      </c>
      <c r="DG111" s="228">
        <v>-12.69</v>
      </c>
      <c r="DH111" s="228">
        <v>-0.05</v>
      </c>
      <c r="DI111" s="228">
        <v>37.79</v>
      </c>
      <c r="DJ111" s="228">
        <v>38.6</v>
      </c>
      <c r="DK111" s="228">
        <v>-0.81</v>
      </c>
      <c r="DL111" s="228">
        <v>-0.81</v>
      </c>
      <c r="DM111" s="228">
        <v>40.04</v>
      </c>
      <c r="DN111" s="228">
        <v>38.67</v>
      </c>
      <c r="DO111" s="228">
        <v>1.37</v>
      </c>
      <c r="DP111" s="228">
        <v>1.37</v>
      </c>
      <c r="DQ111" s="228">
        <v>0.75</v>
      </c>
      <c r="DR111" s="228">
        <v>0.61</v>
      </c>
      <c r="DS111" s="228">
        <v>0.14000000000000001</v>
      </c>
      <c r="DT111" s="229">
        <v>0.22950000000000001</v>
      </c>
      <c r="DU111" s="228">
        <v>500</v>
      </c>
      <c r="DV111" s="228">
        <v>480</v>
      </c>
      <c r="DW111" s="228">
        <v>0.43</v>
      </c>
      <c r="DX111" s="228">
        <v>0.38</v>
      </c>
      <c r="DY111" s="228">
        <v>0.05</v>
      </c>
      <c r="DZ111" s="229">
        <v>0.13159999999999999</v>
      </c>
      <c r="EA111" s="229">
        <v>0.85309999999999997</v>
      </c>
      <c r="EB111" s="230">
        <v>16271400</v>
      </c>
      <c r="EC111" s="229">
        <v>5.5999999999999999E-3</v>
      </c>
      <c r="ED111" s="229">
        <v>0.85309999999999997</v>
      </c>
      <c r="EE111" s="228">
        <v>3.17</v>
      </c>
      <c r="EF111" s="229">
        <v>6.3E-3</v>
      </c>
      <c r="EG111" s="230">
        <v>1579686</v>
      </c>
      <c r="EH111" s="230">
        <v>660789</v>
      </c>
      <c r="EI111" s="229">
        <v>1.3906000000000001</v>
      </c>
      <c r="EJ111" s="229">
        <v>0.46810000000000002</v>
      </c>
      <c r="EK111" s="231">
        <v>1040.01</v>
      </c>
      <c r="EL111" s="228">
        <v>425.54</v>
      </c>
      <c r="EM111" s="231">
        <v>1304.95</v>
      </c>
      <c r="EN111" s="228">
        <v>97.19</v>
      </c>
      <c r="EO111" s="231">
        <v>2770.49</v>
      </c>
      <c r="EP111" s="231">
        <v>1963.91</v>
      </c>
      <c r="EQ111" s="228">
        <v>806.58</v>
      </c>
      <c r="ER111" s="229">
        <v>0.41070000000000001</v>
      </c>
      <c r="ES111" s="228">
        <v>511.88</v>
      </c>
      <c r="ET111" s="228">
        <v>351.45</v>
      </c>
      <c r="EU111" s="231">
        <v>1558.27</v>
      </c>
      <c r="EV111" s="231">
        <v>57552009</v>
      </c>
      <c r="EW111" s="231">
        <v>2421.6</v>
      </c>
      <c r="EX111" s="231">
        <v>2530.36</v>
      </c>
      <c r="EY111" s="228">
        <v>-108.76</v>
      </c>
      <c r="EZ111" s="229">
        <v>-4.2999999999999997E-2</v>
      </c>
      <c r="FA111" s="229">
        <v>0.83240000000000003</v>
      </c>
      <c r="FB111" s="227" t="s">
        <v>555</v>
      </c>
      <c r="FC111">
        <f t="shared" si="1"/>
        <v>1323</v>
      </c>
    </row>
    <row r="112" spans="1:159" ht="17.25" thickBot="1" x14ac:dyDescent="0.3">
      <c r="A112" s="226">
        <v>45957</v>
      </c>
      <c r="B112" s="227" t="s">
        <v>184</v>
      </c>
      <c r="C112" s="227" t="s">
        <v>677</v>
      </c>
      <c r="D112" s="228">
        <v>100</v>
      </c>
      <c r="E112" s="228">
        <v>1</v>
      </c>
      <c r="F112" s="231">
        <v>6733.5</v>
      </c>
      <c r="G112" s="231">
        <v>6690</v>
      </c>
      <c r="H112" s="228">
        <v>43.5</v>
      </c>
      <c r="I112" s="229">
        <v>6.4999999999999997E-3</v>
      </c>
      <c r="J112" s="231">
        <v>6737.5</v>
      </c>
      <c r="K112" s="231">
        <v>6689</v>
      </c>
      <c r="L112" s="228">
        <v>48.5</v>
      </c>
      <c r="M112" s="229">
        <v>7.3000000000000001E-3</v>
      </c>
      <c r="N112" s="231">
        <v>6733.5</v>
      </c>
      <c r="O112" s="231">
        <v>6690</v>
      </c>
      <c r="P112" s="228">
        <v>43.5</v>
      </c>
      <c r="Q112" s="229">
        <v>6.4999999999999997E-3</v>
      </c>
      <c r="R112" s="231">
        <v>6768.5</v>
      </c>
      <c r="S112" s="231">
        <v>6705</v>
      </c>
      <c r="T112" s="228">
        <v>63.5</v>
      </c>
      <c r="U112" s="229">
        <v>9.4999999999999998E-3</v>
      </c>
      <c r="V112" s="231">
        <v>6805.5</v>
      </c>
      <c r="W112" s="231">
        <v>6741.5</v>
      </c>
      <c r="X112" s="228">
        <v>64</v>
      </c>
      <c r="Y112" s="229">
        <v>9.4999999999999998E-3</v>
      </c>
      <c r="Z112" s="228">
        <v>-4</v>
      </c>
      <c r="AA112" s="228">
        <v>1</v>
      </c>
      <c r="AB112" s="228">
        <v>-5</v>
      </c>
      <c r="AC112" s="229">
        <v>-5.9999999999999995E-4</v>
      </c>
      <c r="AD112" s="228">
        <v>-4</v>
      </c>
      <c r="AE112" s="228">
        <v>1</v>
      </c>
      <c r="AF112" s="228">
        <v>-5</v>
      </c>
      <c r="AG112" s="229">
        <v>-5.9999999999999995E-4</v>
      </c>
      <c r="AH112" s="228">
        <v>31</v>
      </c>
      <c r="AI112" s="228">
        <v>16</v>
      </c>
      <c r="AJ112" s="228">
        <v>15</v>
      </c>
      <c r="AK112" s="229">
        <v>4.5999999999999999E-3</v>
      </c>
      <c r="AL112" s="228">
        <v>68</v>
      </c>
      <c r="AM112" s="228">
        <v>52.5</v>
      </c>
      <c r="AN112" s="228">
        <v>15.5</v>
      </c>
      <c r="AO112" s="229">
        <v>1.01E-2</v>
      </c>
      <c r="AP112" s="231">
        <v>6714.8</v>
      </c>
      <c r="AQ112" s="231">
        <v>6742.37</v>
      </c>
      <c r="AR112" s="228">
        <v>0</v>
      </c>
      <c r="AS112" s="228">
        <v>719</v>
      </c>
      <c r="AT112" s="228">
        <v>814</v>
      </c>
      <c r="AU112" s="228">
        <v>-96</v>
      </c>
      <c r="AV112" s="229">
        <v>-0.1174</v>
      </c>
      <c r="AW112" s="228">
        <v>356</v>
      </c>
      <c r="AX112" s="228">
        <v>411</v>
      </c>
      <c r="AY112" s="228">
        <v>-54</v>
      </c>
      <c r="AZ112" s="229">
        <v>-0.13239999999999999</v>
      </c>
      <c r="BA112" s="228">
        <v>359</v>
      </c>
      <c r="BB112" s="228">
        <v>396</v>
      </c>
      <c r="BC112" s="228">
        <v>-38</v>
      </c>
      <c r="BD112" s="229">
        <v>-9.4600000000000004E-2</v>
      </c>
      <c r="BE112" s="228">
        <v>3</v>
      </c>
      <c r="BF112" s="228">
        <v>7</v>
      </c>
      <c r="BG112" s="228">
        <v>-4</v>
      </c>
      <c r="BH112" s="229">
        <v>-0.51890000000000003</v>
      </c>
      <c r="BI112" s="230">
        <v>1486</v>
      </c>
      <c r="BJ112" s="230">
        <v>2217</v>
      </c>
      <c r="BK112" s="228">
        <v>-732</v>
      </c>
      <c r="BL112" s="229">
        <v>-0.33</v>
      </c>
      <c r="BM112" s="228">
        <v>503</v>
      </c>
      <c r="BN112" s="228">
        <v>789</v>
      </c>
      <c r="BO112" s="228">
        <v>-286</v>
      </c>
      <c r="BP112" s="229">
        <v>-0.36230000000000001</v>
      </c>
      <c r="BQ112" s="230">
        <v>2707</v>
      </c>
      <c r="BR112" s="230">
        <v>3820</v>
      </c>
      <c r="BS112" s="230">
        <v>-1113</v>
      </c>
      <c r="BT112" s="229">
        <v>-0.2913</v>
      </c>
      <c r="BU112" s="230">
        <v>270854</v>
      </c>
      <c r="BV112" s="230">
        <v>287347</v>
      </c>
      <c r="BW112" s="230">
        <v>-16493</v>
      </c>
      <c r="BX112" s="229">
        <v>-5.74E-2</v>
      </c>
      <c r="BY112" s="228">
        <v>835</v>
      </c>
      <c r="BZ112" s="228">
        <v>889</v>
      </c>
      <c r="CA112" s="228">
        <v>-55</v>
      </c>
      <c r="CB112" s="229">
        <v>-6.1600000000000002E-2</v>
      </c>
      <c r="CC112" s="228">
        <v>247</v>
      </c>
      <c r="CD112" s="228">
        <v>441</v>
      </c>
      <c r="CE112" s="228">
        <v>-194</v>
      </c>
      <c r="CF112" s="229">
        <v>-0.4395</v>
      </c>
      <c r="CG112" s="228">
        <v>567</v>
      </c>
      <c r="CH112" s="228">
        <v>430</v>
      </c>
      <c r="CI112" s="228">
        <v>137</v>
      </c>
      <c r="CJ112" s="229">
        <v>0.31929999999999997</v>
      </c>
      <c r="CK112" s="228">
        <v>21</v>
      </c>
      <c r="CL112" s="228">
        <v>19</v>
      </c>
      <c r="CM112" s="228">
        <v>2</v>
      </c>
      <c r="CN112" s="229">
        <v>8.8999999999999996E-2</v>
      </c>
      <c r="CO112" s="230">
        <v>1150</v>
      </c>
      <c r="CP112" s="230">
        <v>1329</v>
      </c>
      <c r="CQ112" s="228">
        <v>-179</v>
      </c>
      <c r="CR112" s="229">
        <v>-0.1348</v>
      </c>
      <c r="CS112" s="228">
        <v>472</v>
      </c>
      <c r="CT112" s="228">
        <v>542</v>
      </c>
      <c r="CU112" s="228">
        <v>-70</v>
      </c>
      <c r="CV112" s="229">
        <v>-0.1293</v>
      </c>
      <c r="CW112" s="230">
        <v>2456</v>
      </c>
      <c r="CX112" s="230">
        <v>2760</v>
      </c>
      <c r="CY112" s="228">
        <v>-304</v>
      </c>
      <c r="CZ112" s="229">
        <v>-0.1101</v>
      </c>
      <c r="DA112" s="228">
        <v>40.14</v>
      </c>
      <c r="DB112" s="228">
        <v>39.89</v>
      </c>
      <c r="DC112" s="228">
        <v>0.25</v>
      </c>
      <c r="DD112" s="228">
        <v>0.25</v>
      </c>
      <c r="DE112" s="228">
        <v>55.04</v>
      </c>
      <c r="DF112" s="228">
        <v>55.17</v>
      </c>
      <c r="DG112" s="228">
        <v>-14.9</v>
      </c>
      <c r="DH112" s="228">
        <v>-0.13</v>
      </c>
      <c r="DI112" s="228">
        <v>39.950000000000003</v>
      </c>
      <c r="DJ112" s="228">
        <v>40.270000000000003</v>
      </c>
      <c r="DK112" s="228">
        <v>-0.32</v>
      </c>
      <c r="DL112" s="228">
        <v>-0.32</v>
      </c>
      <c r="DM112" s="228">
        <v>40.590000000000003</v>
      </c>
      <c r="DN112" s="228">
        <v>39.049999999999997</v>
      </c>
      <c r="DO112" s="228">
        <v>1.54</v>
      </c>
      <c r="DP112" s="228">
        <v>1.54</v>
      </c>
      <c r="DQ112" s="228">
        <v>0.41</v>
      </c>
      <c r="DR112" s="228">
        <v>0.41</v>
      </c>
      <c r="DS112" s="228">
        <v>0</v>
      </c>
      <c r="DT112" s="229">
        <v>0</v>
      </c>
      <c r="DU112" s="231">
        <v>7000</v>
      </c>
      <c r="DV112" s="231">
        <v>6500</v>
      </c>
      <c r="DW112" s="228">
        <v>0.34</v>
      </c>
      <c r="DX112" s="228">
        <v>0.36</v>
      </c>
      <c r="DY112" s="228">
        <v>-0.02</v>
      </c>
      <c r="DZ112" s="229">
        <v>-5.5599999999999997E-2</v>
      </c>
      <c r="EA112" s="229">
        <v>0.70399999999999996</v>
      </c>
      <c r="EB112" s="230">
        <v>666300</v>
      </c>
      <c r="EC112" s="229">
        <v>5.1999999999999998E-3</v>
      </c>
      <c r="ED112" s="229">
        <v>0.70399999999999996</v>
      </c>
      <c r="EE112" s="228">
        <v>27.57</v>
      </c>
      <c r="EF112" s="229">
        <v>4.1000000000000003E-3</v>
      </c>
      <c r="EG112" s="230">
        <v>109957</v>
      </c>
      <c r="EH112" s="230">
        <v>93861</v>
      </c>
      <c r="EI112" s="229">
        <v>0.17150000000000001</v>
      </c>
      <c r="EJ112" s="229">
        <v>0.40600000000000003</v>
      </c>
      <c r="EK112" s="231">
        <v>1604.43</v>
      </c>
      <c r="EL112" s="228">
        <v>505.34</v>
      </c>
      <c r="EM112" s="228">
        <v>718.11</v>
      </c>
      <c r="EN112" s="228">
        <v>66.400000000000006</v>
      </c>
      <c r="EO112" s="231">
        <v>2827.88</v>
      </c>
      <c r="EP112" s="231">
        <v>3948.28</v>
      </c>
      <c r="EQ112" s="231">
        <v>-1120.4100000000001</v>
      </c>
      <c r="ER112" s="229">
        <v>-0.2838</v>
      </c>
      <c r="ES112" s="231">
        <v>1256.23</v>
      </c>
      <c r="ET112" s="228">
        <v>475.08</v>
      </c>
      <c r="EU112" s="228">
        <v>837.78</v>
      </c>
      <c r="EV112" s="231">
        <v>4667784</v>
      </c>
      <c r="EW112" s="231">
        <v>2569.1</v>
      </c>
      <c r="EX112" s="231">
        <v>2892.87</v>
      </c>
      <c r="EY112" s="228">
        <v>-323.77</v>
      </c>
      <c r="EZ112" s="229">
        <v>-0.1119</v>
      </c>
      <c r="FA112" s="229">
        <v>0.78149999999999997</v>
      </c>
      <c r="FB112" s="227" t="s">
        <v>556</v>
      </c>
      <c r="FC112">
        <f t="shared" si="1"/>
        <v>588</v>
      </c>
    </row>
    <row r="113" spans="1:159" ht="17.25" thickBot="1" x14ac:dyDescent="0.3">
      <c r="A113" s="226">
        <v>45957</v>
      </c>
      <c r="B113" s="227" t="s">
        <v>161</v>
      </c>
      <c r="C113" s="227" t="s">
        <v>610</v>
      </c>
      <c r="D113" s="228">
        <v>175</v>
      </c>
      <c r="E113" s="228">
        <v>1</v>
      </c>
      <c r="F113" s="231">
        <v>4095.7</v>
      </c>
      <c r="G113" s="231">
        <v>4138.8999999999996</v>
      </c>
      <c r="H113" s="228">
        <v>-43.2</v>
      </c>
      <c r="I113" s="229">
        <v>-1.04E-2</v>
      </c>
      <c r="J113" s="231">
        <v>4084.8</v>
      </c>
      <c r="K113" s="231">
        <v>4125.7</v>
      </c>
      <c r="L113" s="228">
        <v>-40.9</v>
      </c>
      <c r="M113" s="229">
        <v>-9.9000000000000008E-3</v>
      </c>
      <c r="N113" s="231">
        <v>4095.7</v>
      </c>
      <c r="O113" s="231">
        <v>4138.8999999999996</v>
      </c>
      <c r="P113" s="228">
        <v>-43.2</v>
      </c>
      <c r="Q113" s="229">
        <v>-1.04E-2</v>
      </c>
      <c r="R113" s="231">
        <v>4092.2</v>
      </c>
      <c r="S113" s="231">
        <v>4105.3</v>
      </c>
      <c r="T113" s="228">
        <v>-13.1</v>
      </c>
      <c r="U113" s="229">
        <v>-3.2000000000000002E-3</v>
      </c>
      <c r="V113" s="231">
        <v>4078.6</v>
      </c>
      <c r="W113" s="231">
        <v>4096.2</v>
      </c>
      <c r="X113" s="228">
        <v>-17.600000000000001</v>
      </c>
      <c r="Y113" s="229">
        <v>-4.3E-3</v>
      </c>
      <c r="Z113" s="228">
        <v>10.9</v>
      </c>
      <c r="AA113" s="228">
        <v>13.2</v>
      </c>
      <c r="AB113" s="228">
        <v>-2.2999999999999998</v>
      </c>
      <c r="AC113" s="229">
        <v>2.7000000000000001E-3</v>
      </c>
      <c r="AD113" s="228">
        <v>10.9</v>
      </c>
      <c r="AE113" s="228">
        <v>13.2</v>
      </c>
      <c r="AF113" s="228">
        <v>-2.2999999999999998</v>
      </c>
      <c r="AG113" s="229">
        <v>2.7000000000000001E-3</v>
      </c>
      <c r="AH113" s="228">
        <v>7.4</v>
      </c>
      <c r="AI113" s="228">
        <v>-20.399999999999999</v>
      </c>
      <c r="AJ113" s="228">
        <v>27.8</v>
      </c>
      <c r="AK113" s="229">
        <v>1.8E-3</v>
      </c>
      <c r="AL113" s="228">
        <v>-6.2</v>
      </c>
      <c r="AM113" s="228">
        <v>-29.5</v>
      </c>
      <c r="AN113" s="228">
        <v>23.3</v>
      </c>
      <c r="AO113" s="229">
        <v>-1.5E-3</v>
      </c>
      <c r="AP113" s="231">
        <v>4119.7700000000004</v>
      </c>
      <c r="AQ113" s="231">
        <v>4103.9399999999996</v>
      </c>
      <c r="AR113" s="228">
        <v>0</v>
      </c>
      <c r="AS113" s="228">
        <v>503</v>
      </c>
      <c r="AT113" s="228">
        <v>682</v>
      </c>
      <c r="AU113" s="228">
        <v>-179</v>
      </c>
      <c r="AV113" s="229">
        <v>-0.26200000000000001</v>
      </c>
      <c r="AW113" s="228">
        <v>246</v>
      </c>
      <c r="AX113" s="228">
        <v>360</v>
      </c>
      <c r="AY113" s="228">
        <v>-114</v>
      </c>
      <c r="AZ113" s="229">
        <v>-0.31740000000000002</v>
      </c>
      <c r="BA113" s="228">
        <v>254</v>
      </c>
      <c r="BB113" s="228">
        <v>319</v>
      </c>
      <c r="BC113" s="228">
        <v>-65</v>
      </c>
      <c r="BD113" s="229">
        <v>-0.20280000000000001</v>
      </c>
      <c r="BE113" s="228">
        <v>3</v>
      </c>
      <c r="BF113" s="228">
        <v>3</v>
      </c>
      <c r="BG113" s="228">
        <v>0</v>
      </c>
      <c r="BH113" s="229">
        <v>0.1351</v>
      </c>
      <c r="BI113" s="228">
        <v>860</v>
      </c>
      <c r="BJ113" s="228">
        <v>785</v>
      </c>
      <c r="BK113" s="228">
        <v>74</v>
      </c>
      <c r="BL113" s="229">
        <v>9.4799999999999995E-2</v>
      </c>
      <c r="BM113" s="228">
        <v>227</v>
      </c>
      <c r="BN113" s="228">
        <v>379</v>
      </c>
      <c r="BO113" s="228">
        <v>-152</v>
      </c>
      <c r="BP113" s="229">
        <v>-0.40050000000000002</v>
      </c>
      <c r="BQ113" s="230">
        <v>1590</v>
      </c>
      <c r="BR113" s="230">
        <v>1846</v>
      </c>
      <c r="BS113" s="228">
        <v>-256</v>
      </c>
      <c r="BT113" s="229">
        <v>-0.1386</v>
      </c>
      <c r="BU113" s="230">
        <v>167515</v>
      </c>
      <c r="BV113" s="230">
        <v>251602</v>
      </c>
      <c r="BW113" s="230">
        <v>-84087</v>
      </c>
      <c r="BX113" s="229">
        <v>-0.3342</v>
      </c>
      <c r="BY113" s="228">
        <v>548</v>
      </c>
      <c r="BZ113" s="228">
        <v>600</v>
      </c>
      <c r="CA113" s="228">
        <v>-52</v>
      </c>
      <c r="CB113" s="229">
        <v>-8.6999999999999994E-2</v>
      </c>
      <c r="CC113" s="228">
        <v>124</v>
      </c>
      <c r="CD113" s="228">
        <v>232</v>
      </c>
      <c r="CE113" s="228">
        <v>-108</v>
      </c>
      <c r="CF113" s="229">
        <v>-0.46429999999999999</v>
      </c>
      <c r="CG113" s="228">
        <v>411</v>
      </c>
      <c r="CH113" s="228">
        <v>356</v>
      </c>
      <c r="CI113" s="228">
        <v>55</v>
      </c>
      <c r="CJ113" s="229">
        <v>0.15459999999999999</v>
      </c>
      <c r="CK113" s="228">
        <v>12</v>
      </c>
      <c r="CL113" s="228">
        <v>12</v>
      </c>
      <c r="CM113" s="228">
        <v>0</v>
      </c>
      <c r="CN113" s="229">
        <v>3.0300000000000001E-2</v>
      </c>
      <c r="CO113" s="228">
        <v>520</v>
      </c>
      <c r="CP113" s="228">
        <v>616</v>
      </c>
      <c r="CQ113" s="228">
        <v>-96</v>
      </c>
      <c r="CR113" s="229">
        <v>-0.15540000000000001</v>
      </c>
      <c r="CS113" s="228">
        <v>190</v>
      </c>
      <c r="CT113" s="228">
        <v>241</v>
      </c>
      <c r="CU113" s="228">
        <v>-51</v>
      </c>
      <c r="CV113" s="229">
        <v>-0.2127</v>
      </c>
      <c r="CW113" s="230">
        <v>1258</v>
      </c>
      <c r="CX113" s="230">
        <v>1457</v>
      </c>
      <c r="CY113" s="228">
        <v>-199</v>
      </c>
      <c r="CZ113" s="229">
        <v>-0.13669999999999999</v>
      </c>
      <c r="DA113" s="228">
        <v>32.31</v>
      </c>
      <c r="DB113" s="228">
        <v>31.84</v>
      </c>
      <c r="DC113" s="228">
        <v>0.47</v>
      </c>
      <c r="DD113" s="228">
        <v>0.47</v>
      </c>
      <c r="DE113" s="228">
        <v>48.27</v>
      </c>
      <c r="DF113" s="228">
        <v>48.37</v>
      </c>
      <c r="DG113" s="228">
        <v>-15.96</v>
      </c>
      <c r="DH113" s="228">
        <v>-0.1</v>
      </c>
      <c r="DI113" s="228">
        <v>32.479999999999997</v>
      </c>
      <c r="DJ113" s="228">
        <v>32.049999999999997</v>
      </c>
      <c r="DK113" s="228">
        <v>0.43</v>
      </c>
      <c r="DL113" s="228">
        <v>0.43</v>
      </c>
      <c r="DM113" s="228">
        <v>31.67</v>
      </c>
      <c r="DN113" s="228">
        <v>31.01</v>
      </c>
      <c r="DO113" s="228">
        <v>0.66</v>
      </c>
      <c r="DP113" s="228">
        <v>0.66</v>
      </c>
      <c r="DQ113" s="228">
        <v>0.37</v>
      </c>
      <c r="DR113" s="228">
        <v>0.39</v>
      </c>
      <c r="DS113" s="228">
        <v>-0.02</v>
      </c>
      <c r="DT113" s="229">
        <v>-5.1299999999999998E-2</v>
      </c>
      <c r="DU113" s="231">
        <v>4400</v>
      </c>
      <c r="DV113" s="231">
        <v>3900</v>
      </c>
      <c r="DW113" s="228">
        <v>0.26</v>
      </c>
      <c r="DX113" s="228">
        <v>0.48</v>
      </c>
      <c r="DY113" s="228">
        <v>-0.22</v>
      </c>
      <c r="DZ113" s="229">
        <v>-0.45829999999999999</v>
      </c>
      <c r="EA113" s="229">
        <v>0.77329999999999999</v>
      </c>
      <c r="EB113" s="230">
        <v>898450</v>
      </c>
      <c r="EC113" s="229">
        <v>-8.9999999999999998E-4</v>
      </c>
      <c r="ED113" s="229">
        <v>0.77329999999999999</v>
      </c>
      <c r="EE113" s="228">
        <v>-15.83</v>
      </c>
      <c r="EF113" s="229">
        <v>-3.8E-3</v>
      </c>
      <c r="EG113" s="230">
        <v>85868</v>
      </c>
      <c r="EH113" s="230">
        <v>133525</v>
      </c>
      <c r="EI113" s="229">
        <v>-0.3569</v>
      </c>
      <c r="EJ113" s="229">
        <v>0.51259999999999994</v>
      </c>
      <c r="EK113" s="228">
        <v>906.13</v>
      </c>
      <c r="EL113" s="228">
        <v>231.31</v>
      </c>
      <c r="EM113" s="228">
        <v>505.04</v>
      </c>
      <c r="EN113" s="228">
        <v>55.08</v>
      </c>
      <c r="EO113" s="231">
        <v>1642.48</v>
      </c>
      <c r="EP113" s="231">
        <v>1889.97</v>
      </c>
      <c r="EQ113" s="228">
        <v>-247.49</v>
      </c>
      <c r="ER113" s="229">
        <v>-0.13089999999999999</v>
      </c>
      <c r="ES113" s="228">
        <v>552.42999999999995</v>
      </c>
      <c r="ET113" s="228">
        <v>189.24</v>
      </c>
      <c r="EU113" s="228">
        <v>547.12</v>
      </c>
      <c r="EV113" s="231">
        <v>9313740</v>
      </c>
      <c r="EW113" s="231">
        <v>1288.79</v>
      </c>
      <c r="EX113" s="231">
        <v>1502.2</v>
      </c>
      <c r="EY113" s="228">
        <v>-213.41</v>
      </c>
      <c r="EZ113" s="229">
        <v>-0.1421</v>
      </c>
      <c r="FA113" s="229">
        <v>0.32969999999999999</v>
      </c>
      <c r="FB113" s="227" t="s">
        <v>568</v>
      </c>
      <c r="FC113">
        <f t="shared" si="1"/>
        <v>424</v>
      </c>
    </row>
    <row r="114" spans="1:159" ht="17.25" thickBot="1" x14ac:dyDescent="0.3">
      <c r="A114" s="226">
        <v>45957</v>
      </c>
      <c r="B114" s="227" t="s">
        <v>175</v>
      </c>
      <c r="C114" s="227" t="s">
        <v>684</v>
      </c>
      <c r="D114" s="228">
        <v>450</v>
      </c>
      <c r="E114" s="228">
        <v>1</v>
      </c>
      <c r="F114" s="231">
        <v>1167.4000000000001</v>
      </c>
      <c r="G114" s="231">
        <v>1151.3</v>
      </c>
      <c r="H114" s="228">
        <v>16.100000000000001</v>
      </c>
      <c r="I114" s="229">
        <v>1.4E-2</v>
      </c>
      <c r="J114" s="231">
        <v>1168.9000000000001</v>
      </c>
      <c r="K114" s="231">
        <v>1149.4000000000001</v>
      </c>
      <c r="L114" s="228">
        <v>19.5</v>
      </c>
      <c r="M114" s="229">
        <v>1.7000000000000001E-2</v>
      </c>
      <c r="N114" s="231">
        <v>1167.4000000000001</v>
      </c>
      <c r="O114" s="231">
        <v>1151.3</v>
      </c>
      <c r="P114" s="228">
        <v>16.100000000000001</v>
      </c>
      <c r="Q114" s="229">
        <v>1.4E-2</v>
      </c>
      <c r="R114" s="231">
        <v>1157</v>
      </c>
      <c r="S114" s="231">
        <v>1138.5</v>
      </c>
      <c r="T114" s="228">
        <v>18.5</v>
      </c>
      <c r="U114" s="229">
        <v>1.6199999999999999E-2</v>
      </c>
      <c r="V114" s="231">
        <v>1154.5</v>
      </c>
      <c r="W114" s="231">
        <v>1134.8</v>
      </c>
      <c r="X114" s="228">
        <v>19.7</v>
      </c>
      <c r="Y114" s="229">
        <v>1.7399999999999999E-2</v>
      </c>
      <c r="Z114" s="228">
        <v>-1.5</v>
      </c>
      <c r="AA114" s="228">
        <v>1.9</v>
      </c>
      <c r="AB114" s="228">
        <v>-3.4</v>
      </c>
      <c r="AC114" s="229">
        <v>-1.2999999999999999E-3</v>
      </c>
      <c r="AD114" s="228">
        <v>-1.5</v>
      </c>
      <c r="AE114" s="228">
        <v>1.9</v>
      </c>
      <c r="AF114" s="228">
        <v>-3.4</v>
      </c>
      <c r="AG114" s="229">
        <v>-1.2999999999999999E-3</v>
      </c>
      <c r="AH114" s="228">
        <v>-11.9</v>
      </c>
      <c r="AI114" s="228">
        <v>-10.9</v>
      </c>
      <c r="AJ114" s="228">
        <v>-1</v>
      </c>
      <c r="AK114" s="229">
        <v>-1.0200000000000001E-2</v>
      </c>
      <c r="AL114" s="228">
        <v>-14.4</v>
      </c>
      <c r="AM114" s="228">
        <v>-14.6</v>
      </c>
      <c r="AN114" s="228">
        <v>0.2</v>
      </c>
      <c r="AO114" s="229">
        <v>-1.23E-2</v>
      </c>
      <c r="AP114" s="231">
        <v>1166.8900000000001</v>
      </c>
      <c r="AQ114" s="231">
        <v>1155.25</v>
      </c>
      <c r="AR114" s="228">
        <v>0</v>
      </c>
      <c r="AS114" s="228">
        <v>500</v>
      </c>
      <c r="AT114" s="228">
        <v>398</v>
      </c>
      <c r="AU114" s="228">
        <v>102</v>
      </c>
      <c r="AV114" s="229">
        <v>0.25779999999999997</v>
      </c>
      <c r="AW114" s="228">
        <v>220</v>
      </c>
      <c r="AX114" s="228">
        <v>211</v>
      </c>
      <c r="AY114" s="228">
        <v>10</v>
      </c>
      <c r="AZ114" s="229">
        <v>4.5400000000000003E-2</v>
      </c>
      <c r="BA114" s="228">
        <v>275</v>
      </c>
      <c r="BB114" s="228">
        <v>185</v>
      </c>
      <c r="BC114" s="228">
        <v>90</v>
      </c>
      <c r="BD114" s="229">
        <v>0.48859999999999998</v>
      </c>
      <c r="BE114" s="228">
        <v>5</v>
      </c>
      <c r="BF114" s="228">
        <v>2</v>
      </c>
      <c r="BG114" s="228">
        <v>3</v>
      </c>
      <c r="BH114" s="229">
        <v>1.2632000000000001</v>
      </c>
      <c r="BI114" s="230">
        <v>1228</v>
      </c>
      <c r="BJ114" s="228">
        <v>458</v>
      </c>
      <c r="BK114" s="228">
        <v>771</v>
      </c>
      <c r="BL114" s="229">
        <v>1.6830000000000001</v>
      </c>
      <c r="BM114" s="228">
        <v>460</v>
      </c>
      <c r="BN114" s="228">
        <v>173</v>
      </c>
      <c r="BO114" s="228">
        <v>287</v>
      </c>
      <c r="BP114" s="229">
        <v>1.6644000000000001</v>
      </c>
      <c r="BQ114" s="230">
        <v>2188</v>
      </c>
      <c r="BR114" s="230">
        <v>1028</v>
      </c>
      <c r="BS114" s="230">
        <v>1160</v>
      </c>
      <c r="BT114" s="229">
        <v>1.1286</v>
      </c>
      <c r="BU114" s="230">
        <v>1537977</v>
      </c>
      <c r="BV114" s="230">
        <v>881127</v>
      </c>
      <c r="BW114" s="230">
        <v>656850</v>
      </c>
      <c r="BX114" s="229">
        <v>0.74550000000000005</v>
      </c>
      <c r="BY114" s="228">
        <v>327</v>
      </c>
      <c r="BZ114" s="228">
        <v>353</v>
      </c>
      <c r="CA114" s="228">
        <v>-26</v>
      </c>
      <c r="CB114" s="229">
        <v>-7.2300000000000003E-2</v>
      </c>
      <c r="CC114" s="228">
        <v>58</v>
      </c>
      <c r="CD114" s="228">
        <v>145</v>
      </c>
      <c r="CE114" s="228">
        <v>-87</v>
      </c>
      <c r="CF114" s="229">
        <v>-0.60070000000000001</v>
      </c>
      <c r="CG114" s="228">
        <v>261</v>
      </c>
      <c r="CH114" s="228">
        <v>202</v>
      </c>
      <c r="CI114" s="228">
        <v>59</v>
      </c>
      <c r="CJ114" s="229">
        <v>0.29299999999999998</v>
      </c>
      <c r="CK114" s="228">
        <v>8</v>
      </c>
      <c r="CL114" s="228">
        <v>6</v>
      </c>
      <c r="CM114" s="228">
        <v>2</v>
      </c>
      <c r="CN114" s="229">
        <v>0.37390000000000001</v>
      </c>
      <c r="CO114" s="228">
        <v>368</v>
      </c>
      <c r="CP114" s="228">
        <v>280</v>
      </c>
      <c r="CQ114" s="228">
        <v>88</v>
      </c>
      <c r="CR114" s="229">
        <v>0.31390000000000001</v>
      </c>
      <c r="CS114" s="228">
        <v>233</v>
      </c>
      <c r="CT114" s="228">
        <v>202</v>
      </c>
      <c r="CU114" s="228">
        <v>31</v>
      </c>
      <c r="CV114" s="229">
        <v>0.1555</v>
      </c>
      <c r="CW114" s="228">
        <v>928</v>
      </c>
      <c r="CX114" s="228">
        <v>835</v>
      </c>
      <c r="CY114" s="228">
        <v>94</v>
      </c>
      <c r="CZ114" s="229">
        <v>0.1123</v>
      </c>
      <c r="DA114" s="228">
        <v>40.54</v>
      </c>
      <c r="DB114" s="228">
        <v>40.14</v>
      </c>
      <c r="DC114" s="228">
        <v>0.4</v>
      </c>
      <c r="DD114" s="228">
        <v>0.4</v>
      </c>
      <c r="DE114" s="228">
        <v>55.38</v>
      </c>
      <c r="DF114" s="228">
        <v>55.49</v>
      </c>
      <c r="DG114" s="228">
        <v>-14.84</v>
      </c>
      <c r="DH114" s="228">
        <v>-0.11</v>
      </c>
      <c r="DI114" s="228">
        <v>40.39</v>
      </c>
      <c r="DJ114" s="228">
        <v>40.18</v>
      </c>
      <c r="DK114" s="228">
        <v>0.21</v>
      </c>
      <c r="DL114" s="228">
        <v>0.21</v>
      </c>
      <c r="DM114" s="228">
        <v>41.08</v>
      </c>
      <c r="DN114" s="228">
        <v>40.04</v>
      </c>
      <c r="DO114" s="228">
        <v>1.04</v>
      </c>
      <c r="DP114" s="228">
        <v>1.04</v>
      </c>
      <c r="DQ114" s="228">
        <v>0.63</v>
      </c>
      <c r="DR114" s="228">
        <v>0.72</v>
      </c>
      <c r="DS114" s="228">
        <v>-0.09</v>
      </c>
      <c r="DT114" s="229">
        <v>-0.125</v>
      </c>
      <c r="DU114" s="231">
        <v>1200</v>
      </c>
      <c r="DV114" s="231">
        <v>1120</v>
      </c>
      <c r="DW114" s="228">
        <v>0.37</v>
      </c>
      <c r="DX114" s="228">
        <v>0.38</v>
      </c>
      <c r="DY114" s="228">
        <v>-0.01</v>
      </c>
      <c r="DZ114" s="229">
        <v>-2.63E-2</v>
      </c>
      <c r="EA114" s="229">
        <v>0.82340000000000002</v>
      </c>
      <c r="EB114" s="230">
        <v>1782900</v>
      </c>
      <c r="EC114" s="229">
        <v>-8.8999999999999999E-3</v>
      </c>
      <c r="ED114" s="229">
        <v>0.82340000000000002</v>
      </c>
      <c r="EE114" s="228">
        <v>-11.64</v>
      </c>
      <c r="EF114" s="229">
        <v>-0.01</v>
      </c>
      <c r="EG114" s="230">
        <v>607259</v>
      </c>
      <c r="EH114" s="230">
        <v>415182</v>
      </c>
      <c r="EI114" s="229">
        <v>0.46260000000000001</v>
      </c>
      <c r="EJ114" s="229">
        <v>0.39479999999999998</v>
      </c>
      <c r="EK114" s="231">
        <v>1282.0899999999999</v>
      </c>
      <c r="EL114" s="228">
        <v>449.61</v>
      </c>
      <c r="EM114" s="228">
        <v>497.09</v>
      </c>
      <c r="EN114" s="228">
        <v>38.909999999999997</v>
      </c>
      <c r="EO114" s="231">
        <v>2228.79</v>
      </c>
      <c r="EP114" s="231">
        <v>1026.07</v>
      </c>
      <c r="EQ114" s="231">
        <v>1202.72</v>
      </c>
      <c r="ER114" s="229">
        <v>1.1721999999999999</v>
      </c>
      <c r="ES114" s="228">
        <v>373.59</v>
      </c>
      <c r="ET114" s="228">
        <v>219.96</v>
      </c>
      <c r="EU114" s="228">
        <v>325.02</v>
      </c>
      <c r="EV114" s="231">
        <v>19911179</v>
      </c>
      <c r="EW114" s="228">
        <v>918.56</v>
      </c>
      <c r="EX114" s="228">
        <v>817</v>
      </c>
      <c r="EY114" s="228">
        <v>101.56</v>
      </c>
      <c r="EZ114" s="229">
        <v>0.12429999999999999</v>
      </c>
      <c r="FA114" s="229">
        <v>0.39939999999999998</v>
      </c>
      <c r="FB114" s="227" t="s">
        <v>556</v>
      </c>
      <c r="FC114">
        <f t="shared" si="1"/>
        <v>269</v>
      </c>
    </row>
    <row r="115" spans="1:159" ht="17.25" thickBot="1" x14ac:dyDescent="0.3">
      <c r="A115" s="226">
        <v>45957</v>
      </c>
      <c r="B115" s="227" t="s">
        <v>172</v>
      </c>
      <c r="C115" s="227" t="s">
        <v>246</v>
      </c>
      <c r="D115" s="228">
        <v>400</v>
      </c>
      <c r="E115" s="228">
        <v>1</v>
      </c>
      <c r="F115" s="231">
        <v>2151.1</v>
      </c>
      <c r="G115" s="231">
        <v>2189.1</v>
      </c>
      <c r="H115" s="228">
        <v>-38</v>
      </c>
      <c r="I115" s="229">
        <v>-1.7399999999999999E-2</v>
      </c>
      <c r="J115" s="231">
        <v>2148.6</v>
      </c>
      <c r="K115" s="231">
        <v>2187</v>
      </c>
      <c r="L115" s="228">
        <v>-38.4</v>
      </c>
      <c r="M115" s="229">
        <v>-1.7600000000000001E-2</v>
      </c>
      <c r="N115" s="231">
        <v>2151.1</v>
      </c>
      <c r="O115" s="231">
        <v>2189.1</v>
      </c>
      <c r="P115" s="228">
        <v>-38</v>
      </c>
      <c r="Q115" s="229">
        <v>-1.7399999999999999E-2</v>
      </c>
      <c r="R115" s="231">
        <v>2163.1</v>
      </c>
      <c r="S115" s="231">
        <v>2201.1999999999998</v>
      </c>
      <c r="T115" s="228">
        <v>-38.1</v>
      </c>
      <c r="U115" s="229">
        <v>-1.7299999999999999E-2</v>
      </c>
      <c r="V115" s="231">
        <v>2177.6</v>
      </c>
      <c r="W115" s="231">
        <v>2214.6</v>
      </c>
      <c r="X115" s="228">
        <v>-37</v>
      </c>
      <c r="Y115" s="229">
        <v>-1.67E-2</v>
      </c>
      <c r="Z115" s="228">
        <v>2.5</v>
      </c>
      <c r="AA115" s="228">
        <v>2.1</v>
      </c>
      <c r="AB115" s="228">
        <v>0.4</v>
      </c>
      <c r="AC115" s="229">
        <v>1.1999999999999999E-3</v>
      </c>
      <c r="AD115" s="228">
        <v>2.5</v>
      </c>
      <c r="AE115" s="228">
        <v>2.1</v>
      </c>
      <c r="AF115" s="228">
        <v>0.4</v>
      </c>
      <c r="AG115" s="229">
        <v>1.1999999999999999E-3</v>
      </c>
      <c r="AH115" s="228">
        <v>14.5</v>
      </c>
      <c r="AI115" s="228">
        <v>14.2</v>
      </c>
      <c r="AJ115" s="228">
        <v>0.3</v>
      </c>
      <c r="AK115" s="229">
        <v>6.7000000000000002E-3</v>
      </c>
      <c r="AL115" s="228">
        <v>29</v>
      </c>
      <c r="AM115" s="228">
        <v>27.6</v>
      </c>
      <c r="AN115" s="228">
        <v>1.4</v>
      </c>
      <c r="AO115" s="229">
        <v>1.35E-2</v>
      </c>
      <c r="AP115" s="231">
        <v>2157.21</v>
      </c>
      <c r="AQ115" s="231">
        <v>2169.9299999999998</v>
      </c>
      <c r="AR115" s="228">
        <v>0</v>
      </c>
      <c r="AS115" s="230">
        <v>5864</v>
      </c>
      <c r="AT115" s="230">
        <v>5019</v>
      </c>
      <c r="AU115" s="228">
        <v>845</v>
      </c>
      <c r="AV115" s="229">
        <v>0.16850000000000001</v>
      </c>
      <c r="AW115" s="230">
        <v>2537</v>
      </c>
      <c r="AX115" s="230">
        <v>2607</v>
      </c>
      <c r="AY115" s="228">
        <v>-70</v>
      </c>
      <c r="AZ115" s="229">
        <v>-2.69E-2</v>
      </c>
      <c r="BA115" s="230">
        <v>3306</v>
      </c>
      <c r="BB115" s="230">
        <v>2395</v>
      </c>
      <c r="BC115" s="228">
        <v>911</v>
      </c>
      <c r="BD115" s="229">
        <v>0.38019999999999998</v>
      </c>
      <c r="BE115" s="228">
        <v>21</v>
      </c>
      <c r="BF115" s="228">
        <v>16</v>
      </c>
      <c r="BG115" s="228">
        <v>5</v>
      </c>
      <c r="BH115" s="229">
        <v>0.29470000000000002</v>
      </c>
      <c r="BI115" s="230">
        <v>10610</v>
      </c>
      <c r="BJ115" s="230">
        <v>8069</v>
      </c>
      <c r="BK115" s="230">
        <v>2541</v>
      </c>
      <c r="BL115" s="229">
        <v>0.31490000000000001</v>
      </c>
      <c r="BM115" s="230">
        <v>7405</v>
      </c>
      <c r="BN115" s="230">
        <v>5976</v>
      </c>
      <c r="BO115" s="230">
        <v>1429</v>
      </c>
      <c r="BP115" s="229">
        <v>0.23910000000000001</v>
      </c>
      <c r="BQ115" s="230">
        <v>23879</v>
      </c>
      <c r="BR115" s="230">
        <v>19064</v>
      </c>
      <c r="BS115" s="230">
        <v>4815</v>
      </c>
      <c r="BT115" s="229">
        <v>0.25259999999999999</v>
      </c>
      <c r="BU115" s="230">
        <v>4328341</v>
      </c>
      <c r="BV115" s="230">
        <v>3306439</v>
      </c>
      <c r="BW115" s="230">
        <v>1021902</v>
      </c>
      <c r="BX115" s="229">
        <v>0.30909999999999999</v>
      </c>
      <c r="BY115" s="230">
        <v>6822</v>
      </c>
      <c r="BZ115" s="230">
        <v>6761</v>
      </c>
      <c r="CA115" s="228">
        <v>61</v>
      </c>
      <c r="CB115" s="229">
        <v>8.9999999999999993E-3</v>
      </c>
      <c r="CC115" s="230">
        <v>1264</v>
      </c>
      <c r="CD115" s="230">
        <v>3027</v>
      </c>
      <c r="CE115" s="230">
        <v>-1763</v>
      </c>
      <c r="CF115" s="229">
        <v>-0.58240000000000003</v>
      </c>
      <c r="CG115" s="230">
        <v>5337</v>
      </c>
      <c r="CH115" s="230">
        <v>3519</v>
      </c>
      <c r="CI115" s="230">
        <v>1817</v>
      </c>
      <c r="CJ115" s="229">
        <v>0.51639999999999997</v>
      </c>
      <c r="CK115" s="228">
        <v>221</v>
      </c>
      <c r="CL115" s="228">
        <v>214</v>
      </c>
      <c r="CM115" s="228">
        <v>7</v>
      </c>
      <c r="CN115" s="229">
        <v>3.1300000000000001E-2</v>
      </c>
      <c r="CO115" s="230">
        <v>2476</v>
      </c>
      <c r="CP115" s="230">
        <v>2290</v>
      </c>
      <c r="CQ115" s="228">
        <v>185</v>
      </c>
      <c r="CR115" s="229">
        <v>8.1000000000000003E-2</v>
      </c>
      <c r="CS115" s="230">
        <v>2051</v>
      </c>
      <c r="CT115" s="230">
        <v>2392</v>
      </c>
      <c r="CU115" s="228">
        <v>-341</v>
      </c>
      <c r="CV115" s="229">
        <v>-0.1426</v>
      </c>
      <c r="CW115" s="230">
        <v>11348</v>
      </c>
      <c r="CX115" s="230">
        <v>11443</v>
      </c>
      <c r="CY115" s="228">
        <v>-94</v>
      </c>
      <c r="CZ115" s="229">
        <v>-8.3000000000000001E-3</v>
      </c>
      <c r="DA115" s="228">
        <v>19.68</v>
      </c>
      <c r="DB115" s="228">
        <v>23.32</v>
      </c>
      <c r="DC115" s="228">
        <v>-3.64</v>
      </c>
      <c r="DD115" s="228">
        <v>-3.64</v>
      </c>
      <c r="DE115" s="228">
        <v>27.49</v>
      </c>
      <c r="DF115" s="228">
        <v>27.45</v>
      </c>
      <c r="DG115" s="228">
        <v>-7.81</v>
      </c>
      <c r="DH115" s="228">
        <v>0.04</v>
      </c>
      <c r="DI115" s="228">
        <v>19.86</v>
      </c>
      <c r="DJ115" s="228">
        <v>23.2</v>
      </c>
      <c r="DK115" s="228">
        <v>-3.34</v>
      </c>
      <c r="DL115" s="228">
        <v>-3.34</v>
      </c>
      <c r="DM115" s="228">
        <v>19.399999999999999</v>
      </c>
      <c r="DN115" s="228">
        <v>23.48</v>
      </c>
      <c r="DO115" s="228">
        <v>-4.08</v>
      </c>
      <c r="DP115" s="228">
        <v>-4.08</v>
      </c>
      <c r="DQ115" s="228">
        <v>0.83</v>
      </c>
      <c r="DR115" s="228">
        <v>1.04</v>
      </c>
      <c r="DS115" s="228">
        <v>-0.21</v>
      </c>
      <c r="DT115" s="229">
        <v>-0.2019</v>
      </c>
      <c r="DU115" s="231">
        <v>2200</v>
      </c>
      <c r="DV115" s="231">
        <v>2100</v>
      </c>
      <c r="DW115" s="228">
        <v>0.7</v>
      </c>
      <c r="DX115" s="228">
        <v>0.74</v>
      </c>
      <c r="DY115" s="228">
        <v>-0.04</v>
      </c>
      <c r="DZ115" s="229">
        <v>-5.4100000000000002E-2</v>
      </c>
      <c r="EA115" s="229">
        <v>0.81469999999999998</v>
      </c>
      <c r="EB115" s="230">
        <v>17356400</v>
      </c>
      <c r="EC115" s="229">
        <v>5.5999999999999999E-3</v>
      </c>
      <c r="ED115" s="229">
        <v>0.81469999999999998</v>
      </c>
      <c r="EE115" s="228">
        <v>12.72</v>
      </c>
      <c r="EF115" s="229">
        <v>5.8999999999999999E-3</v>
      </c>
      <c r="EG115" s="230">
        <v>2459916</v>
      </c>
      <c r="EH115" s="230">
        <v>1751934</v>
      </c>
      <c r="EI115" s="229">
        <v>0.40410000000000001</v>
      </c>
      <c r="EJ115" s="229">
        <v>0.56830000000000003</v>
      </c>
      <c r="EK115" s="231">
        <v>10978.26</v>
      </c>
      <c r="EL115" s="231">
        <v>7372.42</v>
      </c>
      <c r="EM115" s="231">
        <v>5900.81</v>
      </c>
      <c r="EN115" s="228">
        <v>334.46</v>
      </c>
      <c r="EO115" s="231">
        <v>24251.49</v>
      </c>
      <c r="EP115" s="231">
        <v>19551.47</v>
      </c>
      <c r="EQ115" s="231">
        <v>4700.0200000000004</v>
      </c>
      <c r="ER115" s="229">
        <v>0.2404</v>
      </c>
      <c r="ES115" s="231">
        <v>2548.35</v>
      </c>
      <c r="ET115" s="231">
        <v>1986.14</v>
      </c>
      <c r="EU115" s="231">
        <v>6854.32</v>
      </c>
      <c r="EV115" s="231">
        <v>215751979</v>
      </c>
      <c r="EW115" s="231">
        <v>11388.81</v>
      </c>
      <c r="EX115" s="231">
        <v>11585.29</v>
      </c>
      <c r="EY115" s="228">
        <v>-196.48</v>
      </c>
      <c r="EZ115" s="229">
        <v>-1.7000000000000001E-2</v>
      </c>
      <c r="FA115" s="229">
        <v>0.2445</v>
      </c>
      <c r="FB115" s="227" t="s">
        <v>567</v>
      </c>
      <c r="FC115">
        <f t="shared" si="1"/>
        <v>5558</v>
      </c>
    </row>
    <row r="116" spans="1:159" ht="17.25" thickBot="1" x14ac:dyDescent="0.3">
      <c r="A116" s="226">
        <v>45957</v>
      </c>
      <c r="B116" s="227" t="s">
        <v>221</v>
      </c>
      <c r="C116" s="227" t="s">
        <v>577</v>
      </c>
      <c r="D116" s="228">
        <v>400</v>
      </c>
      <c r="E116" s="228">
        <v>1</v>
      </c>
      <c r="F116" s="231">
        <v>1209.5999999999999</v>
      </c>
      <c r="G116" s="231">
        <v>1177.9000000000001</v>
      </c>
      <c r="H116" s="228">
        <v>31.7</v>
      </c>
      <c r="I116" s="229">
        <v>2.69E-2</v>
      </c>
      <c r="J116" s="231">
        <v>1207</v>
      </c>
      <c r="K116" s="231">
        <v>1178.7</v>
      </c>
      <c r="L116" s="228">
        <v>28.3</v>
      </c>
      <c r="M116" s="229">
        <v>2.4E-2</v>
      </c>
      <c r="N116" s="231">
        <v>1209.5999999999999</v>
      </c>
      <c r="O116" s="231">
        <v>1177.9000000000001</v>
      </c>
      <c r="P116" s="228">
        <v>31.7</v>
      </c>
      <c r="Q116" s="229">
        <v>2.69E-2</v>
      </c>
      <c r="R116" s="231">
        <v>1205.5</v>
      </c>
      <c r="S116" s="231">
        <v>1172.4000000000001</v>
      </c>
      <c r="T116" s="228">
        <v>33.1</v>
      </c>
      <c r="U116" s="229">
        <v>2.8199999999999999E-2</v>
      </c>
      <c r="V116" s="231">
        <v>1204.2</v>
      </c>
      <c r="W116" s="231">
        <v>1167.3</v>
      </c>
      <c r="X116" s="228">
        <v>36.9</v>
      </c>
      <c r="Y116" s="229">
        <v>3.1600000000000003E-2</v>
      </c>
      <c r="Z116" s="228">
        <v>2.6</v>
      </c>
      <c r="AA116" s="228">
        <v>-0.8</v>
      </c>
      <c r="AB116" s="228">
        <v>3.4</v>
      </c>
      <c r="AC116" s="229">
        <v>2.2000000000000001E-3</v>
      </c>
      <c r="AD116" s="228">
        <v>2.6</v>
      </c>
      <c r="AE116" s="228">
        <v>-0.8</v>
      </c>
      <c r="AF116" s="228">
        <v>3.4</v>
      </c>
      <c r="AG116" s="229">
        <v>2.2000000000000001E-3</v>
      </c>
      <c r="AH116" s="228">
        <v>-1.5</v>
      </c>
      <c r="AI116" s="228">
        <v>-6.3</v>
      </c>
      <c r="AJ116" s="228">
        <v>4.8</v>
      </c>
      <c r="AK116" s="229">
        <v>-1.1999999999999999E-3</v>
      </c>
      <c r="AL116" s="228">
        <v>-2.8</v>
      </c>
      <c r="AM116" s="228">
        <v>-11.4</v>
      </c>
      <c r="AN116" s="228">
        <v>8.6</v>
      </c>
      <c r="AO116" s="229">
        <v>-2.3E-3</v>
      </c>
      <c r="AP116" s="231">
        <v>1201.1199999999999</v>
      </c>
      <c r="AQ116" s="231">
        <v>1197.27</v>
      </c>
      <c r="AR116" s="228">
        <v>0</v>
      </c>
      <c r="AS116" s="228">
        <v>517</v>
      </c>
      <c r="AT116" s="228">
        <v>589</v>
      </c>
      <c r="AU116" s="228">
        <v>-72</v>
      </c>
      <c r="AV116" s="229">
        <v>-0.1215</v>
      </c>
      <c r="AW116" s="228">
        <v>251</v>
      </c>
      <c r="AX116" s="228">
        <v>289</v>
      </c>
      <c r="AY116" s="228">
        <v>-38</v>
      </c>
      <c r="AZ116" s="229">
        <v>-0.13220000000000001</v>
      </c>
      <c r="BA116" s="228">
        <v>256</v>
      </c>
      <c r="BB116" s="228">
        <v>294</v>
      </c>
      <c r="BC116" s="228">
        <v>-38</v>
      </c>
      <c r="BD116" s="229">
        <v>-0.1288</v>
      </c>
      <c r="BE116" s="228">
        <v>11</v>
      </c>
      <c r="BF116" s="228">
        <v>6</v>
      </c>
      <c r="BG116" s="228">
        <v>4</v>
      </c>
      <c r="BH116" s="229">
        <v>0.72660000000000002</v>
      </c>
      <c r="BI116" s="230">
        <v>1033</v>
      </c>
      <c r="BJ116" s="228">
        <v>553</v>
      </c>
      <c r="BK116" s="228">
        <v>480</v>
      </c>
      <c r="BL116" s="229">
        <v>0.86760000000000004</v>
      </c>
      <c r="BM116" s="228">
        <v>361</v>
      </c>
      <c r="BN116" s="228">
        <v>257</v>
      </c>
      <c r="BO116" s="228">
        <v>104</v>
      </c>
      <c r="BP116" s="229">
        <v>0.40429999999999999</v>
      </c>
      <c r="BQ116" s="230">
        <v>1911</v>
      </c>
      <c r="BR116" s="230">
        <v>1399</v>
      </c>
      <c r="BS116" s="228">
        <v>512</v>
      </c>
      <c r="BT116" s="229">
        <v>0.36609999999999998</v>
      </c>
      <c r="BU116" s="230">
        <v>783290</v>
      </c>
      <c r="BV116" s="230">
        <v>506566</v>
      </c>
      <c r="BW116" s="230">
        <v>276724</v>
      </c>
      <c r="BX116" s="229">
        <v>0.54630000000000001</v>
      </c>
      <c r="BY116" s="228">
        <v>516</v>
      </c>
      <c r="BZ116" s="228">
        <v>525</v>
      </c>
      <c r="CA116" s="228">
        <v>-9</v>
      </c>
      <c r="CB116" s="229">
        <v>-1.6400000000000001E-2</v>
      </c>
      <c r="CC116" s="228">
        <v>70</v>
      </c>
      <c r="CD116" s="228">
        <v>187</v>
      </c>
      <c r="CE116" s="228">
        <v>-117</v>
      </c>
      <c r="CF116" s="229">
        <v>-0.62539999999999996</v>
      </c>
      <c r="CG116" s="228">
        <v>429</v>
      </c>
      <c r="CH116" s="228">
        <v>326</v>
      </c>
      <c r="CI116" s="228">
        <v>103</v>
      </c>
      <c r="CJ116" s="229">
        <v>0.31730000000000003</v>
      </c>
      <c r="CK116" s="228">
        <v>17</v>
      </c>
      <c r="CL116" s="228">
        <v>12</v>
      </c>
      <c r="CM116" s="228">
        <v>5</v>
      </c>
      <c r="CN116" s="229">
        <v>0.3911</v>
      </c>
      <c r="CO116" s="228">
        <v>227</v>
      </c>
      <c r="CP116" s="228">
        <v>330</v>
      </c>
      <c r="CQ116" s="228">
        <v>-103</v>
      </c>
      <c r="CR116" s="229">
        <v>-0.31209999999999999</v>
      </c>
      <c r="CS116" s="228">
        <v>178</v>
      </c>
      <c r="CT116" s="228">
        <v>175</v>
      </c>
      <c r="CU116" s="228">
        <v>3</v>
      </c>
      <c r="CV116" s="229">
        <v>1.77E-2</v>
      </c>
      <c r="CW116" s="228">
        <v>921</v>
      </c>
      <c r="CX116" s="230">
        <v>1030</v>
      </c>
      <c r="CY116" s="228">
        <v>-109</v>
      </c>
      <c r="CZ116" s="229">
        <v>-0.1055</v>
      </c>
      <c r="DA116" s="228">
        <v>38.5</v>
      </c>
      <c r="DB116" s="228">
        <v>37.1</v>
      </c>
      <c r="DC116" s="228">
        <v>1.4</v>
      </c>
      <c r="DD116" s="228">
        <v>1.4</v>
      </c>
      <c r="DE116" s="228">
        <v>44.44</v>
      </c>
      <c r="DF116" s="228">
        <v>44.43</v>
      </c>
      <c r="DG116" s="228">
        <v>-5.94</v>
      </c>
      <c r="DH116" s="228">
        <v>0.01</v>
      </c>
      <c r="DI116" s="228">
        <v>38.17</v>
      </c>
      <c r="DJ116" s="228">
        <v>35.85</v>
      </c>
      <c r="DK116" s="228">
        <v>2.3199999999999998</v>
      </c>
      <c r="DL116" s="228">
        <v>2.3199999999999998</v>
      </c>
      <c r="DM116" s="228">
        <v>39.49</v>
      </c>
      <c r="DN116" s="228">
        <v>38.49</v>
      </c>
      <c r="DO116" s="228">
        <v>1</v>
      </c>
      <c r="DP116" s="228">
        <v>1</v>
      </c>
      <c r="DQ116" s="228">
        <v>0.78</v>
      </c>
      <c r="DR116" s="228">
        <v>0.53</v>
      </c>
      <c r="DS116" s="228">
        <v>0.25</v>
      </c>
      <c r="DT116" s="229">
        <v>0.47170000000000001</v>
      </c>
      <c r="DU116" s="231">
        <v>1300</v>
      </c>
      <c r="DV116" s="231">
        <v>1160</v>
      </c>
      <c r="DW116" s="228">
        <v>0.35</v>
      </c>
      <c r="DX116" s="228">
        <v>0.46</v>
      </c>
      <c r="DY116" s="228">
        <v>-0.11</v>
      </c>
      <c r="DZ116" s="229">
        <v>-0.23910000000000001</v>
      </c>
      <c r="EA116" s="229">
        <v>0.86450000000000005</v>
      </c>
      <c r="EB116" s="230">
        <v>2793600</v>
      </c>
      <c r="EC116" s="229">
        <v>-3.3999999999999998E-3</v>
      </c>
      <c r="ED116" s="229">
        <v>0.86450000000000005</v>
      </c>
      <c r="EE116" s="228">
        <v>-3.85</v>
      </c>
      <c r="EF116" s="229">
        <v>-3.2000000000000002E-3</v>
      </c>
      <c r="EG116" s="230">
        <v>324956</v>
      </c>
      <c r="EH116" s="230">
        <v>268350</v>
      </c>
      <c r="EI116" s="229">
        <v>0.2109</v>
      </c>
      <c r="EJ116" s="229">
        <v>0.41489999999999999</v>
      </c>
      <c r="EK116" s="231">
        <v>1061.18</v>
      </c>
      <c r="EL116" s="228">
        <v>348.16</v>
      </c>
      <c r="EM116" s="228">
        <v>512.97</v>
      </c>
      <c r="EN116" s="228">
        <v>60.04</v>
      </c>
      <c r="EO116" s="231">
        <v>1922.31</v>
      </c>
      <c r="EP116" s="231">
        <v>1366.1</v>
      </c>
      <c r="EQ116" s="228">
        <v>556.21</v>
      </c>
      <c r="ER116" s="229">
        <v>0.40720000000000001</v>
      </c>
      <c r="ES116" s="228">
        <v>233.1</v>
      </c>
      <c r="ET116" s="228">
        <v>166.13</v>
      </c>
      <c r="EU116" s="228">
        <v>514.39</v>
      </c>
      <c r="EV116" s="231">
        <v>24568295</v>
      </c>
      <c r="EW116" s="228">
        <v>913.62</v>
      </c>
      <c r="EX116" s="231">
        <v>1009.37</v>
      </c>
      <c r="EY116" s="228">
        <v>-95.75</v>
      </c>
      <c r="EZ116" s="229">
        <v>-9.4899999999999998E-2</v>
      </c>
      <c r="FA116" s="229">
        <v>0.31</v>
      </c>
      <c r="FB116" s="227" t="s">
        <v>556</v>
      </c>
      <c r="FC116">
        <f t="shared" si="1"/>
        <v>446</v>
      </c>
    </row>
    <row r="117" spans="1:159" ht="17.25" thickBot="1" x14ac:dyDescent="0.3">
      <c r="A117" s="226">
        <v>45957</v>
      </c>
      <c r="B117" s="227" t="s">
        <v>170</v>
      </c>
      <c r="C117" s="227" t="s">
        <v>535</v>
      </c>
      <c r="D117" s="228">
        <v>1700</v>
      </c>
      <c r="E117" s="228">
        <v>1</v>
      </c>
      <c r="F117" s="228">
        <v>939.5</v>
      </c>
      <c r="G117" s="228">
        <v>926.05</v>
      </c>
      <c r="H117" s="228">
        <v>13.45</v>
      </c>
      <c r="I117" s="229">
        <v>1.4500000000000001E-2</v>
      </c>
      <c r="J117" s="228">
        <v>940.15</v>
      </c>
      <c r="K117" s="228">
        <v>926.4</v>
      </c>
      <c r="L117" s="228">
        <v>13.75</v>
      </c>
      <c r="M117" s="229">
        <v>1.4800000000000001E-2</v>
      </c>
      <c r="N117" s="228">
        <v>939.5</v>
      </c>
      <c r="O117" s="228">
        <v>926.05</v>
      </c>
      <c r="P117" s="228">
        <v>13.45</v>
      </c>
      <c r="Q117" s="229">
        <v>1.4500000000000001E-2</v>
      </c>
      <c r="R117" s="228">
        <v>943.8</v>
      </c>
      <c r="S117" s="228">
        <v>930.35</v>
      </c>
      <c r="T117" s="228">
        <v>13.45</v>
      </c>
      <c r="U117" s="229">
        <v>1.4500000000000001E-2</v>
      </c>
      <c r="V117" s="228">
        <v>950.45</v>
      </c>
      <c r="W117" s="228">
        <v>935.75</v>
      </c>
      <c r="X117" s="228">
        <v>14.7</v>
      </c>
      <c r="Y117" s="229">
        <v>1.5699999999999999E-2</v>
      </c>
      <c r="Z117" s="228">
        <v>-0.65</v>
      </c>
      <c r="AA117" s="228">
        <v>-0.35</v>
      </c>
      <c r="AB117" s="228">
        <v>-0.3</v>
      </c>
      <c r="AC117" s="229">
        <v>-6.9999999999999999E-4</v>
      </c>
      <c r="AD117" s="228">
        <v>-0.65</v>
      </c>
      <c r="AE117" s="228">
        <v>-0.35</v>
      </c>
      <c r="AF117" s="228">
        <v>-0.3</v>
      </c>
      <c r="AG117" s="229">
        <v>-6.9999999999999999E-4</v>
      </c>
      <c r="AH117" s="228">
        <v>3.65</v>
      </c>
      <c r="AI117" s="228">
        <v>3.95</v>
      </c>
      <c r="AJ117" s="228">
        <v>-0.3</v>
      </c>
      <c r="AK117" s="229">
        <v>3.8999999999999998E-3</v>
      </c>
      <c r="AL117" s="228">
        <v>10.3</v>
      </c>
      <c r="AM117" s="228">
        <v>9.35</v>
      </c>
      <c r="AN117" s="228">
        <v>0.95</v>
      </c>
      <c r="AO117" s="229">
        <v>1.0999999999999999E-2</v>
      </c>
      <c r="AP117" s="228">
        <v>944.06</v>
      </c>
      <c r="AQ117" s="228">
        <v>948.76</v>
      </c>
      <c r="AR117" s="228">
        <v>0</v>
      </c>
      <c r="AS117" s="230">
        <v>2319</v>
      </c>
      <c r="AT117" s="230">
        <v>3195</v>
      </c>
      <c r="AU117" s="228">
        <v>-875</v>
      </c>
      <c r="AV117" s="229">
        <v>-0.27400000000000002</v>
      </c>
      <c r="AW117" s="228">
        <v>975</v>
      </c>
      <c r="AX117" s="230">
        <v>1625</v>
      </c>
      <c r="AY117" s="228">
        <v>-649</v>
      </c>
      <c r="AZ117" s="229">
        <v>-0.3997</v>
      </c>
      <c r="BA117" s="230">
        <v>1304</v>
      </c>
      <c r="BB117" s="230">
        <v>1523</v>
      </c>
      <c r="BC117" s="228">
        <v>-220</v>
      </c>
      <c r="BD117" s="229">
        <v>-0.14430000000000001</v>
      </c>
      <c r="BE117" s="228">
        <v>40</v>
      </c>
      <c r="BF117" s="228">
        <v>47</v>
      </c>
      <c r="BG117" s="228">
        <v>-6</v>
      </c>
      <c r="BH117" s="229">
        <v>-0.1336</v>
      </c>
      <c r="BI117" s="230">
        <v>9060</v>
      </c>
      <c r="BJ117" s="230">
        <v>17807</v>
      </c>
      <c r="BK117" s="230">
        <v>-8747</v>
      </c>
      <c r="BL117" s="229">
        <v>-0.49120000000000003</v>
      </c>
      <c r="BM117" s="230">
        <v>3545</v>
      </c>
      <c r="BN117" s="230">
        <v>8242</v>
      </c>
      <c r="BO117" s="230">
        <v>-4697</v>
      </c>
      <c r="BP117" s="229">
        <v>-0.56989999999999996</v>
      </c>
      <c r="BQ117" s="230">
        <v>14924</v>
      </c>
      <c r="BR117" s="230">
        <v>29244</v>
      </c>
      <c r="BS117" s="230">
        <v>-14320</v>
      </c>
      <c r="BT117" s="229">
        <v>-0.48970000000000002</v>
      </c>
      <c r="BU117" s="230">
        <v>5058774</v>
      </c>
      <c r="BV117" s="230">
        <v>9311722</v>
      </c>
      <c r="BW117" s="230">
        <v>-4252948</v>
      </c>
      <c r="BX117" s="229">
        <v>-0.45669999999999999</v>
      </c>
      <c r="BY117" s="230">
        <v>2236</v>
      </c>
      <c r="BZ117" s="230">
        <v>2317</v>
      </c>
      <c r="CA117" s="228">
        <v>-81</v>
      </c>
      <c r="CB117" s="229">
        <v>-3.5000000000000003E-2</v>
      </c>
      <c r="CC117" s="228">
        <v>593</v>
      </c>
      <c r="CD117" s="230">
        <v>1065</v>
      </c>
      <c r="CE117" s="228">
        <v>-472</v>
      </c>
      <c r="CF117" s="229">
        <v>-0.44350000000000001</v>
      </c>
      <c r="CG117" s="230">
        <v>1597</v>
      </c>
      <c r="CH117" s="230">
        <v>1215</v>
      </c>
      <c r="CI117" s="228">
        <v>382</v>
      </c>
      <c r="CJ117" s="229">
        <v>0.31459999999999999</v>
      </c>
      <c r="CK117" s="228">
        <v>46</v>
      </c>
      <c r="CL117" s="228">
        <v>37</v>
      </c>
      <c r="CM117" s="228">
        <v>9</v>
      </c>
      <c r="CN117" s="229">
        <v>0.2457</v>
      </c>
      <c r="CO117" s="230">
        <v>1764</v>
      </c>
      <c r="CP117" s="230">
        <v>2132</v>
      </c>
      <c r="CQ117" s="228">
        <v>-368</v>
      </c>
      <c r="CR117" s="229">
        <v>-0.1726</v>
      </c>
      <c r="CS117" s="230">
        <v>1245</v>
      </c>
      <c r="CT117" s="230">
        <v>1324</v>
      </c>
      <c r="CU117" s="228">
        <v>-78</v>
      </c>
      <c r="CV117" s="229">
        <v>-5.9200000000000003E-2</v>
      </c>
      <c r="CW117" s="230">
        <v>5246</v>
      </c>
      <c r="CX117" s="230">
        <v>5773</v>
      </c>
      <c r="CY117" s="228">
        <v>-528</v>
      </c>
      <c r="CZ117" s="229">
        <v>-9.1399999999999995E-2</v>
      </c>
      <c r="DA117" s="228">
        <v>30.68</v>
      </c>
      <c r="DB117" s="228">
        <v>31.28</v>
      </c>
      <c r="DC117" s="228">
        <v>-0.6</v>
      </c>
      <c r="DD117" s="228">
        <v>-0.6</v>
      </c>
      <c r="DE117" s="228">
        <v>40.619999999999997</v>
      </c>
      <c r="DF117" s="228">
        <v>40.67</v>
      </c>
      <c r="DG117" s="228">
        <v>-9.94</v>
      </c>
      <c r="DH117" s="228">
        <v>-0.05</v>
      </c>
      <c r="DI117" s="228">
        <v>30.57</v>
      </c>
      <c r="DJ117" s="228">
        <v>30.93</v>
      </c>
      <c r="DK117" s="228">
        <v>-0.36</v>
      </c>
      <c r="DL117" s="228">
        <v>-0.36</v>
      </c>
      <c r="DM117" s="228">
        <v>30.96</v>
      </c>
      <c r="DN117" s="228">
        <v>32.14</v>
      </c>
      <c r="DO117" s="228">
        <v>-1.18</v>
      </c>
      <c r="DP117" s="228">
        <v>-1.18</v>
      </c>
      <c r="DQ117" s="228">
        <v>0.71</v>
      </c>
      <c r="DR117" s="228">
        <v>0.62</v>
      </c>
      <c r="DS117" s="228">
        <v>0.09</v>
      </c>
      <c r="DT117" s="229">
        <v>0.1452</v>
      </c>
      <c r="DU117" s="231">
        <v>1000</v>
      </c>
      <c r="DV117" s="228">
        <v>900</v>
      </c>
      <c r="DW117" s="228">
        <v>0.39</v>
      </c>
      <c r="DX117" s="228">
        <v>0.46</v>
      </c>
      <c r="DY117" s="228">
        <v>-7.0000000000000007E-2</v>
      </c>
      <c r="DZ117" s="229">
        <v>-0.1522</v>
      </c>
      <c r="EA117" s="229">
        <v>0.7349</v>
      </c>
      <c r="EB117" s="230">
        <v>13324600</v>
      </c>
      <c r="EC117" s="229">
        <v>4.5999999999999999E-3</v>
      </c>
      <c r="ED117" s="229">
        <v>0.7349</v>
      </c>
      <c r="EE117" s="228">
        <v>4.7</v>
      </c>
      <c r="EF117" s="229">
        <v>5.0000000000000001E-3</v>
      </c>
      <c r="EG117" s="230">
        <v>1889421</v>
      </c>
      <c r="EH117" s="230">
        <v>1727361</v>
      </c>
      <c r="EI117" s="229">
        <v>9.3799999999999994E-2</v>
      </c>
      <c r="EJ117" s="229">
        <v>0.3735</v>
      </c>
      <c r="EK117" s="231">
        <v>9393.4699999999993</v>
      </c>
      <c r="EL117" s="231">
        <v>3494.55</v>
      </c>
      <c r="EM117" s="231">
        <v>2337.56</v>
      </c>
      <c r="EN117" s="228">
        <v>108.58</v>
      </c>
      <c r="EO117" s="231">
        <v>15225.57</v>
      </c>
      <c r="EP117" s="231">
        <v>29354.25</v>
      </c>
      <c r="EQ117" s="231">
        <v>-14128.68</v>
      </c>
      <c r="ER117" s="229">
        <v>-0.48130000000000001</v>
      </c>
      <c r="ES117" s="231">
        <v>1801.16</v>
      </c>
      <c r="ET117" s="231">
        <v>1166.44</v>
      </c>
      <c r="EU117" s="231">
        <v>2243.6999999999998</v>
      </c>
      <c r="EV117" s="231">
        <v>58629477</v>
      </c>
      <c r="EW117" s="231">
        <v>5211.3</v>
      </c>
      <c r="EX117" s="231">
        <v>5695.68</v>
      </c>
      <c r="EY117" s="228">
        <v>-484.38</v>
      </c>
      <c r="EZ117" s="229">
        <v>-8.5000000000000006E-2</v>
      </c>
      <c r="FA117" s="229">
        <v>0.95230000000000004</v>
      </c>
      <c r="FB117" s="227" t="s">
        <v>556</v>
      </c>
      <c r="FC117">
        <f t="shared" si="1"/>
        <v>1643</v>
      </c>
    </row>
    <row r="118" spans="1:159" ht="17.25" thickBot="1" x14ac:dyDescent="0.3">
      <c r="A118" s="226">
        <v>45957</v>
      </c>
      <c r="B118" s="227" t="s">
        <v>175</v>
      </c>
      <c r="C118" s="227" t="s">
        <v>248</v>
      </c>
      <c r="D118" s="228">
        <v>1000</v>
      </c>
      <c r="E118" s="228">
        <v>1</v>
      </c>
      <c r="F118" s="228">
        <v>585.1</v>
      </c>
      <c r="G118" s="228">
        <v>579.70000000000005</v>
      </c>
      <c r="H118" s="228">
        <v>5.4</v>
      </c>
      <c r="I118" s="229">
        <v>9.2999999999999992E-3</v>
      </c>
      <c r="J118" s="228">
        <v>584.35</v>
      </c>
      <c r="K118" s="228">
        <v>579.5</v>
      </c>
      <c r="L118" s="228">
        <v>4.8499999999999996</v>
      </c>
      <c r="M118" s="229">
        <v>8.3999999999999995E-3</v>
      </c>
      <c r="N118" s="228">
        <v>585.1</v>
      </c>
      <c r="O118" s="228">
        <v>579.70000000000005</v>
      </c>
      <c r="P118" s="228">
        <v>5.4</v>
      </c>
      <c r="Q118" s="229">
        <v>9.2999999999999992E-3</v>
      </c>
      <c r="R118" s="228">
        <v>588.6</v>
      </c>
      <c r="S118" s="228">
        <v>582.85</v>
      </c>
      <c r="T118" s="228">
        <v>5.75</v>
      </c>
      <c r="U118" s="229">
        <v>9.9000000000000008E-3</v>
      </c>
      <c r="V118" s="228">
        <v>592.5</v>
      </c>
      <c r="W118" s="228">
        <v>586.35</v>
      </c>
      <c r="X118" s="228">
        <v>6.15</v>
      </c>
      <c r="Y118" s="229">
        <v>1.0500000000000001E-2</v>
      </c>
      <c r="Z118" s="228">
        <v>0.75</v>
      </c>
      <c r="AA118" s="228">
        <v>0.2</v>
      </c>
      <c r="AB118" s="228">
        <v>0.55000000000000004</v>
      </c>
      <c r="AC118" s="229">
        <v>1.2999999999999999E-3</v>
      </c>
      <c r="AD118" s="228">
        <v>0.75</v>
      </c>
      <c r="AE118" s="228">
        <v>0.2</v>
      </c>
      <c r="AF118" s="228">
        <v>0.55000000000000004</v>
      </c>
      <c r="AG118" s="229">
        <v>1.2999999999999999E-3</v>
      </c>
      <c r="AH118" s="228">
        <v>4.25</v>
      </c>
      <c r="AI118" s="228">
        <v>3.35</v>
      </c>
      <c r="AJ118" s="228">
        <v>0.9</v>
      </c>
      <c r="AK118" s="229">
        <v>7.3000000000000001E-3</v>
      </c>
      <c r="AL118" s="228">
        <v>8.15</v>
      </c>
      <c r="AM118" s="228">
        <v>6.85</v>
      </c>
      <c r="AN118" s="228">
        <v>1.3</v>
      </c>
      <c r="AO118" s="229">
        <v>1.3899999999999999E-2</v>
      </c>
      <c r="AP118" s="228">
        <v>584.45000000000005</v>
      </c>
      <c r="AQ118" s="228">
        <v>587.67999999999995</v>
      </c>
      <c r="AR118" s="228">
        <v>0</v>
      </c>
      <c r="AS118" s="230">
        <v>1641</v>
      </c>
      <c r="AT118" s="228">
        <v>809</v>
      </c>
      <c r="AU118" s="228">
        <v>832</v>
      </c>
      <c r="AV118" s="229">
        <v>1.0283</v>
      </c>
      <c r="AW118" s="228">
        <v>793</v>
      </c>
      <c r="AX118" s="228">
        <v>402</v>
      </c>
      <c r="AY118" s="228">
        <v>391</v>
      </c>
      <c r="AZ118" s="229">
        <v>0.97150000000000003</v>
      </c>
      <c r="BA118" s="228">
        <v>836</v>
      </c>
      <c r="BB118" s="228">
        <v>403</v>
      </c>
      <c r="BC118" s="228">
        <v>433</v>
      </c>
      <c r="BD118" s="229">
        <v>1.0763</v>
      </c>
      <c r="BE118" s="228">
        <v>12</v>
      </c>
      <c r="BF118" s="228">
        <v>4</v>
      </c>
      <c r="BG118" s="228">
        <v>8</v>
      </c>
      <c r="BH118" s="229">
        <v>1.9265000000000001</v>
      </c>
      <c r="BI118" s="228">
        <v>620</v>
      </c>
      <c r="BJ118" s="228">
        <v>745</v>
      </c>
      <c r="BK118" s="228">
        <v>-125</v>
      </c>
      <c r="BL118" s="229">
        <v>-0.16789999999999999</v>
      </c>
      <c r="BM118" s="228">
        <v>347</v>
      </c>
      <c r="BN118" s="228">
        <v>287</v>
      </c>
      <c r="BO118" s="228">
        <v>60</v>
      </c>
      <c r="BP118" s="229">
        <v>0.20849999999999999</v>
      </c>
      <c r="BQ118" s="230">
        <v>2608</v>
      </c>
      <c r="BR118" s="230">
        <v>1841</v>
      </c>
      <c r="BS118" s="228">
        <v>767</v>
      </c>
      <c r="BT118" s="229">
        <v>0.41639999999999999</v>
      </c>
      <c r="BU118" s="230">
        <v>760827</v>
      </c>
      <c r="BV118" s="230">
        <v>965608</v>
      </c>
      <c r="BW118" s="230">
        <v>-204781</v>
      </c>
      <c r="BX118" s="229">
        <v>-0.21210000000000001</v>
      </c>
      <c r="BY118" s="230">
        <v>1855</v>
      </c>
      <c r="BZ118" s="230">
        <v>1855</v>
      </c>
      <c r="CA118" s="228">
        <v>0</v>
      </c>
      <c r="CB118" s="229">
        <v>-1E-4</v>
      </c>
      <c r="CC118" s="228">
        <v>304</v>
      </c>
      <c r="CD118" s="228">
        <v>990</v>
      </c>
      <c r="CE118" s="228">
        <v>-686</v>
      </c>
      <c r="CF118" s="229">
        <v>-0.69269999999999998</v>
      </c>
      <c r="CG118" s="230">
        <v>1538</v>
      </c>
      <c r="CH118" s="228">
        <v>856</v>
      </c>
      <c r="CI118" s="228">
        <v>682</v>
      </c>
      <c r="CJ118" s="229">
        <v>0.79710000000000003</v>
      </c>
      <c r="CK118" s="228">
        <v>13</v>
      </c>
      <c r="CL118" s="228">
        <v>9</v>
      </c>
      <c r="CM118" s="228">
        <v>4</v>
      </c>
      <c r="CN118" s="229">
        <v>0.40129999999999999</v>
      </c>
      <c r="CO118" s="228">
        <v>526</v>
      </c>
      <c r="CP118" s="228">
        <v>551</v>
      </c>
      <c r="CQ118" s="228">
        <v>-25</v>
      </c>
      <c r="CR118" s="229">
        <v>-4.4600000000000001E-2</v>
      </c>
      <c r="CS118" s="228">
        <v>420</v>
      </c>
      <c r="CT118" s="228">
        <v>389</v>
      </c>
      <c r="CU118" s="228">
        <v>31</v>
      </c>
      <c r="CV118" s="229">
        <v>0.08</v>
      </c>
      <c r="CW118" s="230">
        <v>2802</v>
      </c>
      <c r="CX118" s="230">
        <v>2795</v>
      </c>
      <c r="CY118" s="228">
        <v>6</v>
      </c>
      <c r="CZ118" s="229">
        <v>2.3E-3</v>
      </c>
      <c r="DA118" s="228">
        <v>25.26</v>
      </c>
      <c r="DB118" s="228">
        <v>24.25</v>
      </c>
      <c r="DC118" s="228">
        <v>1.01</v>
      </c>
      <c r="DD118" s="228">
        <v>1.01</v>
      </c>
      <c r="DE118" s="228">
        <v>34.18</v>
      </c>
      <c r="DF118" s="228">
        <v>34.24</v>
      </c>
      <c r="DG118" s="228">
        <v>-8.92</v>
      </c>
      <c r="DH118" s="228">
        <v>-0.06</v>
      </c>
      <c r="DI118" s="228">
        <v>25.35</v>
      </c>
      <c r="DJ118" s="228">
        <v>24.32</v>
      </c>
      <c r="DK118" s="228">
        <v>1.03</v>
      </c>
      <c r="DL118" s="228">
        <v>1.03</v>
      </c>
      <c r="DM118" s="228">
        <v>25.11</v>
      </c>
      <c r="DN118" s="228">
        <v>24.1</v>
      </c>
      <c r="DO118" s="228">
        <v>1.01</v>
      </c>
      <c r="DP118" s="228">
        <v>1.01</v>
      </c>
      <c r="DQ118" s="228">
        <v>0.8</v>
      </c>
      <c r="DR118" s="228">
        <v>0.71</v>
      </c>
      <c r="DS118" s="228">
        <v>0.09</v>
      </c>
      <c r="DT118" s="229">
        <v>0.1268</v>
      </c>
      <c r="DU118" s="228">
        <v>600</v>
      </c>
      <c r="DV118" s="228">
        <v>600</v>
      </c>
      <c r="DW118" s="228">
        <v>0.56000000000000005</v>
      </c>
      <c r="DX118" s="228">
        <v>0.39</v>
      </c>
      <c r="DY118" s="228">
        <v>0.17</v>
      </c>
      <c r="DZ118" s="229">
        <v>0.43590000000000001</v>
      </c>
      <c r="EA118" s="229">
        <v>0.83589999999999998</v>
      </c>
      <c r="EB118" s="230">
        <v>14783000</v>
      </c>
      <c r="EC118" s="229">
        <v>6.0000000000000001E-3</v>
      </c>
      <c r="ED118" s="229">
        <v>0.83589999999999998</v>
      </c>
      <c r="EE118" s="228">
        <v>3.23</v>
      </c>
      <c r="EF118" s="229">
        <v>5.4999999999999997E-3</v>
      </c>
      <c r="EG118" s="230">
        <v>332520</v>
      </c>
      <c r="EH118" s="230">
        <v>315493</v>
      </c>
      <c r="EI118" s="229">
        <v>5.3999999999999999E-2</v>
      </c>
      <c r="EJ118" s="229">
        <v>0.43709999999999999</v>
      </c>
      <c r="EK118" s="228">
        <v>642.34</v>
      </c>
      <c r="EL118" s="228">
        <v>350.31</v>
      </c>
      <c r="EM118" s="231">
        <v>1644.01</v>
      </c>
      <c r="EN118" s="228">
        <v>99.07</v>
      </c>
      <c r="EO118" s="231">
        <v>2636.67</v>
      </c>
      <c r="EP118" s="231">
        <v>1856.8</v>
      </c>
      <c r="EQ118" s="228">
        <v>779.86</v>
      </c>
      <c r="ER118" s="229">
        <v>0.42</v>
      </c>
      <c r="ES118" s="228">
        <v>537.41999999999996</v>
      </c>
      <c r="ET118" s="228">
        <v>414.3</v>
      </c>
      <c r="EU118" s="231">
        <v>1864.54</v>
      </c>
      <c r="EV118" s="231">
        <v>45183075</v>
      </c>
      <c r="EW118" s="231">
        <v>2816.25</v>
      </c>
      <c r="EX118" s="231">
        <v>2786.93</v>
      </c>
      <c r="EY118" s="228">
        <v>29.32</v>
      </c>
      <c r="EZ118" s="229">
        <v>1.0500000000000001E-2</v>
      </c>
      <c r="FA118" s="229">
        <v>1.0598000000000001</v>
      </c>
      <c r="FB118" s="227" t="s">
        <v>556</v>
      </c>
      <c r="FC118">
        <f t="shared" si="1"/>
        <v>1551</v>
      </c>
    </row>
    <row r="119" spans="1:159" ht="17.25" thickBot="1" x14ac:dyDescent="0.3">
      <c r="A119" s="226">
        <v>45957</v>
      </c>
      <c r="B119" s="227" t="s">
        <v>175</v>
      </c>
      <c r="C119" s="227" t="s">
        <v>607</v>
      </c>
      <c r="D119" s="228">
        <v>700</v>
      </c>
      <c r="E119" s="228">
        <v>1</v>
      </c>
      <c r="F119" s="228">
        <v>898.75</v>
      </c>
      <c r="G119" s="228">
        <v>890.6</v>
      </c>
      <c r="H119" s="228">
        <v>8.15</v>
      </c>
      <c r="I119" s="229">
        <v>9.1999999999999998E-3</v>
      </c>
      <c r="J119" s="228">
        <v>897.65</v>
      </c>
      <c r="K119" s="228">
        <v>889.65</v>
      </c>
      <c r="L119" s="228">
        <v>8</v>
      </c>
      <c r="M119" s="229">
        <v>8.9999999999999993E-3</v>
      </c>
      <c r="N119" s="228">
        <v>898.75</v>
      </c>
      <c r="O119" s="228">
        <v>890.6</v>
      </c>
      <c r="P119" s="228">
        <v>8.15</v>
      </c>
      <c r="Q119" s="229">
        <v>9.1999999999999998E-3</v>
      </c>
      <c r="R119" s="228">
        <v>903.8</v>
      </c>
      <c r="S119" s="228">
        <v>894.6</v>
      </c>
      <c r="T119" s="228">
        <v>9.1999999999999993</v>
      </c>
      <c r="U119" s="229">
        <v>1.03E-2</v>
      </c>
      <c r="V119" s="228">
        <v>909</v>
      </c>
      <c r="W119" s="228">
        <v>900.2</v>
      </c>
      <c r="X119" s="228">
        <v>8.8000000000000007</v>
      </c>
      <c r="Y119" s="229">
        <v>9.7999999999999997E-3</v>
      </c>
      <c r="Z119" s="228">
        <v>1.1000000000000001</v>
      </c>
      <c r="AA119" s="228">
        <v>0.95</v>
      </c>
      <c r="AB119" s="228">
        <v>0.15</v>
      </c>
      <c r="AC119" s="229">
        <v>1.1999999999999999E-3</v>
      </c>
      <c r="AD119" s="228">
        <v>1.1000000000000001</v>
      </c>
      <c r="AE119" s="228">
        <v>0.95</v>
      </c>
      <c r="AF119" s="228">
        <v>0.15</v>
      </c>
      <c r="AG119" s="229">
        <v>1.1999999999999999E-3</v>
      </c>
      <c r="AH119" s="228">
        <v>6.15</v>
      </c>
      <c r="AI119" s="228">
        <v>4.95</v>
      </c>
      <c r="AJ119" s="228">
        <v>1.2</v>
      </c>
      <c r="AK119" s="229">
        <v>6.8999999999999999E-3</v>
      </c>
      <c r="AL119" s="228">
        <v>11.35</v>
      </c>
      <c r="AM119" s="228">
        <v>10.55</v>
      </c>
      <c r="AN119" s="228">
        <v>0.8</v>
      </c>
      <c r="AO119" s="229">
        <v>1.26E-2</v>
      </c>
      <c r="AP119" s="228">
        <v>894.73</v>
      </c>
      <c r="AQ119" s="228">
        <v>899.81</v>
      </c>
      <c r="AR119" s="228">
        <v>0</v>
      </c>
      <c r="AS119" s="228">
        <v>569</v>
      </c>
      <c r="AT119" s="228">
        <v>606</v>
      </c>
      <c r="AU119" s="228">
        <v>-37</v>
      </c>
      <c r="AV119" s="229">
        <v>-6.08E-2</v>
      </c>
      <c r="AW119" s="228">
        <v>278</v>
      </c>
      <c r="AX119" s="228">
        <v>301</v>
      </c>
      <c r="AY119" s="228">
        <v>-23</v>
      </c>
      <c r="AZ119" s="229">
        <v>-7.7499999999999999E-2</v>
      </c>
      <c r="BA119" s="228">
        <v>285</v>
      </c>
      <c r="BB119" s="228">
        <v>300</v>
      </c>
      <c r="BC119" s="228">
        <v>-15</v>
      </c>
      <c r="BD119" s="229">
        <v>-4.9399999999999999E-2</v>
      </c>
      <c r="BE119" s="228">
        <v>6</v>
      </c>
      <c r="BF119" s="228">
        <v>5</v>
      </c>
      <c r="BG119" s="228">
        <v>1</v>
      </c>
      <c r="BH119" s="229">
        <v>0.2727</v>
      </c>
      <c r="BI119" s="228">
        <v>391</v>
      </c>
      <c r="BJ119" s="228">
        <v>405</v>
      </c>
      <c r="BK119" s="228">
        <v>-14</v>
      </c>
      <c r="BL119" s="229">
        <v>-3.3700000000000001E-2</v>
      </c>
      <c r="BM119" s="228">
        <v>309</v>
      </c>
      <c r="BN119" s="228">
        <v>220</v>
      </c>
      <c r="BO119" s="228">
        <v>89</v>
      </c>
      <c r="BP119" s="229">
        <v>0.40400000000000003</v>
      </c>
      <c r="BQ119" s="230">
        <v>1269</v>
      </c>
      <c r="BR119" s="230">
        <v>1230</v>
      </c>
      <c r="BS119" s="228">
        <v>38</v>
      </c>
      <c r="BT119" s="229">
        <v>3.1099999999999999E-2</v>
      </c>
      <c r="BU119" s="230">
        <v>906826</v>
      </c>
      <c r="BV119" s="230">
        <v>609781</v>
      </c>
      <c r="BW119" s="230">
        <v>297045</v>
      </c>
      <c r="BX119" s="229">
        <v>0.48709999999999998</v>
      </c>
      <c r="BY119" s="228">
        <v>740</v>
      </c>
      <c r="BZ119" s="228">
        <v>793</v>
      </c>
      <c r="CA119" s="228">
        <v>-54</v>
      </c>
      <c r="CB119" s="229">
        <v>-6.7599999999999993E-2</v>
      </c>
      <c r="CC119" s="228">
        <v>161</v>
      </c>
      <c r="CD119" s="228">
        <v>349</v>
      </c>
      <c r="CE119" s="228">
        <v>-188</v>
      </c>
      <c r="CF119" s="229">
        <v>-0.5383</v>
      </c>
      <c r="CG119" s="228">
        <v>567</v>
      </c>
      <c r="CH119" s="228">
        <v>434</v>
      </c>
      <c r="CI119" s="228">
        <v>132</v>
      </c>
      <c r="CJ119" s="229">
        <v>0.30480000000000002</v>
      </c>
      <c r="CK119" s="228">
        <v>12</v>
      </c>
      <c r="CL119" s="228">
        <v>10</v>
      </c>
      <c r="CM119" s="228">
        <v>2</v>
      </c>
      <c r="CN119" s="229">
        <v>0.1585</v>
      </c>
      <c r="CO119" s="228">
        <v>366</v>
      </c>
      <c r="CP119" s="228">
        <v>395</v>
      </c>
      <c r="CQ119" s="228">
        <v>-29</v>
      </c>
      <c r="CR119" s="229">
        <v>-7.3099999999999998E-2</v>
      </c>
      <c r="CS119" s="228">
        <v>198</v>
      </c>
      <c r="CT119" s="228">
        <v>197</v>
      </c>
      <c r="CU119" s="228">
        <v>1</v>
      </c>
      <c r="CV119" s="229">
        <v>6.7000000000000002E-3</v>
      </c>
      <c r="CW119" s="230">
        <v>1304</v>
      </c>
      <c r="CX119" s="230">
        <v>1385</v>
      </c>
      <c r="CY119" s="228">
        <v>-81</v>
      </c>
      <c r="CZ119" s="229">
        <v>-5.8599999999999999E-2</v>
      </c>
      <c r="DA119" s="228">
        <v>24.2</v>
      </c>
      <c r="DB119" s="228">
        <v>23.74</v>
      </c>
      <c r="DC119" s="228">
        <v>0.46</v>
      </c>
      <c r="DD119" s="228">
        <v>0.46</v>
      </c>
      <c r="DE119" s="228">
        <v>31.84</v>
      </c>
      <c r="DF119" s="228">
        <v>31.89</v>
      </c>
      <c r="DG119" s="228">
        <v>-7.64</v>
      </c>
      <c r="DH119" s="228">
        <v>-0.05</v>
      </c>
      <c r="DI119" s="228">
        <v>24.2</v>
      </c>
      <c r="DJ119" s="228">
        <v>24.16</v>
      </c>
      <c r="DK119" s="228">
        <v>0.04</v>
      </c>
      <c r="DL119" s="228">
        <v>0.04</v>
      </c>
      <c r="DM119" s="228">
        <v>24.21</v>
      </c>
      <c r="DN119" s="228">
        <v>23.07</v>
      </c>
      <c r="DO119" s="228">
        <v>1.1399999999999999</v>
      </c>
      <c r="DP119" s="228">
        <v>1.1399999999999999</v>
      </c>
      <c r="DQ119" s="228">
        <v>0.54</v>
      </c>
      <c r="DR119" s="228">
        <v>0.5</v>
      </c>
      <c r="DS119" s="228">
        <v>0.04</v>
      </c>
      <c r="DT119" s="229">
        <v>0.08</v>
      </c>
      <c r="DU119" s="231">
        <v>1000</v>
      </c>
      <c r="DV119" s="228">
        <v>900</v>
      </c>
      <c r="DW119" s="228">
        <v>0.79</v>
      </c>
      <c r="DX119" s="228">
        <v>0.54</v>
      </c>
      <c r="DY119" s="228">
        <v>0.25</v>
      </c>
      <c r="DZ119" s="229">
        <v>0.46300000000000002</v>
      </c>
      <c r="EA119" s="229">
        <v>0.78239999999999998</v>
      </c>
      <c r="EB119" s="230">
        <v>4946900</v>
      </c>
      <c r="EC119" s="229">
        <v>5.5999999999999999E-3</v>
      </c>
      <c r="ED119" s="229">
        <v>0.78239999999999998</v>
      </c>
      <c r="EE119" s="228">
        <v>5.08</v>
      </c>
      <c r="EF119" s="229">
        <v>5.7000000000000002E-3</v>
      </c>
      <c r="EG119" s="230">
        <v>352032</v>
      </c>
      <c r="EH119" s="230">
        <v>267948</v>
      </c>
      <c r="EI119" s="229">
        <v>0.31380000000000002</v>
      </c>
      <c r="EJ119" s="229">
        <v>0.38819999999999999</v>
      </c>
      <c r="EK119" s="228">
        <v>403.2</v>
      </c>
      <c r="EL119" s="228">
        <v>304.95</v>
      </c>
      <c r="EM119" s="228">
        <v>567.99</v>
      </c>
      <c r="EN119" s="228">
        <v>53.13</v>
      </c>
      <c r="EO119" s="231">
        <v>1276.1300000000001</v>
      </c>
      <c r="EP119" s="231">
        <v>1238.74</v>
      </c>
      <c r="EQ119" s="228">
        <v>37.39</v>
      </c>
      <c r="ER119" s="229">
        <v>3.0200000000000001E-2</v>
      </c>
      <c r="ES119" s="228">
        <v>382.46</v>
      </c>
      <c r="ET119" s="228">
        <v>193.74</v>
      </c>
      <c r="EU119" s="228">
        <v>742.86</v>
      </c>
      <c r="EV119" s="231">
        <v>32057152</v>
      </c>
      <c r="EW119" s="231">
        <v>1319.06</v>
      </c>
      <c r="EX119" s="231">
        <v>1392.71</v>
      </c>
      <c r="EY119" s="228">
        <v>-73.650000000000006</v>
      </c>
      <c r="EZ119" s="229">
        <v>-5.2900000000000003E-2</v>
      </c>
      <c r="FA119" s="229">
        <v>0.4526</v>
      </c>
      <c r="FB119" s="227" t="s">
        <v>556</v>
      </c>
      <c r="FC119">
        <f t="shared" si="1"/>
        <v>579</v>
      </c>
    </row>
    <row r="120" spans="1:159" ht="17.25" thickBot="1" x14ac:dyDescent="0.3">
      <c r="A120" s="226">
        <v>45957</v>
      </c>
      <c r="B120" s="227" t="s">
        <v>206</v>
      </c>
      <c r="C120" s="227" t="s">
        <v>588</v>
      </c>
      <c r="D120" s="228">
        <v>450</v>
      </c>
      <c r="E120" s="228">
        <v>1</v>
      </c>
      <c r="F120" s="231">
        <v>1176.5999999999999</v>
      </c>
      <c r="G120" s="231">
        <v>1171.4000000000001</v>
      </c>
      <c r="H120" s="228">
        <v>5.2</v>
      </c>
      <c r="I120" s="229">
        <v>4.4000000000000003E-3</v>
      </c>
      <c r="J120" s="231">
        <v>1177</v>
      </c>
      <c r="K120" s="231">
        <v>1172.9000000000001</v>
      </c>
      <c r="L120" s="228">
        <v>4.0999999999999996</v>
      </c>
      <c r="M120" s="229">
        <v>3.5000000000000001E-3</v>
      </c>
      <c r="N120" s="231">
        <v>1176.5999999999999</v>
      </c>
      <c r="O120" s="231">
        <v>1171.4000000000001</v>
      </c>
      <c r="P120" s="228">
        <v>5.2</v>
      </c>
      <c r="Q120" s="229">
        <v>4.4000000000000003E-3</v>
      </c>
      <c r="R120" s="231">
        <v>1183.2</v>
      </c>
      <c r="S120" s="231">
        <v>1178.2</v>
      </c>
      <c r="T120" s="228">
        <v>5</v>
      </c>
      <c r="U120" s="229">
        <v>4.1999999999999997E-3</v>
      </c>
      <c r="V120" s="231">
        <v>1192.0999999999999</v>
      </c>
      <c r="W120" s="231">
        <v>1187</v>
      </c>
      <c r="X120" s="228">
        <v>5.0999999999999996</v>
      </c>
      <c r="Y120" s="229">
        <v>4.3E-3</v>
      </c>
      <c r="Z120" s="228">
        <v>-0.4</v>
      </c>
      <c r="AA120" s="228">
        <v>-1.5</v>
      </c>
      <c r="AB120" s="228">
        <v>1.1000000000000001</v>
      </c>
      <c r="AC120" s="229">
        <v>-2.9999999999999997E-4</v>
      </c>
      <c r="AD120" s="228">
        <v>-0.4</v>
      </c>
      <c r="AE120" s="228">
        <v>-1.5</v>
      </c>
      <c r="AF120" s="228">
        <v>1.1000000000000001</v>
      </c>
      <c r="AG120" s="229">
        <v>-2.9999999999999997E-4</v>
      </c>
      <c r="AH120" s="228">
        <v>6.2</v>
      </c>
      <c r="AI120" s="228">
        <v>5.3</v>
      </c>
      <c r="AJ120" s="228">
        <v>0.9</v>
      </c>
      <c r="AK120" s="229">
        <v>5.3E-3</v>
      </c>
      <c r="AL120" s="228">
        <v>15.1</v>
      </c>
      <c r="AM120" s="228">
        <v>14.1</v>
      </c>
      <c r="AN120" s="228">
        <v>1</v>
      </c>
      <c r="AO120" s="229">
        <v>1.2800000000000001E-2</v>
      </c>
      <c r="AP120" s="231">
        <v>1182.8900000000001</v>
      </c>
      <c r="AQ120" s="231">
        <v>1189.44</v>
      </c>
      <c r="AR120" s="228">
        <v>0</v>
      </c>
      <c r="AS120" s="228">
        <v>932</v>
      </c>
      <c r="AT120" s="228">
        <v>813</v>
      </c>
      <c r="AU120" s="228">
        <v>119</v>
      </c>
      <c r="AV120" s="229">
        <v>0.14680000000000001</v>
      </c>
      <c r="AW120" s="228">
        <v>459</v>
      </c>
      <c r="AX120" s="228">
        <v>412</v>
      </c>
      <c r="AY120" s="228">
        <v>47</v>
      </c>
      <c r="AZ120" s="229">
        <v>0.11459999999999999</v>
      </c>
      <c r="BA120" s="228">
        <v>468</v>
      </c>
      <c r="BB120" s="228">
        <v>400</v>
      </c>
      <c r="BC120" s="228">
        <v>68</v>
      </c>
      <c r="BD120" s="229">
        <v>0.17130000000000001</v>
      </c>
      <c r="BE120" s="228">
        <v>5</v>
      </c>
      <c r="BF120" s="228">
        <v>1</v>
      </c>
      <c r="BG120" s="228">
        <v>4</v>
      </c>
      <c r="BH120" s="229">
        <v>3.2381000000000002</v>
      </c>
      <c r="BI120" s="228">
        <v>634</v>
      </c>
      <c r="BJ120" s="228">
        <v>602</v>
      </c>
      <c r="BK120" s="228">
        <v>32</v>
      </c>
      <c r="BL120" s="229">
        <v>5.2999999999999999E-2</v>
      </c>
      <c r="BM120" s="228">
        <v>483</v>
      </c>
      <c r="BN120" s="228">
        <v>208</v>
      </c>
      <c r="BO120" s="228">
        <v>275</v>
      </c>
      <c r="BP120" s="229">
        <v>1.323</v>
      </c>
      <c r="BQ120" s="230">
        <v>2049</v>
      </c>
      <c r="BR120" s="230">
        <v>1623</v>
      </c>
      <c r="BS120" s="228">
        <v>426</v>
      </c>
      <c r="BT120" s="229">
        <v>0.26250000000000001</v>
      </c>
      <c r="BU120" s="230">
        <v>598522</v>
      </c>
      <c r="BV120" s="230">
        <v>975210</v>
      </c>
      <c r="BW120" s="230">
        <v>-376688</v>
      </c>
      <c r="BX120" s="229">
        <v>-0.38629999999999998</v>
      </c>
      <c r="BY120" s="230">
        <v>1358</v>
      </c>
      <c r="BZ120" s="230">
        <v>1362</v>
      </c>
      <c r="CA120" s="228">
        <v>-5</v>
      </c>
      <c r="CB120" s="229">
        <v>-3.3999999999999998E-3</v>
      </c>
      <c r="CC120" s="228">
        <v>266</v>
      </c>
      <c r="CD120" s="228">
        <v>653</v>
      </c>
      <c r="CE120" s="228">
        <v>-387</v>
      </c>
      <c r="CF120" s="229">
        <v>-0.59330000000000005</v>
      </c>
      <c r="CG120" s="230">
        <v>1083</v>
      </c>
      <c r="CH120" s="228">
        <v>704</v>
      </c>
      <c r="CI120" s="228">
        <v>379</v>
      </c>
      <c r="CJ120" s="229">
        <v>0.53910000000000002</v>
      </c>
      <c r="CK120" s="228">
        <v>9</v>
      </c>
      <c r="CL120" s="228">
        <v>6</v>
      </c>
      <c r="CM120" s="228">
        <v>3</v>
      </c>
      <c r="CN120" s="229">
        <v>0.59619999999999995</v>
      </c>
      <c r="CO120" s="228">
        <v>382</v>
      </c>
      <c r="CP120" s="228">
        <v>388</v>
      </c>
      <c r="CQ120" s="228">
        <v>-6</v>
      </c>
      <c r="CR120" s="229">
        <v>-1.4500000000000001E-2</v>
      </c>
      <c r="CS120" s="228">
        <v>221</v>
      </c>
      <c r="CT120" s="228">
        <v>215</v>
      </c>
      <c r="CU120" s="228">
        <v>6</v>
      </c>
      <c r="CV120" s="229">
        <v>2.98E-2</v>
      </c>
      <c r="CW120" s="230">
        <v>1961</v>
      </c>
      <c r="CX120" s="230">
        <v>1965</v>
      </c>
      <c r="CY120" s="228">
        <v>-4</v>
      </c>
      <c r="CZ120" s="229">
        <v>-1.9E-3</v>
      </c>
      <c r="DA120" s="228">
        <v>33.1</v>
      </c>
      <c r="DB120" s="228">
        <v>32.99</v>
      </c>
      <c r="DC120" s="228">
        <v>0.11</v>
      </c>
      <c r="DD120" s="228">
        <v>0.11</v>
      </c>
      <c r="DE120" s="228">
        <v>46.89</v>
      </c>
      <c r="DF120" s="228">
        <v>47.01</v>
      </c>
      <c r="DG120" s="228">
        <v>-13.79</v>
      </c>
      <c r="DH120" s="228">
        <v>-0.12</v>
      </c>
      <c r="DI120" s="228">
        <v>33.17</v>
      </c>
      <c r="DJ120" s="228">
        <v>33.36</v>
      </c>
      <c r="DK120" s="228">
        <v>-0.19</v>
      </c>
      <c r="DL120" s="228">
        <v>-0.19</v>
      </c>
      <c r="DM120" s="228">
        <v>32.950000000000003</v>
      </c>
      <c r="DN120" s="228">
        <v>32.35</v>
      </c>
      <c r="DO120" s="228">
        <v>0.6</v>
      </c>
      <c r="DP120" s="228">
        <v>0.6</v>
      </c>
      <c r="DQ120" s="228">
        <v>0.57999999999999996</v>
      </c>
      <c r="DR120" s="228">
        <v>0.55000000000000004</v>
      </c>
      <c r="DS120" s="228">
        <v>0.03</v>
      </c>
      <c r="DT120" s="229">
        <v>5.45E-2</v>
      </c>
      <c r="DU120" s="231">
        <v>1200</v>
      </c>
      <c r="DV120" s="231">
        <v>1140</v>
      </c>
      <c r="DW120" s="228">
        <v>0.76</v>
      </c>
      <c r="DX120" s="228">
        <v>0.34</v>
      </c>
      <c r="DY120" s="228">
        <v>0.42</v>
      </c>
      <c r="DZ120" s="229">
        <v>1.2353000000000001</v>
      </c>
      <c r="EA120" s="229">
        <v>0.8044</v>
      </c>
      <c r="EB120" s="230">
        <v>6029100</v>
      </c>
      <c r="EC120" s="229">
        <v>5.5999999999999999E-3</v>
      </c>
      <c r="ED120" s="229">
        <v>0.8044</v>
      </c>
      <c r="EE120" s="228">
        <v>6.55</v>
      </c>
      <c r="EF120" s="229">
        <v>5.4999999999999997E-3</v>
      </c>
      <c r="EG120" s="230">
        <v>326628</v>
      </c>
      <c r="EH120" s="230">
        <v>543450</v>
      </c>
      <c r="EI120" s="229">
        <v>-0.39900000000000002</v>
      </c>
      <c r="EJ120" s="229">
        <v>0.54569999999999996</v>
      </c>
      <c r="EK120" s="228">
        <v>659.69</v>
      </c>
      <c r="EL120" s="228">
        <v>469.22</v>
      </c>
      <c r="EM120" s="228">
        <v>939.78</v>
      </c>
      <c r="EN120" s="228">
        <v>81.010000000000005</v>
      </c>
      <c r="EO120" s="231">
        <v>2068.69</v>
      </c>
      <c r="EP120" s="231">
        <v>1653.35</v>
      </c>
      <c r="EQ120" s="228">
        <v>415.34</v>
      </c>
      <c r="ER120" s="229">
        <v>0.25119999999999998</v>
      </c>
      <c r="ES120" s="228">
        <v>395.31</v>
      </c>
      <c r="ET120" s="228">
        <v>215.43</v>
      </c>
      <c r="EU120" s="231">
        <v>1363.86</v>
      </c>
      <c r="EV120" s="231">
        <v>42060143</v>
      </c>
      <c r="EW120" s="231">
        <v>1974.59</v>
      </c>
      <c r="EX120" s="231">
        <v>1969.1</v>
      </c>
      <c r="EY120" s="228">
        <v>5.49</v>
      </c>
      <c r="EZ120" s="229">
        <v>2.8E-3</v>
      </c>
      <c r="FA120" s="229">
        <v>0.39629999999999999</v>
      </c>
      <c r="FB120" s="227" t="s">
        <v>556</v>
      </c>
      <c r="FC120">
        <f t="shared" si="1"/>
        <v>1092</v>
      </c>
    </row>
    <row r="121" spans="1:159" ht="17.25" thickBot="1" x14ac:dyDescent="0.3">
      <c r="A121" s="226">
        <v>45957</v>
      </c>
      <c r="B121" s="227" t="s">
        <v>184</v>
      </c>
      <c r="C121" s="227" t="s">
        <v>249</v>
      </c>
      <c r="D121" s="228">
        <v>175</v>
      </c>
      <c r="E121" s="228">
        <v>1</v>
      </c>
      <c r="F121" s="231">
        <v>3926.8</v>
      </c>
      <c r="G121" s="231">
        <v>3908.5</v>
      </c>
      <c r="H121" s="228">
        <v>18.3</v>
      </c>
      <c r="I121" s="229">
        <v>4.7000000000000002E-3</v>
      </c>
      <c r="J121" s="231">
        <v>3923.8</v>
      </c>
      <c r="K121" s="231">
        <v>3904.9</v>
      </c>
      <c r="L121" s="228">
        <v>18.899999999999999</v>
      </c>
      <c r="M121" s="229">
        <v>4.7999999999999996E-3</v>
      </c>
      <c r="N121" s="231">
        <v>3926.8</v>
      </c>
      <c r="O121" s="231">
        <v>3908.5</v>
      </c>
      <c r="P121" s="228">
        <v>18.3</v>
      </c>
      <c r="Q121" s="229">
        <v>4.7000000000000002E-3</v>
      </c>
      <c r="R121" s="231">
        <v>3950.8</v>
      </c>
      <c r="S121" s="231">
        <v>3931.6</v>
      </c>
      <c r="T121" s="228">
        <v>19.2</v>
      </c>
      <c r="U121" s="229">
        <v>4.8999999999999998E-3</v>
      </c>
      <c r="V121" s="231">
        <v>3974.8</v>
      </c>
      <c r="W121" s="231">
        <v>3955.6</v>
      </c>
      <c r="X121" s="228">
        <v>19.2</v>
      </c>
      <c r="Y121" s="229">
        <v>4.8999999999999998E-3</v>
      </c>
      <c r="Z121" s="228">
        <v>3</v>
      </c>
      <c r="AA121" s="228">
        <v>3.6</v>
      </c>
      <c r="AB121" s="228">
        <v>-0.6</v>
      </c>
      <c r="AC121" s="229">
        <v>8.0000000000000004E-4</v>
      </c>
      <c r="AD121" s="228">
        <v>3</v>
      </c>
      <c r="AE121" s="228">
        <v>3.6</v>
      </c>
      <c r="AF121" s="228">
        <v>-0.6</v>
      </c>
      <c r="AG121" s="229">
        <v>8.0000000000000004E-4</v>
      </c>
      <c r="AH121" s="228">
        <v>27</v>
      </c>
      <c r="AI121" s="228">
        <v>26.7</v>
      </c>
      <c r="AJ121" s="228">
        <v>0.3</v>
      </c>
      <c r="AK121" s="229">
        <v>6.8999999999999999E-3</v>
      </c>
      <c r="AL121" s="228">
        <v>51</v>
      </c>
      <c r="AM121" s="228">
        <v>50.7</v>
      </c>
      <c r="AN121" s="228">
        <v>0.3</v>
      </c>
      <c r="AO121" s="229">
        <v>1.2999999999999999E-2</v>
      </c>
      <c r="AP121" s="231">
        <v>3933.29</v>
      </c>
      <c r="AQ121" s="231">
        <v>3956.35</v>
      </c>
      <c r="AR121" s="228">
        <v>0</v>
      </c>
      <c r="AS121" s="230">
        <v>3746</v>
      </c>
      <c r="AT121" s="230">
        <v>3704</v>
      </c>
      <c r="AU121" s="228">
        <v>42</v>
      </c>
      <c r="AV121" s="229">
        <v>1.14E-2</v>
      </c>
      <c r="AW121" s="230">
        <v>1817</v>
      </c>
      <c r="AX121" s="230">
        <v>1972</v>
      </c>
      <c r="AY121" s="228">
        <v>-155</v>
      </c>
      <c r="AZ121" s="229">
        <v>-7.8399999999999997E-2</v>
      </c>
      <c r="BA121" s="230">
        <v>1919</v>
      </c>
      <c r="BB121" s="230">
        <v>1725</v>
      </c>
      <c r="BC121" s="228">
        <v>195</v>
      </c>
      <c r="BD121" s="229">
        <v>0.1129</v>
      </c>
      <c r="BE121" s="228">
        <v>10</v>
      </c>
      <c r="BF121" s="228">
        <v>7</v>
      </c>
      <c r="BG121" s="228">
        <v>2</v>
      </c>
      <c r="BH121" s="229">
        <v>0.2752</v>
      </c>
      <c r="BI121" s="230">
        <v>2594</v>
      </c>
      <c r="BJ121" s="230">
        <v>3030</v>
      </c>
      <c r="BK121" s="228">
        <v>-436</v>
      </c>
      <c r="BL121" s="229">
        <v>-0.1439</v>
      </c>
      <c r="BM121" s="230">
        <v>1592</v>
      </c>
      <c r="BN121" s="230">
        <v>2020</v>
      </c>
      <c r="BO121" s="228">
        <v>-428</v>
      </c>
      <c r="BP121" s="229">
        <v>-0.21190000000000001</v>
      </c>
      <c r="BQ121" s="230">
        <v>7932</v>
      </c>
      <c r="BR121" s="230">
        <v>8754</v>
      </c>
      <c r="BS121" s="228">
        <v>-822</v>
      </c>
      <c r="BT121" s="229">
        <v>-9.3899999999999997E-2</v>
      </c>
      <c r="BU121" s="230">
        <v>1108353</v>
      </c>
      <c r="BV121" s="230">
        <v>1171793</v>
      </c>
      <c r="BW121" s="230">
        <v>-63440</v>
      </c>
      <c r="BX121" s="229">
        <v>-5.4100000000000002E-2</v>
      </c>
      <c r="BY121" s="230">
        <v>6946</v>
      </c>
      <c r="BZ121" s="230">
        <v>6694</v>
      </c>
      <c r="CA121" s="228">
        <v>251</v>
      </c>
      <c r="CB121" s="229">
        <v>3.7600000000000001E-2</v>
      </c>
      <c r="CC121" s="230">
        <v>2071</v>
      </c>
      <c r="CD121" s="230">
        <v>3359</v>
      </c>
      <c r="CE121" s="230">
        <v>-1287</v>
      </c>
      <c r="CF121" s="229">
        <v>-0.38329999999999997</v>
      </c>
      <c r="CG121" s="230">
        <v>4702</v>
      </c>
      <c r="CH121" s="230">
        <v>3167</v>
      </c>
      <c r="CI121" s="230">
        <v>1535</v>
      </c>
      <c r="CJ121" s="229">
        <v>0.48470000000000002</v>
      </c>
      <c r="CK121" s="228">
        <v>172</v>
      </c>
      <c r="CL121" s="228">
        <v>169</v>
      </c>
      <c r="CM121" s="228">
        <v>4</v>
      </c>
      <c r="CN121" s="229">
        <v>2.1600000000000001E-2</v>
      </c>
      <c r="CO121" s="230">
        <v>3320</v>
      </c>
      <c r="CP121" s="230">
        <v>3403</v>
      </c>
      <c r="CQ121" s="228">
        <v>-83</v>
      </c>
      <c r="CR121" s="229">
        <v>-2.4500000000000001E-2</v>
      </c>
      <c r="CS121" s="230">
        <v>2158</v>
      </c>
      <c r="CT121" s="230">
        <v>2199</v>
      </c>
      <c r="CU121" s="228">
        <v>-40</v>
      </c>
      <c r="CV121" s="229">
        <v>-1.84E-2</v>
      </c>
      <c r="CW121" s="230">
        <v>12424</v>
      </c>
      <c r="CX121" s="230">
        <v>12296</v>
      </c>
      <c r="CY121" s="228">
        <v>128</v>
      </c>
      <c r="CZ121" s="229">
        <v>1.04E-2</v>
      </c>
      <c r="DA121" s="228">
        <v>23.07</v>
      </c>
      <c r="DB121" s="228">
        <v>21.79</v>
      </c>
      <c r="DC121" s="228">
        <v>1.28</v>
      </c>
      <c r="DD121" s="228">
        <v>1.28</v>
      </c>
      <c r="DE121" s="228">
        <v>27.66</v>
      </c>
      <c r="DF121" s="228">
        <v>27.73</v>
      </c>
      <c r="DG121" s="228">
        <v>-4.59</v>
      </c>
      <c r="DH121" s="228">
        <v>-7.0000000000000007E-2</v>
      </c>
      <c r="DI121" s="228">
        <v>23.23</v>
      </c>
      <c r="DJ121" s="228">
        <v>21.98</v>
      </c>
      <c r="DK121" s="228">
        <v>1.25</v>
      </c>
      <c r="DL121" s="228">
        <v>1.25</v>
      </c>
      <c r="DM121" s="228">
        <v>22.65</v>
      </c>
      <c r="DN121" s="228">
        <v>21.36</v>
      </c>
      <c r="DO121" s="228">
        <v>1.29</v>
      </c>
      <c r="DP121" s="228">
        <v>1.29</v>
      </c>
      <c r="DQ121" s="228">
        <v>0.65</v>
      </c>
      <c r="DR121" s="228">
        <v>0.65</v>
      </c>
      <c r="DS121" s="228">
        <v>0</v>
      </c>
      <c r="DT121" s="229">
        <v>0</v>
      </c>
      <c r="DU121" s="231">
        <v>3800</v>
      </c>
      <c r="DV121" s="231">
        <v>3800</v>
      </c>
      <c r="DW121" s="228">
        <v>0.61</v>
      </c>
      <c r="DX121" s="228">
        <v>0.67</v>
      </c>
      <c r="DY121" s="228">
        <v>-0.06</v>
      </c>
      <c r="DZ121" s="229">
        <v>-8.9599999999999999E-2</v>
      </c>
      <c r="EA121" s="229">
        <v>0.70179999999999998</v>
      </c>
      <c r="EB121" s="230">
        <v>8494850</v>
      </c>
      <c r="EC121" s="229">
        <v>6.1000000000000004E-3</v>
      </c>
      <c r="ED121" s="229">
        <v>0.70179999999999998</v>
      </c>
      <c r="EE121" s="228">
        <v>23.06</v>
      </c>
      <c r="EF121" s="229">
        <v>5.8999999999999999E-3</v>
      </c>
      <c r="EG121" s="230">
        <v>645851</v>
      </c>
      <c r="EH121" s="230">
        <v>537642</v>
      </c>
      <c r="EI121" s="229">
        <v>0.20130000000000001</v>
      </c>
      <c r="EJ121" s="229">
        <v>0.5827</v>
      </c>
      <c r="EK121" s="231">
        <v>2664.24</v>
      </c>
      <c r="EL121" s="231">
        <v>1570.54</v>
      </c>
      <c r="EM121" s="231">
        <v>3763.59</v>
      </c>
      <c r="EN121" s="228">
        <v>322</v>
      </c>
      <c r="EO121" s="231">
        <v>7998.37</v>
      </c>
      <c r="EP121" s="231">
        <v>8795.3700000000008</v>
      </c>
      <c r="EQ121" s="228">
        <v>-797</v>
      </c>
      <c r="ER121" s="229">
        <v>-9.06E-2</v>
      </c>
      <c r="ES121" s="231">
        <v>3309.77</v>
      </c>
      <c r="ET121" s="231">
        <v>2069.2199999999998</v>
      </c>
      <c r="EU121" s="231">
        <v>6976.55</v>
      </c>
      <c r="EV121" s="231">
        <v>136007303</v>
      </c>
      <c r="EW121" s="231">
        <v>12355.54</v>
      </c>
      <c r="EX121" s="231">
        <v>12178.04</v>
      </c>
      <c r="EY121" s="228">
        <v>177.5</v>
      </c>
      <c r="EZ121" s="229">
        <v>1.46E-2</v>
      </c>
      <c r="FA121" s="229">
        <v>0.2326</v>
      </c>
      <c r="FB121" s="227" t="s">
        <v>555</v>
      </c>
      <c r="FC121">
        <f t="shared" si="1"/>
        <v>4875</v>
      </c>
    </row>
    <row r="122" spans="1:159" ht="17.25" thickBot="1" x14ac:dyDescent="0.3">
      <c r="A122" s="226">
        <v>45957</v>
      </c>
      <c r="B122" s="227" t="s">
        <v>175</v>
      </c>
      <c r="C122" s="227" t="s">
        <v>565</v>
      </c>
      <c r="D122" s="228">
        <v>4462</v>
      </c>
      <c r="E122" s="228">
        <v>1</v>
      </c>
      <c r="F122" s="228">
        <v>267.45999999999998</v>
      </c>
      <c r="G122" s="228">
        <v>267.43</v>
      </c>
      <c r="H122" s="228">
        <v>0.03</v>
      </c>
      <c r="I122" s="229">
        <v>1E-4</v>
      </c>
      <c r="J122" s="228">
        <v>267.14999999999998</v>
      </c>
      <c r="K122" s="228">
        <v>267</v>
      </c>
      <c r="L122" s="228">
        <v>0.15</v>
      </c>
      <c r="M122" s="229">
        <v>5.9999999999999995E-4</v>
      </c>
      <c r="N122" s="228">
        <v>267.45999999999998</v>
      </c>
      <c r="O122" s="228">
        <v>267.43</v>
      </c>
      <c r="P122" s="228">
        <v>0.03</v>
      </c>
      <c r="Q122" s="229">
        <v>1E-4</v>
      </c>
      <c r="R122" s="228">
        <v>268.98</v>
      </c>
      <c r="S122" s="228">
        <v>268.92</v>
      </c>
      <c r="T122" s="228">
        <v>0.06</v>
      </c>
      <c r="U122" s="229">
        <v>2.0000000000000001E-4</v>
      </c>
      <c r="V122" s="228">
        <v>269.89</v>
      </c>
      <c r="W122" s="228">
        <v>269.75</v>
      </c>
      <c r="X122" s="228">
        <v>0.14000000000000001</v>
      </c>
      <c r="Y122" s="229">
        <v>5.0000000000000001E-4</v>
      </c>
      <c r="Z122" s="228">
        <v>0.31</v>
      </c>
      <c r="AA122" s="228">
        <v>0.43</v>
      </c>
      <c r="AB122" s="228">
        <v>-0.12</v>
      </c>
      <c r="AC122" s="229">
        <v>1.1999999999999999E-3</v>
      </c>
      <c r="AD122" s="228">
        <v>0.31</v>
      </c>
      <c r="AE122" s="228">
        <v>0.43</v>
      </c>
      <c r="AF122" s="228">
        <v>-0.12</v>
      </c>
      <c r="AG122" s="229">
        <v>1.1999999999999999E-3</v>
      </c>
      <c r="AH122" s="228">
        <v>1.83</v>
      </c>
      <c r="AI122" s="228">
        <v>1.92</v>
      </c>
      <c r="AJ122" s="228">
        <v>-0.09</v>
      </c>
      <c r="AK122" s="229">
        <v>6.8999999999999999E-3</v>
      </c>
      <c r="AL122" s="228">
        <v>2.74</v>
      </c>
      <c r="AM122" s="228">
        <v>2.75</v>
      </c>
      <c r="AN122" s="228">
        <v>-0.01</v>
      </c>
      <c r="AO122" s="229">
        <v>1.03E-2</v>
      </c>
      <c r="AP122" s="228">
        <v>266.94</v>
      </c>
      <c r="AQ122" s="228">
        <v>268.45</v>
      </c>
      <c r="AR122" s="228">
        <v>0</v>
      </c>
      <c r="AS122" s="230">
        <v>1030</v>
      </c>
      <c r="AT122" s="230">
        <v>1712</v>
      </c>
      <c r="AU122" s="228">
        <v>-682</v>
      </c>
      <c r="AV122" s="229">
        <v>-0.39839999999999998</v>
      </c>
      <c r="AW122" s="228">
        <v>425</v>
      </c>
      <c r="AX122" s="228">
        <v>825</v>
      </c>
      <c r="AY122" s="228">
        <v>-400</v>
      </c>
      <c r="AZ122" s="229">
        <v>-0.48509999999999998</v>
      </c>
      <c r="BA122" s="228">
        <v>593</v>
      </c>
      <c r="BB122" s="228">
        <v>883</v>
      </c>
      <c r="BC122" s="228">
        <v>-289</v>
      </c>
      <c r="BD122" s="229">
        <v>-0.32769999999999999</v>
      </c>
      <c r="BE122" s="228">
        <v>12</v>
      </c>
      <c r="BF122" s="228">
        <v>4</v>
      </c>
      <c r="BG122" s="228">
        <v>7</v>
      </c>
      <c r="BH122" s="229">
        <v>1.7714000000000001</v>
      </c>
      <c r="BI122" s="228">
        <v>817</v>
      </c>
      <c r="BJ122" s="228">
        <v>751</v>
      </c>
      <c r="BK122" s="228">
        <v>65</v>
      </c>
      <c r="BL122" s="229">
        <v>8.7099999999999997E-2</v>
      </c>
      <c r="BM122" s="228">
        <v>653</v>
      </c>
      <c r="BN122" s="228">
        <v>398</v>
      </c>
      <c r="BO122" s="228">
        <v>255</v>
      </c>
      <c r="BP122" s="229">
        <v>0.64019999999999999</v>
      </c>
      <c r="BQ122" s="230">
        <v>2500</v>
      </c>
      <c r="BR122" s="230">
        <v>2862</v>
      </c>
      <c r="BS122" s="228">
        <v>-362</v>
      </c>
      <c r="BT122" s="229">
        <v>-0.12640000000000001</v>
      </c>
      <c r="BU122" s="230">
        <v>9137787</v>
      </c>
      <c r="BV122" s="230">
        <v>4294947</v>
      </c>
      <c r="BW122" s="230">
        <v>4842840</v>
      </c>
      <c r="BX122" s="229">
        <v>1.1275999999999999</v>
      </c>
      <c r="BY122" s="230">
        <v>1289</v>
      </c>
      <c r="BZ122" s="230">
        <v>1319</v>
      </c>
      <c r="CA122" s="228">
        <v>-30</v>
      </c>
      <c r="CB122" s="229">
        <v>-2.24E-2</v>
      </c>
      <c r="CC122" s="228">
        <v>169</v>
      </c>
      <c r="CD122" s="228">
        <v>421</v>
      </c>
      <c r="CE122" s="228">
        <v>-252</v>
      </c>
      <c r="CF122" s="229">
        <v>-0.59930000000000005</v>
      </c>
      <c r="CG122" s="230">
        <v>1105</v>
      </c>
      <c r="CH122" s="228">
        <v>883</v>
      </c>
      <c r="CI122" s="228">
        <v>222</v>
      </c>
      <c r="CJ122" s="229">
        <v>0.25130000000000002</v>
      </c>
      <c r="CK122" s="228">
        <v>15</v>
      </c>
      <c r="CL122" s="228">
        <v>15</v>
      </c>
      <c r="CM122" s="228">
        <v>1</v>
      </c>
      <c r="CN122" s="229">
        <v>4.1000000000000002E-2</v>
      </c>
      <c r="CO122" s="228">
        <v>785</v>
      </c>
      <c r="CP122" s="228">
        <v>820</v>
      </c>
      <c r="CQ122" s="228">
        <v>-36</v>
      </c>
      <c r="CR122" s="229">
        <v>-4.3499999999999997E-2</v>
      </c>
      <c r="CS122" s="228">
        <v>732</v>
      </c>
      <c r="CT122" s="228">
        <v>748</v>
      </c>
      <c r="CU122" s="228">
        <v>-16</v>
      </c>
      <c r="CV122" s="229">
        <v>-2.1499999999999998E-2</v>
      </c>
      <c r="CW122" s="230">
        <v>2805</v>
      </c>
      <c r="CX122" s="230">
        <v>2887</v>
      </c>
      <c r="CY122" s="228">
        <v>-81</v>
      </c>
      <c r="CZ122" s="229">
        <v>-2.8199999999999999E-2</v>
      </c>
      <c r="DA122" s="228">
        <v>28.29</v>
      </c>
      <c r="DB122" s="228">
        <v>27.52</v>
      </c>
      <c r="DC122" s="228">
        <v>0.77</v>
      </c>
      <c r="DD122" s="228">
        <v>0.77</v>
      </c>
      <c r="DE122" s="228">
        <v>38.35</v>
      </c>
      <c r="DF122" s="228">
        <v>38.44</v>
      </c>
      <c r="DG122" s="228">
        <v>-10.06</v>
      </c>
      <c r="DH122" s="228">
        <v>-0.09</v>
      </c>
      <c r="DI122" s="228">
        <v>27.76</v>
      </c>
      <c r="DJ122" s="228">
        <v>27.43</v>
      </c>
      <c r="DK122" s="228">
        <v>0.33</v>
      </c>
      <c r="DL122" s="228">
        <v>0.33</v>
      </c>
      <c r="DM122" s="228">
        <v>28.86</v>
      </c>
      <c r="DN122" s="228">
        <v>27.64</v>
      </c>
      <c r="DO122" s="228">
        <v>1.22</v>
      </c>
      <c r="DP122" s="228">
        <v>1.22</v>
      </c>
      <c r="DQ122" s="228">
        <v>0.93</v>
      </c>
      <c r="DR122" s="228">
        <v>0.91</v>
      </c>
      <c r="DS122" s="228">
        <v>0.02</v>
      </c>
      <c r="DT122" s="229">
        <v>2.1999999999999999E-2</v>
      </c>
      <c r="DU122" s="228">
        <v>280</v>
      </c>
      <c r="DV122" s="228">
        <v>250</v>
      </c>
      <c r="DW122" s="228">
        <v>0.8</v>
      </c>
      <c r="DX122" s="228">
        <v>0.53</v>
      </c>
      <c r="DY122" s="228">
        <v>0.27</v>
      </c>
      <c r="DZ122" s="229">
        <v>0.50939999999999996</v>
      </c>
      <c r="EA122" s="229">
        <v>0.86919999999999997</v>
      </c>
      <c r="EB122" s="230">
        <v>33567626</v>
      </c>
      <c r="EC122" s="229">
        <v>5.7000000000000002E-3</v>
      </c>
      <c r="ED122" s="229">
        <v>0.86919999999999997</v>
      </c>
      <c r="EE122" s="228">
        <v>1.51</v>
      </c>
      <c r="EF122" s="229">
        <v>5.7000000000000002E-3</v>
      </c>
      <c r="EG122" s="230">
        <v>5208125</v>
      </c>
      <c r="EH122" s="230">
        <v>2450793</v>
      </c>
      <c r="EI122" s="229">
        <v>1.1251</v>
      </c>
      <c r="EJ122" s="229">
        <v>0.56999999999999995</v>
      </c>
      <c r="EK122" s="228">
        <v>836.16</v>
      </c>
      <c r="EL122" s="228">
        <v>634.21</v>
      </c>
      <c r="EM122" s="231">
        <v>1031.3499999999999</v>
      </c>
      <c r="EN122" s="228">
        <v>59.12</v>
      </c>
      <c r="EO122" s="231">
        <v>2501.73</v>
      </c>
      <c r="EP122" s="231">
        <v>2881.51</v>
      </c>
      <c r="EQ122" s="228">
        <v>-379.78</v>
      </c>
      <c r="ER122" s="229">
        <v>-0.1318</v>
      </c>
      <c r="ES122" s="228">
        <v>798.42</v>
      </c>
      <c r="ET122" s="228">
        <v>680.07</v>
      </c>
      <c r="EU122" s="231">
        <v>1295.42</v>
      </c>
      <c r="EV122" s="231">
        <v>126777205</v>
      </c>
      <c r="EW122" s="231">
        <v>2773.91</v>
      </c>
      <c r="EX122" s="231">
        <v>2854</v>
      </c>
      <c r="EY122" s="228">
        <v>-80.09</v>
      </c>
      <c r="EZ122" s="229">
        <v>-2.81E-2</v>
      </c>
      <c r="FA122" s="229">
        <v>0.82730000000000004</v>
      </c>
      <c r="FB122" s="227" t="s">
        <v>556</v>
      </c>
      <c r="FC122">
        <f t="shared" si="1"/>
        <v>1120</v>
      </c>
    </row>
    <row r="123" spans="1:159" ht="17.25" thickBot="1" x14ac:dyDescent="0.3">
      <c r="A123" s="226">
        <v>45957</v>
      </c>
      <c r="B123" s="227" t="s">
        <v>221</v>
      </c>
      <c r="C123" s="227" t="s">
        <v>561</v>
      </c>
      <c r="D123" s="228">
        <v>150</v>
      </c>
      <c r="E123" s="228">
        <v>1</v>
      </c>
      <c r="F123" s="231">
        <v>5639.5</v>
      </c>
      <c r="G123" s="231">
        <v>5547.5</v>
      </c>
      <c r="H123" s="228">
        <v>92</v>
      </c>
      <c r="I123" s="229">
        <v>1.66E-2</v>
      </c>
      <c r="J123" s="231">
        <v>5640</v>
      </c>
      <c r="K123" s="231">
        <v>5546</v>
      </c>
      <c r="L123" s="228">
        <v>94</v>
      </c>
      <c r="M123" s="229">
        <v>1.6899999999999998E-2</v>
      </c>
      <c r="N123" s="231">
        <v>5639.5</v>
      </c>
      <c r="O123" s="231">
        <v>5547.5</v>
      </c>
      <c r="P123" s="228">
        <v>92</v>
      </c>
      <c r="Q123" s="229">
        <v>1.66E-2</v>
      </c>
      <c r="R123" s="231">
        <v>5668.5</v>
      </c>
      <c r="S123" s="231">
        <v>5549.5</v>
      </c>
      <c r="T123" s="228">
        <v>119</v>
      </c>
      <c r="U123" s="229">
        <v>2.1399999999999999E-2</v>
      </c>
      <c r="V123" s="231">
        <v>5664.5</v>
      </c>
      <c r="W123" s="231">
        <v>5539</v>
      </c>
      <c r="X123" s="228">
        <v>125.5</v>
      </c>
      <c r="Y123" s="229">
        <v>2.2700000000000001E-2</v>
      </c>
      <c r="Z123" s="228">
        <v>-0.5</v>
      </c>
      <c r="AA123" s="228">
        <v>1.5</v>
      </c>
      <c r="AB123" s="228">
        <v>-2</v>
      </c>
      <c r="AC123" s="229">
        <v>-1E-4</v>
      </c>
      <c r="AD123" s="228">
        <v>-0.5</v>
      </c>
      <c r="AE123" s="228">
        <v>1.5</v>
      </c>
      <c r="AF123" s="228">
        <v>-2</v>
      </c>
      <c r="AG123" s="229">
        <v>-1E-4</v>
      </c>
      <c r="AH123" s="228">
        <v>28.5</v>
      </c>
      <c r="AI123" s="228">
        <v>3.5</v>
      </c>
      <c r="AJ123" s="228">
        <v>25</v>
      </c>
      <c r="AK123" s="229">
        <v>5.1000000000000004E-3</v>
      </c>
      <c r="AL123" s="228">
        <v>24.5</v>
      </c>
      <c r="AM123" s="228">
        <v>-7</v>
      </c>
      <c r="AN123" s="228">
        <v>31.5</v>
      </c>
      <c r="AO123" s="229">
        <v>4.3E-3</v>
      </c>
      <c r="AP123" s="231">
        <v>5626.48</v>
      </c>
      <c r="AQ123" s="231">
        <v>5644.8</v>
      </c>
      <c r="AR123" s="228">
        <v>0</v>
      </c>
      <c r="AS123" s="228">
        <v>954</v>
      </c>
      <c r="AT123" s="230">
        <v>1540</v>
      </c>
      <c r="AU123" s="228">
        <v>-586</v>
      </c>
      <c r="AV123" s="229">
        <v>-0.38040000000000002</v>
      </c>
      <c r="AW123" s="228">
        <v>454</v>
      </c>
      <c r="AX123" s="228">
        <v>782</v>
      </c>
      <c r="AY123" s="228">
        <v>-328</v>
      </c>
      <c r="AZ123" s="229">
        <v>-0.41920000000000002</v>
      </c>
      <c r="BA123" s="228">
        <v>493</v>
      </c>
      <c r="BB123" s="228">
        <v>755</v>
      </c>
      <c r="BC123" s="228">
        <v>-262</v>
      </c>
      <c r="BD123" s="229">
        <v>-0.34720000000000001</v>
      </c>
      <c r="BE123" s="228">
        <v>7</v>
      </c>
      <c r="BF123" s="228">
        <v>3</v>
      </c>
      <c r="BG123" s="228">
        <v>4</v>
      </c>
      <c r="BH123" s="229">
        <v>1.6129</v>
      </c>
      <c r="BI123" s="230">
        <v>1268</v>
      </c>
      <c r="BJ123" s="230">
        <v>1824</v>
      </c>
      <c r="BK123" s="228">
        <v>-557</v>
      </c>
      <c r="BL123" s="229">
        <v>-0.30509999999999998</v>
      </c>
      <c r="BM123" s="228">
        <v>815</v>
      </c>
      <c r="BN123" s="228">
        <v>985</v>
      </c>
      <c r="BO123" s="228">
        <v>-170</v>
      </c>
      <c r="BP123" s="229">
        <v>-0.17219999999999999</v>
      </c>
      <c r="BQ123" s="230">
        <v>3037</v>
      </c>
      <c r="BR123" s="230">
        <v>4349</v>
      </c>
      <c r="BS123" s="230">
        <v>-1312</v>
      </c>
      <c r="BT123" s="229">
        <v>-0.30170000000000002</v>
      </c>
      <c r="BU123" s="230">
        <v>165061</v>
      </c>
      <c r="BV123" s="230">
        <v>188831</v>
      </c>
      <c r="BW123" s="230">
        <v>-23770</v>
      </c>
      <c r="BX123" s="229">
        <v>-0.12590000000000001</v>
      </c>
      <c r="BY123" s="230">
        <v>1470</v>
      </c>
      <c r="BZ123" s="230">
        <v>1646</v>
      </c>
      <c r="CA123" s="228">
        <v>-177</v>
      </c>
      <c r="CB123" s="229">
        <v>-0.1074</v>
      </c>
      <c r="CC123" s="228">
        <v>350</v>
      </c>
      <c r="CD123" s="228">
        <v>651</v>
      </c>
      <c r="CE123" s="228">
        <v>-301</v>
      </c>
      <c r="CF123" s="229">
        <v>-0.46250000000000002</v>
      </c>
      <c r="CG123" s="230">
        <v>1110</v>
      </c>
      <c r="CH123" s="228">
        <v>987</v>
      </c>
      <c r="CI123" s="228">
        <v>124</v>
      </c>
      <c r="CJ123" s="229">
        <v>0.1255</v>
      </c>
      <c r="CK123" s="228">
        <v>9</v>
      </c>
      <c r="CL123" s="228">
        <v>9</v>
      </c>
      <c r="CM123" s="228">
        <v>0</v>
      </c>
      <c r="CN123" s="229">
        <v>4.7600000000000003E-2</v>
      </c>
      <c r="CO123" s="228">
        <v>796</v>
      </c>
      <c r="CP123" s="228">
        <v>977</v>
      </c>
      <c r="CQ123" s="228">
        <v>-182</v>
      </c>
      <c r="CR123" s="229">
        <v>-0.18579999999999999</v>
      </c>
      <c r="CS123" s="228">
        <v>568</v>
      </c>
      <c r="CT123" s="228">
        <v>574</v>
      </c>
      <c r="CU123" s="228">
        <v>-6</v>
      </c>
      <c r="CV123" s="229">
        <v>-1.06E-2</v>
      </c>
      <c r="CW123" s="230">
        <v>2834</v>
      </c>
      <c r="CX123" s="230">
        <v>3198</v>
      </c>
      <c r="CY123" s="228">
        <v>-365</v>
      </c>
      <c r="CZ123" s="229">
        <v>-0.114</v>
      </c>
      <c r="DA123" s="228">
        <v>28.11</v>
      </c>
      <c r="DB123" s="228">
        <v>26.31</v>
      </c>
      <c r="DC123" s="228">
        <v>1.8</v>
      </c>
      <c r="DD123" s="228">
        <v>1.8</v>
      </c>
      <c r="DE123" s="228">
        <v>33.54</v>
      </c>
      <c r="DF123" s="228">
        <v>33.549999999999997</v>
      </c>
      <c r="DG123" s="228">
        <v>-5.43</v>
      </c>
      <c r="DH123" s="228">
        <v>-0.01</v>
      </c>
      <c r="DI123" s="228">
        <v>26.66</v>
      </c>
      <c r="DJ123" s="228">
        <v>25.85</v>
      </c>
      <c r="DK123" s="228">
        <v>0.81</v>
      </c>
      <c r="DL123" s="228">
        <v>0.81</v>
      </c>
      <c r="DM123" s="228">
        <v>30.25</v>
      </c>
      <c r="DN123" s="228">
        <v>27.26</v>
      </c>
      <c r="DO123" s="228">
        <v>2.99</v>
      </c>
      <c r="DP123" s="228">
        <v>2.99</v>
      </c>
      <c r="DQ123" s="228">
        <v>0.71</v>
      </c>
      <c r="DR123" s="228">
        <v>0.59</v>
      </c>
      <c r="DS123" s="228">
        <v>0.12</v>
      </c>
      <c r="DT123" s="229">
        <v>0.2034</v>
      </c>
      <c r="DU123" s="231">
        <v>5700</v>
      </c>
      <c r="DV123" s="231">
        <v>5000</v>
      </c>
      <c r="DW123" s="228">
        <v>0.64</v>
      </c>
      <c r="DX123" s="228">
        <v>0.54</v>
      </c>
      <c r="DY123" s="228">
        <v>0.1</v>
      </c>
      <c r="DZ123" s="229">
        <v>0.1852</v>
      </c>
      <c r="EA123" s="229">
        <v>0.76190000000000002</v>
      </c>
      <c r="EB123" s="230">
        <v>1765050</v>
      </c>
      <c r="EC123" s="229">
        <v>5.1000000000000004E-3</v>
      </c>
      <c r="ED123" s="229">
        <v>0.76190000000000002</v>
      </c>
      <c r="EE123" s="228">
        <v>18.32</v>
      </c>
      <c r="EF123" s="229">
        <v>3.3E-3</v>
      </c>
      <c r="EG123" s="230">
        <v>78275</v>
      </c>
      <c r="EH123" s="230">
        <v>97419</v>
      </c>
      <c r="EI123" s="229">
        <v>-0.19650000000000001</v>
      </c>
      <c r="EJ123" s="229">
        <v>0.47420000000000001</v>
      </c>
      <c r="EK123" s="231">
        <v>1300.6500000000001</v>
      </c>
      <c r="EL123" s="228">
        <v>776.78</v>
      </c>
      <c r="EM123" s="228">
        <v>953.7</v>
      </c>
      <c r="EN123" s="228">
        <v>105.27</v>
      </c>
      <c r="EO123" s="231">
        <v>3031.13</v>
      </c>
      <c r="EP123" s="231">
        <v>4357.05</v>
      </c>
      <c r="EQ123" s="231">
        <v>-1325.92</v>
      </c>
      <c r="ER123" s="229">
        <v>-0.30430000000000001</v>
      </c>
      <c r="ES123" s="228">
        <v>815.64</v>
      </c>
      <c r="ET123" s="228">
        <v>528.74</v>
      </c>
      <c r="EU123" s="231">
        <v>1475.29</v>
      </c>
      <c r="EV123" s="231">
        <v>9315942</v>
      </c>
      <c r="EW123" s="231">
        <v>2819.67</v>
      </c>
      <c r="EX123" s="231">
        <v>3152.9</v>
      </c>
      <c r="EY123" s="228">
        <v>-333.23</v>
      </c>
      <c r="EZ123" s="229">
        <v>-0.1057</v>
      </c>
      <c r="FA123" s="229">
        <v>0.5393</v>
      </c>
      <c r="FB123" s="227" t="s">
        <v>556</v>
      </c>
      <c r="FC123">
        <f t="shared" si="1"/>
        <v>1120</v>
      </c>
    </row>
    <row r="124" spans="1:159" ht="17.25" thickBot="1" x14ac:dyDescent="0.3">
      <c r="A124" s="226">
        <v>45957</v>
      </c>
      <c r="B124" s="227" t="s">
        <v>170</v>
      </c>
      <c r="C124" s="227" t="s">
        <v>250</v>
      </c>
      <c r="D124" s="228">
        <v>425</v>
      </c>
      <c r="E124" s="228">
        <v>1</v>
      </c>
      <c r="F124" s="231">
        <v>1924.7</v>
      </c>
      <c r="G124" s="231">
        <v>1930.7</v>
      </c>
      <c r="H124" s="228">
        <v>-6</v>
      </c>
      <c r="I124" s="229">
        <v>-3.0999999999999999E-3</v>
      </c>
      <c r="J124" s="231">
        <v>1922.9</v>
      </c>
      <c r="K124" s="231">
        <v>1931.2</v>
      </c>
      <c r="L124" s="228">
        <v>-8.3000000000000007</v>
      </c>
      <c r="M124" s="229">
        <v>-4.3E-3</v>
      </c>
      <c r="N124" s="231">
        <v>1924.7</v>
      </c>
      <c r="O124" s="231">
        <v>1930.7</v>
      </c>
      <c r="P124" s="228">
        <v>-6</v>
      </c>
      <c r="Q124" s="229">
        <v>-3.0999999999999999E-3</v>
      </c>
      <c r="R124" s="231">
        <v>1935</v>
      </c>
      <c r="S124" s="231">
        <v>1941.2</v>
      </c>
      <c r="T124" s="228">
        <v>-6.2</v>
      </c>
      <c r="U124" s="229">
        <v>-3.2000000000000002E-3</v>
      </c>
      <c r="V124" s="231">
        <v>1948.9</v>
      </c>
      <c r="W124" s="231">
        <v>1953.6</v>
      </c>
      <c r="X124" s="228">
        <v>-4.7</v>
      </c>
      <c r="Y124" s="229">
        <v>-2.3999999999999998E-3</v>
      </c>
      <c r="Z124" s="228">
        <v>1.8</v>
      </c>
      <c r="AA124" s="228">
        <v>-0.5</v>
      </c>
      <c r="AB124" s="228">
        <v>2.2999999999999998</v>
      </c>
      <c r="AC124" s="229">
        <v>8.9999999999999998E-4</v>
      </c>
      <c r="AD124" s="228">
        <v>1.8</v>
      </c>
      <c r="AE124" s="228">
        <v>-0.5</v>
      </c>
      <c r="AF124" s="228">
        <v>2.2999999999999998</v>
      </c>
      <c r="AG124" s="229">
        <v>8.9999999999999998E-4</v>
      </c>
      <c r="AH124" s="228">
        <v>12.1</v>
      </c>
      <c r="AI124" s="228">
        <v>10</v>
      </c>
      <c r="AJ124" s="228">
        <v>2.1</v>
      </c>
      <c r="AK124" s="229">
        <v>6.3E-3</v>
      </c>
      <c r="AL124" s="228">
        <v>26</v>
      </c>
      <c r="AM124" s="228">
        <v>22.4</v>
      </c>
      <c r="AN124" s="228">
        <v>3.6</v>
      </c>
      <c r="AO124" s="229">
        <v>1.35E-2</v>
      </c>
      <c r="AP124" s="231">
        <v>1926.46</v>
      </c>
      <c r="AQ124" s="231">
        <v>1937.29</v>
      </c>
      <c r="AR124" s="228">
        <v>0</v>
      </c>
      <c r="AS124" s="230">
        <v>1071</v>
      </c>
      <c r="AT124" s="230">
        <v>2115</v>
      </c>
      <c r="AU124" s="230">
        <v>-1044</v>
      </c>
      <c r="AV124" s="229">
        <v>-0.49370000000000003</v>
      </c>
      <c r="AW124" s="228">
        <v>533</v>
      </c>
      <c r="AX124" s="230">
        <v>1070</v>
      </c>
      <c r="AY124" s="228">
        <v>-537</v>
      </c>
      <c r="AZ124" s="229">
        <v>-0.50180000000000002</v>
      </c>
      <c r="BA124" s="228">
        <v>533</v>
      </c>
      <c r="BB124" s="230">
        <v>1042</v>
      </c>
      <c r="BC124" s="228">
        <v>-509</v>
      </c>
      <c r="BD124" s="229">
        <v>-0.48870000000000002</v>
      </c>
      <c r="BE124" s="228">
        <v>5</v>
      </c>
      <c r="BF124" s="228">
        <v>3</v>
      </c>
      <c r="BG124" s="228">
        <v>2</v>
      </c>
      <c r="BH124" s="229">
        <v>0.75760000000000005</v>
      </c>
      <c r="BI124" s="228">
        <v>658</v>
      </c>
      <c r="BJ124" s="228">
        <v>713</v>
      </c>
      <c r="BK124" s="228">
        <v>-55</v>
      </c>
      <c r="BL124" s="229">
        <v>-7.7200000000000005E-2</v>
      </c>
      <c r="BM124" s="228">
        <v>359</v>
      </c>
      <c r="BN124" s="228">
        <v>316</v>
      </c>
      <c r="BO124" s="228">
        <v>43</v>
      </c>
      <c r="BP124" s="229">
        <v>0.13639999999999999</v>
      </c>
      <c r="BQ124" s="230">
        <v>2087</v>
      </c>
      <c r="BR124" s="230">
        <v>3144</v>
      </c>
      <c r="BS124" s="230">
        <v>-1056</v>
      </c>
      <c r="BT124" s="229">
        <v>-0.33600000000000002</v>
      </c>
      <c r="BU124" s="230">
        <v>252122</v>
      </c>
      <c r="BV124" s="230">
        <v>473806</v>
      </c>
      <c r="BW124" s="230">
        <v>-221684</v>
      </c>
      <c r="BX124" s="229">
        <v>-0.46789999999999998</v>
      </c>
      <c r="BY124" s="230">
        <v>2287</v>
      </c>
      <c r="BZ124" s="230">
        <v>2240</v>
      </c>
      <c r="CA124" s="228">
        <v>47</v>
      </c>
      <c r="CB124" s="229">
        <v>2.1100000000000001E-2</v>
      </c>
      <c r="CC124" s="228">
        <v>543</v>
      </c>
      <c r="CD124" s="228">
        <v>919</v>
      </c>
      <c r="CE124" s="228">
        <v>-376</v>
      </c>
      <c r="CF124" s="229">
        <v>-0.4093</v>
      </c>
      <c r="CG124" s="230">
        <v>1732</v>
      </c>
      <c r="CH124" s="230">
        <v>1313</v>
      </c>
      <c r="CI124" s="228">
        <v>419</v>
      </c>
      <c r="CJ124" s="229">
        <v>0.31950000000000001</v>
      </c>
      <c r="CK124" s="228">
        <v>12</v>
      </c>
      <c r="CL124" s="228">
        <v>9</v>
      </c>
      <c r="CM124" s="228">
        <v>4</v>
      </c>
      <c r="CN124" s="229">
        <v>0.43809999999999999</v>
      </c>
      <c r="CO124" s="228">
        <v>656</v>
      </c>
      <c r="CP124" s="228">
        <v>714</v>
      </c>
      <c r="CQ124" s="228">
        <v>-58</v>
      </c>
      <c r="CR124" s="229">
        <v>-8.1000000000000003E-2</v>
      </c>
      <c r="CS124" s="228">
        <v>409</v>
      </c>
      <c r="CT124" s="228">
        <v>433</v>
      </c>
      <c r="CU124" s="228">
        <v>-23</v>
      </c>
      <c r="CV124" s="229">
        <v>-5.4199999999999998E-2</v>
      </c>
      <c r="CW124" s="230">
        <v>3353</v>
      </c>
      <c r="CX124" s="230">
        <v>3387</v>
      </c>
      <c r="CY124" s="228">
        <v>-34</v>
      </c>
      <c r="CZ124" s="229">
        <v>-0.01</v>
      </c>
      <c r="DA124" s="228">
        <v>26.79</v>
      </c>
      <c r="DB124" s="228">
        <v>26.66</v>
      </c>
      <c r="DC124" s="228">
        <v>0.13</v>
      </c>
      <c r="DD124" s="228">
        <v>0.13</v>
      </c>
      <c r="DE124" s="228">
        <v>31.94</v>
      </c>
      <c r="DF124" s="228">
        <v>32.020000000000003</v>
      </c>
      <c r="DG124" s="228">
        <v>-5.15</v>
      </c>
      <c r="DH124" s="228">
        <v>-0.08</v>
      </c>
      <c r="DI124" s="228">
        <v>27.05</v>
      </c>
      <c r="DJ124" s="228">
        <v>26.73</v>
      </c>
      <c r="DK124" s="228">
        <v>0.32</v>
      </c>
      <c r="DL124" s="228">
        <v>0.32</v>
      </c>
      <c r="DM124" s="228">
        <v>26.36</v>
      </c>
      <c r="DN124" s="228">
        <v>26.54</v>
      </c>
      <c r="DO124" s="228">
        <v>-0.18</v>
      </c>
      <c r="DP124" s="228">
        <v>-0.18</v>
      </c>
      <c r="DQ124" s="228">
        <v>0.62</v>
      </c>
      <c r="DR124" s="228">
        <v>0.61</v>
      </c>
      <c r="DS124" s="228">
        <v>0.01</v>
      </c>
      <c r="DT124" s="229">
        <v>1.6400000000000001E-2</v>
      </c>
      <c r="DU124" s="231">
        <v>2000</v>
      </c>
      <c r="DV124" s="231">
        <v>1900</v>
      </c>
      <c r="DW124" s="228">
        <v>0.54</v>
      </c>
      <c r="DX124" s="228">
        <v>0.44</v>
      </c>
      <c r="DY124" s="228">
        <v>0.1</v>
      </c>
      <c r="DZ124" s="229">
        <v>0.2273</v>
      </c>
      <c r="EA124" s="229">
        <v>0.76280000000000003</v>
      </c>
      <c r="EB124" s="230">
        <v>6865025</v>
      </c>
      <c r="EC124" s="229">
        <v>5.4000000000000003E-3</v>
      </c>
      <c r="ED124" s="229">
        <v>0.76280000000000003</v>
      </c>
      <c r="EE124" s="228">
        <v>10.83</v>
      </c>
      <c r="EF124" s="229">
        <v>5.5999999999999999E-3</v>
      </c>
      <c r="EG124" s="230">
        <v>140417</v>
      </c>
      <c r="EH124" s="230">
        <v>273211</v>
      </c>
      <c r="EI124" s="229">
        <v>-0.48599999999999999</v>
      </c>
      <c r="EJ124" s="229">
        <v>0.55689999999999995</v>
      </c>
      <c r="EK124" s="228">
        <v>681.4</v>
      </c>
      <c r="EL124" s="228">
        <v>356.46</v>
      </c>
      <c r="EM124" s="231">
        <v>1074.71</v>
      </c>
      <c r="EN124" s="228">
        <v>99.79</v>
      </c>
      <c r="EO124" s="231">
        <v>2112.5700000000002</v>
      </c>
      <c r="EP124" s="231">
        <v>3185.73</v>
      </c>
      <c r="EQ124" s="231">
        <v>-1073.1600000000001</v>
      </c>
      <c r="ER124" s="229">
        <v>-0.33689999999999998</v>
      </c>
      <c r="ES124" s="228">
        <v>693.91</v>
      </c>
      <c r="ET124" s="228">
        <v>406.98</v>
      </c>
      <c r="EU124" s="231">
        <v>2296.5500000000002</v>
      </c>
      <c r="EV124" s="231">
        <v>35341043</v>
      </c>
      <c r="EW124" s="231">
        <v>3397.44</v>
      </c>
      <c r="EX124" s="231">
        <v>3438.11</v>
      </c>
      <c r="EY124" s="228">
        <v>-40.67</v>
      </c>
      <c r="EZ124" s="229">
        <v>-1.18E-2</v>
      </c>
      <c r="FA124" s="229">
        <v>0.4929</v>
      </c>
      <c r="FB124" s="227" t="s">
        <v>567</v>
      </c>
      <c r="FC124">
        <f t="shared" si="1"/>
        <v>1744</v>
      </c>
    </row>
    <row r="125" spans="1:159" ht="17.25" thickBot="1" x14ac:dyDescent="0.3">
      <c r="A125" s="226">
        <v>45957</v>
      </c>
      <c r="B125" s="227" t="s">
        <v>162</v>
      </c>
      <c r="C125" s="227" t="s">
        <v>251</v>
      </c>
      <c r="D125" s="228">
        <v>200</v>
      </c>
      <c r="E125" s="228">
        <v>1</v>
      </c>
      <c r="F125" s="231">
        <v>3615.6</v>
      </c>
      <c r="G125" s="231">
        <v>3620.1</v>
      </c>
      <c r="H125" s="228">
        <v>-4.5</v>
      </c>
      <c r="I125" s="229">
        <v>-1.1999999999999999E-3</v>
      </c>
      <c r="J125" s="231">
        <v>3611.6</v>
      </c>
      <c r="K125" s="231">
        <v>3625</v>
      </c>
      <c r="L125" s="228">
        <v>-13.4</v>
      </c>
      <c r="M125" s="229">
        <v>-3.7000000000000002E-3</v>
      </c>
      <c r="N125" s="231">
        <v>3615.6</v>
      </c>
      <c r="O125" s="231">
        <v>3620.1</v>
      </c>
      <c r="P125" s="228">
        <v>-4.5</v>
      </c>
      <c r="Q125" s="229">
        <v>-1.1999999999999999E-3</v>
      </c>
      <c r="R125" s="231">
        <v>3636.5</v>
      </c>
      <c r="S125" s="231">
        <v>3640.7</v>
      </c>
      <c r="T125" s="228">
        <v>-4.2</v>
      </c>
      <c r="U125" s="229">
        <v>-1.1999999999999999E-3</v>
      </c>
      <c r="V125" s="231">
        <v>3660.4</v>
      </c>
      <c r="W125" s="231">
        <v>3664.3</v>
      </c>
      <c r="X125" s="228">
        <v>-3.9</v>
      </c>
      <c r="Y125" s="229">
        <v>-1.1000000000000001E-3</v>
      </c>
      <c r="Z125" s="228">
        <v>4</v>
      </c>
      <c r="AA125" s="228">
        <v>-4.9000000000000004</v>
      </c>
      <c r="AB125" s="228">
        <v>8.9</v>
      </c>
      <c r="AC125" s="229">
        <v>1.1000000000000001E-3</v>
      </c>
      <c r="AD125" s="228">
        <v>4</v>
      </c>
      <c r="AE125" s="228">
        <v>-4.9000000000000004</v>
      </c>
      <c r="AF125" s="228">
        <v>8.9</v>
      </c>
      <c r="AG125" s="229">
        <v>1.1000000000000001E-3</v>
      </c>
      <c r="AH125" s="228">
        <v>24.9</v>
      </c>
      <c r="AI125" s="228">
        <v>15.7</v>
      </c>
      <c r="AJ125" s="228">
        <v>9.1999999999999993</v>
      </c>
      <c r="AK125" s="229">
        <v>6.8999999999999999E-3</v>
      </c>
      <c r="AL125" s="228">
        <v>48.8</v>
      </c>
      <c r="AM125" s="228">
        <v>39.299999999999997</v>
      </c>
      <c r="AN125" s="228">
        <v>9.5</v>
      </c>
      <c r="AO125" s="229">
        <v>1.35E-2</v>
      </c>
      <c r="AP125" s="231">
        <v>3613.78</v>
      </c>
      <c r="AQ125" s="231">
        <v>3634.53</v>
      </c>
      <c r="AR125" s="228">
        <v>0</v>
      </c>
      <c r="AS125" s="230">
        <v>3833</v>
      </c>
      <c r="AT125" s="230">
        <v>4043</v>
      </c>
      <c r="AU125" s="228">
        <v>-210</v>
      </c>
      <c r="AV125" s="229">
        <v>-5.1900000000000002E-2</v>
      </c>
      <c r="AW125" s="230">
        <v>1823</v>
      </c>
      <c r="AX125" s="230">
        <v>2081</v>
      </c>
      <c r="AY125" s="228">
        <v>-258</v>
      </c>
      <c r="AZ125" s="229">
        <v>-0.12379999999999999</v>
      </c>
      <c r="BA125" s="230">
        <v>2001</v>
      </c>
      <c r="BB125" s="230">
        <v>1954</v>
      </c>
      <c r="BC125" s="228">
        <v>47</v>
      </c>
      <c r="BD125" s="229">
        <v>2.4299999999999999E-2</v>
      </c>
      <c r="BE125" s="228">
        <v>9</v>
      </c>
      <c r="BF125" s="228">
        <v>8</v>
      </c>
      <c r="BG125" s="228">
        <v>0</v>
      </c>
      <c r="BH125" s="229">
        <v>5.3100000000000001E-2</v>
      </c>
      <c r="BI125" s="230">
        <v>1961</v>
      </c>
      <c r="BJ125" s="230">
        <v>2337</v>
      </c>
      <c r="BK125" s="228">
        <v>-376</v>
      </c>
      <c r="BL125" s="229">
        <v>-0.16089999999999999</v>
      </c>
      <c r="BM125" s="230">
        <v>1555</v>
      </c>
      <c r="BN125" s="230">
        <v>1547</v>
      </c>
      <c r="BO125" s="228">
        <v>8</v>
      </c>
      <c r="BP125" s="229">
        <v>5.0000000000000001E-3</v>
      </c>
      <c r="BQ125" s="230">
        <v>7349</v>
      </c>
      <c r="BR125" s="230">
        <v>7927</v>
      </c>
      <c r="BS125" s="228">
        <v>-578</v>
      </c>
      <c r="BT125" s="229">
        <v>-7.2900000000000006E-2</v>
      </c>
      <c r="BU125" s="230">
        <v>1472246</v>
      </c>
      <c r="BV125" s="230">
        <v>1687311</v>
      </c>
      <c r="BW125" s="230">
        <v>-215065</v>
      </c>
      <c r="BX125" s="229">
        <v>-0.1275</v>
      </c>
      <c r="BY125" s="230">
        <v>7071</v>
      </c>
      <c r="BZ125" s="230">
        <v>7032</v>
      </c>
      <c r="CA125" s="228">
        <v>39</v>
      </c>
      <c r="CB125" s="229">
        <v>5.4999999999999997E-3</v>
      </c>
      <c r="CC125" s="230">
        <v>1352</v>
      </c>
      <c r="CD125" s="230">
        <v>2930</v>
      </c>
      <c r="CE125" s="230">
        <v>-1577</v>
      </c>
      <c r="CF125" s="229">
        <v>-0.5383</v>
      </c>
      <c r="CG125" s="230">
        <v>5581</v>
      </c>
      <c r="CH125" s="230">
        <v>3968</v>
      </c>
      <c r="CI125" s="230">
        <v>1613</v>
      </c>
      <c r="CJ125" s="229">
        <v>0.40649999999999997</v>
      </c>
      <c r="CK125" s="228">
        <v>137</v>
      </c>
      <c r="CL125" s="228">
        <v>134</v>
      </c>
      <c r="CM125" s="228">
        <v>3</v>
      </c>
      <c r="CN125" s="229">
        <v>2.1600000000000001E-2</v>
      </c>
      <c r="CO125" s="230">
        <v>1582</v>
      </c>
      <c r="CP125" s="230">
        <v>1707</v>
      </c>
      <c r="CQ125" s="228">
        <v>-125</v>
      </c>
      <c r="CR125" s="229">
        <v>-7.3200000000000001E-2</v>
      </c>
      <c r="CS125" s="230">
        <v>1195</v>
      </c>
      <c r="CT125" s="230">
        <v>1258</v>
      </c>
      <c r="CU125" s="228">
        <v>-63</v>
      </c>
      <c r="CV125" s="229">
        <v>-5.0200000000000002E-2</v>
      </c>
      <c r="CW125" s="230">
        <v>9848</v>
      </c>
      <c r="CX125" s="230">
        <v>9997</v>
      </c>
      <c r="CY125" s="228">
        <v>-149</v>
      </c>
      <c r="CZ125" s="229">
        <v>-1.49E-2</v>
      </c>
      <c r="DA125" s="228">
        <v>26.1</v>
      </c>
      <c r="DB125" s="228">
        <v>25.06</v>
      </c>
      <c r="DC125" s="228">
        <v>1.04</v>
      </c>
      <c r="DD125" s="228">
        <v>1.04</v>
      </c>
      <c r="DE125" s="228">
        <v>33.94</v>
      </c>
      <c r="DF125" s="228">
        <v>34.020000000000003</v>
      </c>
      <c r="DG125" s="228">
        <v>-7.84</v>
      </c>
      <c r="DH125" s="228">
        <v>-0.08</v>
      </c>
      <c r="DI125" s="228">
        <v>26.13</v>
      </c>
      <c r="DJ125" s="228">
        <v>25.04</v>
      </c>
      <c r="DK125" s="228">
        <v>1.0900000000000001</v>
      </c>
      <c r="DL125" s="228">
        <v>1.0900000000000001</v>
      </c>
      <c r="DM125" s="228">
        <v>26.04</v>
      </c>
      <c r="DN125" s="228">
        <v>25.08</v>
      </c>
      <c r="DO125" s="228">
        <v>0.96</v>
      </c>
      <c r="DP125" s="228">
        <v>0.96</v>
      </c>
      <c r="DQ125" s="228">
        <v>0.76</v>
      </c>
      <c r="DR125" s="228">
        <v>0.74</v>
      </c>
      <c r="DS125" s="228">
        <v>0.02</v>
      </c>
      <c r="DT125" s="229">
        <v>2.7E-2</v>
      </c>
      <c r="DU125" s="231">
        <v>3700</v>
      </c>
      <c r="DV125" s="231">
        <v>3550</v>
      </c>
      <c r="DW125" s="228">
        <v>0.79</v>
      </c>
      <c r="DX125" s="228">
        <v>0.66</v>
      </c>
      <c r="DY125" s="228">
        <v>0.13</v>
      </c>
      <c r="DZ125" s="229">
        <v>0.19700000000000001</v>
      </c>
      <c r="EA125" s="229">
        <v>0.80869999999999997</v>
      </c>
      <c r="EB125" s="230">
        <v>11346000</v>
      </c>
      <c r="EC125" s="229">
        <v>5.7999999999999996E-3</v>
      </c>
      <c r="ED125" s="229">
        <v>0.80869999999999997</v>
      </c>
      <c r="EE125" s="228">
        <v>20.75</v>
      </c>
      <c r="EF125" s="229">
        <v>5.7000000000000002E-3</v>
      </c>
      <c r="EG125" s="230">
        <v>933779</v>
      </c>
      <c r="EH125" s="230">
        <v>1054589</v>
      </c>
      <c r="EI125" s="229">
        <v>-0.11459999999999999</v>
      </c>
      <c r="EJ125" s="229">
        <v>0.63429999999999997</v>
      </c>
      <c r="EK125" s="231">
        <v>2014.31</v>
      </c>
      <c r="EL125" s="231">
        <v>1524.24</v>
      </c>
      <c r="EM125" s="231">
        <v>3842.7</v>
      </c>
      <c r="EN125" s="228">
        <v>342.09</v>
      </c>
      <c r="EO125" s="231">
        <v>7381.25</v>
      </c>
      <c r="EP125" s="231">
        <v>8015.77</v>
      </c>
      <c r="EQ125" s="228">
        <v>-634.52</v>
      </c>
      <c r="ER125" s="229">
        <v>-7.9200000000000007E-2</v>
      </c>
      <c r="ES125" s="231">
        <v>1621.61</v>
      </c>
      <c r="ET125" s="231">
        <v>1141.4100000000001</v>
      </c>
      <c r="EU125" s="231">
        <v>7104.56</v>
      </c>
      <c r="EV125" s="231">
        <v>100261459</v>
      </c>
      <c r="EW125" s="231">
        <v>9867.57</v>
      </c>
      <c r="EX125" s="231">
        <v>10014.700000000001</v>
      </c>
      <c r="EY125" s="228">
        <v>-147.13</v>
      </c>
      <c r="EZ125" s="229">
        <v>-1.47E-2</v>
      </c>
      <c r="FA125" s="229">
        <v>0.2717</v>
      </c>
      <c r="FB125" s="227" t="s">
        <v>567</v>
      </c>
      <c r="FC125">
        <f t="shared" si="1"/>
        <v>5719</v>
      </c>
    </row>
    <row r="126" spans="1:159" ht="17.25" thickBot="1" x14ac:dyDescent="0.3">
      <c r="A126" s="226">
        <v>45957</v>
      </c>
      <c r="B126" s="227" t="s">
        <v>175</v>
      </c>
      <c r="C126" s="227" t="s">
        <v>253</v>
      </c>
      <c r="D126" s="228">
        <v>3000</v>
      </c>
      <c r="E126" s="228">
        <v>1</v>
      </c>
      <c r="F126" s="228">
        <v>276.05</v>
      </c>
      <c r="G126" s="228">
        <v>279.8</v>
      </c>
      <c r="H126" s="228">
        <v>-3.75</v>
      </c>
      <c r="I126" s="229">
        <v>-1.34E-2</v>
      </c>
      <c r="J126" s="228">
        <v>276.39999999999998</v>
      </c>
      <c r="K126" s="228">
        <v>279.95</v>
      </c>
      <c r="L126" s="228">
        <v>-3.55</v>
      </c>
      <c r="M126" s="229">
        <v>-1.2699999999999999E-2</v>
      </c>
      <c r="N126" s="228">
        <v>276.05</v>
      </c>
      <c r="O126" s="228">
        <v>279.8</v>
      </c>
      <c r="P126" s="228">
        <v>-3.75</v>
      </c>
      <c r="Q126" s="229">
        <v>-1.34E-2</v>
      </c>
      <c r="R126" s="228">
        <v>276.89999999999998</v>
      </c>
      <c r="S126" s="228">
        <v>280.7</v>
      </c>
      <c r="T126" s="228">
        <v>-3.8</v>
      </c>
      <c r="U126" s="229">
        <v>-1.35E-2</v>
      </c>
      <c r="V126" s="228">
        <v>278.8</v>
      </c>
      <c r="W126" s="228">
        <v>282.89999999999998</v>
      </c>
      <c r="X126" s="228">
        <v>-4.0999999999999996</v>
      </c>
      <c r="Y126" s="229">
        <v>-1.4500000000000001E-2</v>
      </c>
      <c r="Z126" s="228">
        <v>-0.35</v>
      </c>
      <c r="AA126" s="228">
        <v>-0.15</v>
      </c>
      <c r="AB126" s="228">
        <v>-0.2</v>
      </c>
      <c r="AC126" s="229">
        <v>-1.2999999999999999E-3</v>
      </c>
      <c r="AD126" s="228">
        <v>-0.35</v>
      </c>
      <c r="AE126" s="228">
        <v>-0.15</v>
      </c>
      <c r="AF126" s="228">
        <v>-0.2</v>
      </c>
      <c r="AG126" s="229">
        <v>-1.2999999999999999E-3</v>
      </c>
      <c r="AH126" s="228">
        <v>0.5</v>
      </c>
      <c r="AI126" s="228">
        <v>0.75</v>
      </c>
      <c r="AJ126" s="228">
        <v>-0.25</v>
      </c>
      <c r="AK126" s="229">
        <v>1.8E-3</v>
      </c>
      <c r="AL126" s="228">
        <v>2.4</v>
      </c>
      <c r="AM126" s="228">
        <v>2.95</v>
      </c>
      <c r="AN126" s="228">
        <v>-0.55000000000000004</v>
      </c>
      <c r="AO126" s="229">
        <v>8.6999999999999994E-3</v>
      </c>
      <c r="AP126" s="228">
        <v>277.04000000000002</v>
      </c>
      <c r="AQ126" s="228">
        <v>277.95</v>
      </c>
      <c r="AR126" s="228">
        <v>0</v>
      </c>
      <c r="AS126" s="228">
        <v>542</v>
      </c>
      <c r="AT126" s="228">
        <v>751</v>
      </c>
      <c r="AU126" s="228">
        <v>-209</v>
      </c>
      <c r="AV126" s="229">
        <v>-0.27879999999999999</v>
      </c>
      <c r="AW126" s="228">
        <v>245</v>
      </c>
      <c r="AX126" s="228">
        <v>374</v>
      </c>
      <c r="AY126" s="228">
        <v>-129</v>
      </c>
      <c r="AZ126" s="229">
        <v>-0.34429999999999999</v>
      </c>
      <c r="BA126" s="228">
        <v>294</v>
      </c>
      <c r="BB126" s="228">
        <v>377</v>
      </c>
      <c r="BC126" s="228">
        <v>-83</v>
      </c>
      <c r="BD126" s="229">
        <v>-0.22070000000000001</v>
      </c>
      <c r="BE126" s="228">
        <v>3</v>
      </c>
      <c r="BF126" s="228">
        <v>1</v>
      </c>
      <c r="BG126" s="228">
        <v>2</v>
      </c>
      <c r="BH126" s="229">
        <v>4.1429</v>
      </c>
      <c r="BI126" s="228">
        <v>403</v>
      </c>
      <c r="BJ126" s="228">
        <v>393</v>
      </c>
      <c r="BK126" s="228">
        <v>10</v>
      </c>
      <c r="BL126" s="229">
        <v>2.5700000000000001E-2</v>
      </c>
      <c r="BM126" s="228">
        <v>278</v>
      </c>
      <c r="BN126" s="228">
        <v>262</v>
      </c>
      <c r="BO126" s="228">
        <v>16</v>
      </c>
      <c r="BP126" s="229">
        <v>5.9700000000000003E-2</v>
      </c>
      <c r="BQ126" s="230">
        <v>1223</v>
      </c>
      <c r="BR126" s="230">
        <v>1406</v>
      </c>
      <c r="BS126" s="228">
        <v>-184</v>
      </c>
      <c r="BT126" s="229">
        <v>-0.13059999999999999</v>
      </c>
      <c r="BU126" s="230">
        <v>2446194</v>
      </c>
      <c r="BV126" s="230">
        <v>2109593</v>
      </c>
      <c r="BW126" s="230">
        <v>336601</v>
      </c>
      <c r="BX126" s="229">
        <v>0.15959999999999999</v>
      </c>
      <c r="BY126" s="228">
        <v>848</v>
      </c>
      <c r="BZ126" s="228">
        <v>850</v>
      </c>
      <c r="CA126" s="228">
        <v>-2</v>
      </c>
      <c r="CB126" s="229">
        <v>-2.5000000000000001E-3</v>
      </c>
      <c r="CC126" s="228">
        <v>155</v>
      </c>
      <c r="CD126" s="228">
        <v>324</v>
      </c>
      <c r="CE126" s="228">
        <v>-169</v>
      </c>
      <c r="CF126" s="229">
        <v>-0.52190000000000003</v>
      </c>
      <c r="CG126" s="228">
        <v>684</v>
      </c>
      <c r="CH126" s="228">
        <v>518</v>
      </c>
      <c r="CI126" s="228">
        <v>166</v>
      </c>
      <c r="CJ126" s="229">
        <v>0.32050000000000001</v>
      </c>
      <c r="CK126" s="228">
        <v>9</v>
      </c>
      <c r="CL126" s="228">
        <v>8</v>
      </c>
      <c r="CM126" s="228">
        <v>1</v>
      </c>
      <c r="CN126" s="229">
        <v>0.1031</v>
      </c>
      <c r="CO126" s="228">
        <v>413</v>
      </c>
      <c r="CP126" s="228">
        <v>419</v>
      </c>
      <c r="CQ126" s="228">
        <v>-6</v>
      </c>
      <c r="CR126" s="229">
        <v>-1.52E-2</v>
      </c>
      <c r="CS126" s="228">
        <v>227</v>
      </c>
      <c r="CT126" s="228">
        <v>243</v>
      </c>
      <c r="CU126" s="228">
        <v>-16</v>
      </c>
      <c r="CV126" s="229">
        <v>-6.4199999999999993E-2</v>
      </c>
      <c r="CW126" s="230">
        <v>1488</v>
      </c>
      <c r="CX126" s="230">
        <v>1512</v>
      </c>
      <c r="CY126" s="228">
        <v>-24</v>
      </c>
      <c r="CZ126" s="229">
        <v>-1.5900000000000001E-2</v>
      </c>
      <c r="DA126" s="228">
        <v>31.61</v>
      </c>
      <c r="DB126" s="228">
        <v>30.86</v>
      </c>
      <c r="DC126" s="228">
        <v>0.75</v>
      </c>
      <c r="DD126" s="228">
        <v>0.75</v>
      </c>
      <c r="DE126" s="228">
        <v>42.78</v>
      </c>
      <c r="DF126" s="228">
        <v>42.85</v>
      </c>
      <c r="DG126" s="228">
        <v>-11.17</v>
      </c>
      <c r="DH126" s="228">
        <v>-7.0000000000000007E-2</v>
      </c>
      <c r="DI126" s="228">
        <v>31.69</v>
      </c>
      <c r="DJ126" s="228">
        <v>30.96</v>
      </c>
      <c r="DK126" s="228">
        <v>0.73</v>
      </c>
      <c r="DL126" s="228">
        <v>0.73</v>
      </c>
      <c r="DM126" s="228">
        <v>31.5</v>
      </c>
      <c r="DN126" s="228">
        <v>30.74</v>
      </c>
      <c r="DO126" s="228">
        <v>0.76</v>
      </c>
      <c r="DP126" s="228">
        <v>0.76</v>
      </c>
      <c r="DQ126" s="228">
        <v>0.55000000000000004</v>
      </c>
      <c r="DR126" s="228">
        <v>0.57999999999999996</v>
      </c>
      <c r="DS126" s="228">
        <v>-0.03</v>
      </c>
      <c r="DT126" s="229">
        <v>-5.1700000000000003E-2</v>
      </c>
      <c r="DU126" s="228">
        <v>300</v>
      </c>
      <c r="DV126" s="228">
        <v>260</v>
      </c>
      <c r="DW126" s="228">
        <v>0.69</v>
      </c>
      <c r="DX126" s="228">
        <v>0.67</v>
      </c>
      <c r="DY126" s="228">
        <v>0.02</v>
      </c>
      <c r="DZ126" s="229">
        <v>2.9899999999999999E-2</v>
      </c>
      <c r="EA126" s="229">
        <v>0.81730000000000003</v>
      </c>
      <c r="EB126" s="230">
        <v>19059000</v>
      </c>
      <c r="EC126" s="229">
        <v>3.0999999999999999E-3</v>
      </c>
      <c r="ED126" s="229">
        <v>0.81730000000000003</v>
      </c>
      <c r="EE126" s="228">
        <v>0.91</v>
      </c>
      <c r="EF126" s="229">
        <v>3.3E-3</v>
      </c>
      <c r="EG126" s="230">
        <v>1230140</v>
      </c>
      <c r="EH126" s="230">
        <v>1042899</v>
      </c>
      <c r="EI126" s="229">
        <v>0.17949999999999999</v>
      </c>
      <c r="EJ126" s="229">
        <v>0.50290000000000001</v>
      </c>
      <c r="EK126" s="228">
        <v>424.38</v>
      </c>
      <c r="EL126" s="228">
        <v>278.41000000000003</v>
      </c>
      <c r="EM126" s="228">
        <v>544.55999999999995</v>
      </c>
      <c r="EN126" s="228">
        <v>45.54</v>
      </c>
      <c r="EO126" s="231">
        <v>1247.3499999999999</v>
      </c>
      <c r="EP126" s="231">
        <v>1446.55</v>
      </c>
      <c r="EQ126" s="228">
        <v>-199.2</v>
      </c>
      <c r="ER126" s="229">
        <v>-0.13769999999999999</v>
      </c>
      <c r="ES126" s="228">
        <v>445</v>
      </c>
      <c r="ET126" s="228">
        <v>222.78</v>
      </c>
      <c r="EU126" s="228">
        <v>850.05</v>
      </c>
      <c r="EV126" s="231">
        <v>82205057</v>
      </c>
      <c r="EW126" s="231">
        <v>1517.83</v>
      </c>
      <c r="EX126" s="231">
        <v>1556.07</v>
      </c>
      <c r="EY126" s="228">
        <v>-38.24</v>
      </c>
      <c r="EZ126" s="229">
        <v>-2.46E-2</v>
      </c>
      <c r="FA126" s="229">
        <v>0.65549999999999997</v>
      </c>
      <c r="FB126" s="227" t="s">
        <v>568</v>
      </c>
      <c r="FC126">
        <f t="shared" si="1"/>
        <v>693</v>
      </c>
    </row>
    <row r="127" spans="1:159" ht="17.25" thickBot="1" x14ac:dyDescent="0.3">
      <c r="A127" s="226">
        <v>45957</v>
      </c>
      <c r="B127" s="227" t="s">
        <v>170</v>
      </c>
      <c r="C127" s="227" t="s">
        <v>673</v>
      </c>
      <c r="D127" s="228">
        <v>225</v>
      </c>
      <c r="E127" s="228">
        <v>1</v>
      </c>
      <c r="F127" s="231">
        <v>2417.3000000000002</v>
      </c>
      <c r="G127" s="231">
        <v>2427.1999999999998</v>
      </c>
      <c r="H127" s="228">
        <v>-9.9</v>
      </c>
      <c r="I127" s="229">
        <v>-4.1000000000000003E-3</v>
      </c>
      <c r="J127" s="231">
        <v>2416.6999999999998</v>
      </c>
      <c r="K127" s="231">
        <v>2432.4</v>
      </c>
      <c r="L127" s="228">
        <v>-15.7</v>
      </c>
      <c r="M127" s="229">
        <v>-6.4999999999999997E-3</v>
      </c>
      <c r="N127" s="231">
        <v>2417.3000000000002</v>
      </c>
      <c r="O127" s="231">
        <v>2427.1999999999998</v>
      </c>
      <c r="P127" s="228">
        <v>-9.9</v>
      </c>
      <c r="Q127" s="229">
        <v>-4.1000000000000003E-3</v>
      </c>
      <c r="R127" s="231">
        <v>2429.4</v>
      </c>
      <c r="S127" s="231">
        <v>2432.3000000000002</v>
      </c>
      <c r="T127" s="228">
        <v>-2.9</v>
      </c>
      <c r="U127" s="229">
        <v>-1.1999999999999999E-3</v>
      </c>
      <c r="V127" s="231">
        <v>2446.4</v>
      </c>
      <c r="W127" s="231">
        <v>2448</v>
      </c>
      <c r="X127" s="228">
        <v>-1.6</v>
      </c>
      <c r="Y127" s="229">
        <v>-6.9999999999999999E-4</v>
      </c>
      <c r="Z127" s="228">
        <v>0.6</v>
      </c>
      <c r="AA127" s="228">
        <v>-5.2</v>
      </c>
      <c r="AB127" s="228">
        <v>5.8</v>
      </c>
      <c r="AC127" s="229">
        <v>2.0000000000000001E-4</v>
      </c>
      <c r="AD127" s="228">
        <v>0.6</v>
      </c>
      <c r="AE127" s="228">
        <v>-5.2</v>
      </c>
      <c r="AF127" s="228">
        <v>5.8</v>
      </c>
      <c r="AG127" s="229">
        <v>2.0000000000000001E-4</v>
      </c>
      <c r="AH127" s="228">
        <v>12.7</v>
      </c>
      <c r="AI127" s="228">
        <v>-0.1</v>
      </c>
      <c r="AJ127" s="228">
        <v>12.8</v>
      </c>
      <c r="AK127" s="229">
        <v>5.3E-3</v>
      </c>
      <c r="AL127" s="228">
        <v>29.7</v>
      </c>
      <c r="AM127" s="228">
        <v>15.6</v>
      </c>
      <c r="AN127" s="228">
        <v>14.1</v>
      </c>
      <c r="AO127" s="229">
        <v>1.23E-2</v>
      </c>
      <c r="AP127" s="231">
        <v>2422.66</v>
      </c>
      <c r="AQ127" s="231">
        <v>2431.0700000000002</v>
      </c>
      <c r="AR127" s="228">
        <v>0</v>
      </c>
      <c r="AS127" s="228">
        <v>317</v>
      </c>
      <c r="AT127" s="228">
        <v>442</v>
      </c>
      <c r="AU127" s="228">
        <v>-126</v>
      </c>
      <c r="AV127" s="229">
        <v>-0.28399999999999997</v>
      </c>
      <c r="AW127" s="228">
        <v>162</v>
      </c>
      <c r="AX127" s="228">
        <v>234</v>
      </c>
      <c r="AY127" s="228">
        <v>-72</v>
      </c>
      <c r="AZ127" s="229">
        <v>-0.30830000000000002</v>
      </c>
      <c r="BA127" s="228">
        <v>152</v>
      </c>
      <c r="BB127" s="228">
        <v>208</v>
      </c>
      <c r="BC127" s="228">
        <v>-56</v>
      </c>
      <c r="BD127" s="229">
        <v>-0.27029999999999998</v>
      </c>
      <c r="BE127" s="228">
        <v>3</v>
      </c>
      <c r="BF127" s="228">
        <v>1</v>
      </c>
      <c r="BG127" s="228">
        <v>3</v>
      </c>
      <c r="BH127" s="229">
        <v>3.4285999999999999</v>
      </c>
      <c r="BI127" s="228">
        <v>169</v>
      </c>
      <c r="BJ127" s="228">
        <v>199</v>
      </c>
      <c r="BK127" s="228">
        <v>-30</v>
      </c>
      <c r="BL127" s="229">
        <v>-0.15229999999999999</v>
      </c>
      <c r="BM127" s="228">
        <v>44</v>
      </c>
      <c r="BN127" s="228">
        <v>82</v>
      </c>
      <c r="BO127" s="228">
        <v>-38</v>
      </c>
      <c r="BP127" s="229">
        <v>-0.46429999999999999</v>
      </c>
      <c r="BQ127" s="228">
        <v>530</v>
      </c>
      <c r="BR127" s="228">
        <v>724</v>
      </c>
      <c r="BS127" s="228">
        <v>-194</v>
      </c>
      <c r="BT127" s="229">
        <v>-0.26819999999999999</v>
      </c>
      <c r="BU127" s="230">
        <v>247525</v>
      </c>
      <c r="BV127" s="230">
        <v>254684</v>
      </c>
      <c r="BW127" s="230">
        <v>-7159</v>
      </c>
      <c r="BX127" s="229">
        <v>-2.81E-2</v>
      </c>
      <c r="BY127" s="228">
        <v>409</v>
      </c>
      <c r="BZ127" s="228">
        <v>433</v>
      </c>
      <c r="CA127" s="228">
        <v>-24</v>
      </c>
      <c r="CB127" s="229">
        <v>-5.6099999999999997E-2</v>
      </c>
      <c r="CC127" s="228">
        <v>61</v>
      </c>
      <c r="CD127" s="228">
        <v>147</v>
      </c>
      <c r="CE127" s="228">
        <v>-86</v>
      </c>
      <c r="CF127" s="229">
        <v>-0.58689999999999998</v>
      </c>
      <c r="CG127" s="228">
        <v>341</v>
      </c>
      <c r="CH127" s="228">
        <v>282</v>
      </c>
      <c r="CI127" s="228">
        <v>59</v>
      </c>
      <c r="CJ127" s="229">
        <v>0.20899999999999999</v>
      </c>
      <c r="CK127" s="228">
        <v>7</v>
      </c>
      <c r="CL127" s="228">
        <v>4</v>
      </c>
      <c r="CM127" s="228">
        <v>3</v>
      </c>
      <c r="CN127" s="229">
        <v>0.66669999999999996</v>
      </c>
      <c r="CO127" s="228">
        <v>197</v>
      </c>
      <c r="CP127" s="228">
        <v>224</v>
      </c>
      <c r="CQ127" s="228">
        <v>-27</v>
      </c>
      <c r="CR127" s="229">
        <v>-0.1187</v>
      </c>
      <c r="CS127" s="228">
        <v>91</v>
      </c>
      <c r="CT127" s="228">
        <v>93</v>
      </c>
      <c r="CU127" s="228">
        <v>-2</v>
      </c>
      <c r="CV127" s="229">
        <v>-2.5100000000000001E-2</v>
      </c>
      <c r="CW127" s="228">
        <v>697</v>
      </c>
      <c r="CX127" s="228">
        <v>751</v>
      </c>
      <c r="CY127" s="228">
        <v>-53</v>
      </c>
      <c r="CZ127" s="229">
        <v>-7.0900000000000005E-2</v>
      </c>
      <c r="DA127" s="228">
        <v>29.34</v>
      </c>
      <c r="DB127" s="228">
        <v>29.51</v>
      </c>
      <c r="DC127" s="228">
        <v>-0.17</v>
      </c>
      <c r="DD127" s="228">
        <v>-0.17</v>
      </c>
      <c r="DE127" s="228">
        <v>34</v>
      </c>
      <c r="DF127" s="228">
        <v>34.08</v>
      </c>
      <c r="DG127" s="228">
        <v>-4.66</v>
      </c>
      <c r="DH127" s="228">
        <v>-0.08</v>
      </c>
      <c r="DI127" s="228">
        <v>29.35</v>
      </c>
      <c r="DJ127" s="228">
        <v>29.6</v>
      </c>
      <c r="DK127" s="228">
        <v>-0.25</v>
      </c>
      <c r="DL127" s="228">
        <v>-0.25</v>
      </c>
      <c r="DM127" s="228">
        <v>29.32</v>
      </c>
      <c r="DN127" s="228">
        <v>29.45</v>
      </c>
      <c r="DO127" s="228">
        <v>-0.13</v>
      </c>
      <c r="DP127" s="228">
        <v>-0.13</v>
      </c>
      <c r="DQ127" s="228">
        <v>0.46</v>
      </c>
      <c r="DR127" s="228">
        <v>0.42</v>
      </c>
      <c r="DS127" s="228">
        <v>0.04</v>
      </c>
      <c r="DT127" s="229">
        <v>9.5200000000000007E-2</v>
      </c>
      <c r="DU127" s="231">
        <v>2600</v>
      </c>
      <c r="DV127" s="231">
        <v>2450</v>
      </c>
      <c r="DW127" s="228">
        <v>0.26</v>
      </c>
      <c r="DX127" s="228">
        <v>0.41</v>
      </c>
      <c r="DY127" s="228">
        <v>-0.15</v>
      </c>
      <c r="DZ127" s="229">
        <v>-0.3659</v>
      </c>
      <c r="EA127" s="229">
        <v>0.8518</v>
      </c>
      <c r="EB127" s="230">
        <v>1185750</v>
      </c>
      <c r="EC127" s="229">
        <v>5.0000000000000001E-3</v>
      </c>
      <c r="ED127" s="229">
        <v>0.8518</v>
      </c>
      <c r="EE127" s="228">
        <v>8.41</v>
      </c>
      <c r="EF127" s="229">
        <v>3.5000000000000001E-3</v>
      </c>
      <c r="EG127" s="230">
        <v>174076</v>
      </c>
      <c r="EH127" s="230">
        <v>145649</v>
      </c>
      <c r="EI127" s="229">
        <v>0.19520000000000001</v>
      </c>
      <c r="EJ127" s="229">
        <v>0.70330000000000004</v>
      </c>
      <c r="EK127" s="228">
        <v>178.15</v>
      </c>
      <c r="EL127" s="228">
        <v>44.13</v>
      </c>
      <c r="EM127" s="228">
        <v>317.92</v>
      </c>
      <c r="EN127" s="228">
        <v>43.53</v>
      </c>
      <c r="EO127" s="228">
        <v>540.20000000000005</v>
      </c>
      <c r="EP127" s="228">
        <v>741.02</v>
      </c>
      <c r="EQ127" s="228">
        <v>-200.82</v>
      </c>
      <c r="ER127" s="229">
        <v>-0.27100000000000002</v>
      </c>
      <c r="ES127" s="228">
        <v>211.53</v>
      </c>
      <c r="ET127" s="228">
        <v>90.1</v>
      </c>
      <c r="EU127" s="228">
        <v>410.91</v>
      </c>
      <c r="EV127" s="231">
        <v>16915220</v>
      </c>
      <c r="EW127" s="228">
        <v>712.54</v>
      </c>
      <c r="EX127" s="228">
        <v>768.34</v>
      </c>
      <c r="EY127" s="228">
        <v>-55.8</v>
      </c>
      <c r="EZ127" s="229">
        <v>-7.2599999999999998E-2</v>
      </c>
      <c r="FA127" s="229">
        <v>0.1706</v>
      </c>
      <c r="FB127" s="227" t="s">
        <v>568</v>
      </c>
      <c r="FC127">
        <f t="shared" si="1"/>
        <v>348</v>
      </c>
    </row>
    <row r="128" spans="1:159" ht="17.25" thickBot="1" x14ac:dyDescent="0.3">
      <c r="A128" s="226">
        <v>45957</v>
      </c>
      <c r="B128" s="227" t="s">
        <v>168</v>
      </c>
      <c r="C128" s="227" t="s">
        <v>254</v>
      </c>
      <c r="D128" s="228">
        <v>1200</v>
      </c>
      <c r="E128" s="228">
        <v>1</v>
      </c>
      <c r="F128" s="228">
        <v>722.9</v>
      </c>
      <c r="G128" s="228">
        <v>725.3</v>
      </c>
      <c r="H128" s="228">
        <v>-2.4</v>
      </c>
      <c r="I128" s="229">
        <v>-3.3E-3</v>
      </c>
      <c r="J128" s="228">
        <v>723.6</v>
      </c>
      <c r="K128" s="228">
        <v>725.85</v>
      </c>
      <c r="L128" s="228">
        <v>-2.25</v>
      </c>
      <c r="M128" s="229">
        <v>-3.0999999999999999E-3</v>
      </c>
      <c r="N128" s="228">
        <v>722.9</v>
      </c>
      <c r="O128" s="228">
        <v>725.3</v>
      </c>
      <c r="P128" s="228">
        <v>-2.4</v>
      </c>
      <c r="Q128" s="229">
        <v>-3.3E-3</v>
      </c>
      <c r="R128" s="228">
        <v>727</v>
      </c>
      <c r="S128" s="228">
        <v>729.35</v>
      </c>
      <c r="T128" s="228">
        <v>-2.35</v>
      </c>
      <c r="U128" s="229">
        <v>-3.2000000000000002E-3</v>
      </c>
      <c r="V128" s="228">
        <v>731.5</v>
      </c>
      <c r="W128" s="228">
        <v>733.6</v>
      </c>
      <c r="X128" s="228">
        <v>-2.1</v>
      </c>
      <c r="Y128" s="229">
        <v>-2.8999999999999998E-3</v>
      </c>
      <c r="Z128" s="228">
        <v>-0.7</v>
      </c>
      <c r="AA128" s="228">
        <v>-0.55000000000000004</v>
      </c>
      <c r="AB128" s="228">
        <v>-0.15</v>
      </c>
      <c r="AC128" s="229">
        <v>-1E-3</v>
      </c>
      <c r="AD128" s="228">
        <v>-0.7</v>
      </c>
      <c r="AE128" s="228">
        <v>-0.55000000000000004</v>
      </c>
      <c r="AF128" s="228">
        <v>-0.15</v>
      </c>
      <c r="AG128" s="229">
        <v>-1E-3</v>
      </c>
      <c r="AH128" s="228">
        <v>3.4</v>
      </c>
      <c r="AI128" s="228">
        <v>3.5</v>
      </c>
      <c r="AJ128" s="228">
        <v>-0.1</v>
      </c>
      <c r="AK128" s="229">
        <v>4.7000000000000002E-3</v>
      </c>
      <c r="AL128" s="228">
        <v>7.9</v>
      </c>
      <c r="AM128" s="228">
        <v>7.75</v>
      </c>
      <c r="AN128" s="228">
        <v>0.15</v>
      </c>
      <c r="AO128" s="229">
        <v>1.09E-2</v>
      </c>
      <c r="AP128" s="228">
        <v>721.93</v>
      </c>
      <c r="AQ128" s="228">
        <v>725.93</v>
      </c>
      <c r="AR128" s="228">
        <v>0</v>
      </c>
      <c r="AS128" s="230">
        <v>1007</v>
      </c>
      <c r="AT128" s="230">
        <v>1931</v>
      </c>
      <c r="AU128" s="228">
        <v>-924</v>
      </c>
      <c r="AV128" s="229">
        <v>-0.47839999999999999</v>
      </c>
      <c r="AW128" s="228">
        <v>480</v>
      </c>
      <c r="AX128" s="228">
        <v>994</v>
      </c>
      <c r="AY128" s="228">
        <v>-513</v>
      </c>
      <c r="AZ128" s="229">
        <v>-0.51659999999999995</v>
      </c>
      <c r="BA128" s="228">
        <v>525</v>
      </c>
      <c r="BB128" s="228">
        <v>936</v>
      </c>
      <c r="BC128" s="228">
        <v>-411</v>
      </c>
      <c r="BD128" s="229">
        <v>-0.439</v>
      </c>
      <c r="BE128" s="228">
        <v>2</v>
      </c>
      <c r="BF128" s="228">
        <v>1</v>
      </c>
      <c r="BG128" s="228">
        <v>1</v>
      </c>
      <c r="BH128" s="229">
        <v>0.63639999999999997</v>
      </c>
      <c r="BI128" s="228">
        <v>283</v>
      </c>
      <c r="BJ128" s="228">
        <v>388</v>
      </c>
      <c r="BK128" s="228">
        <v>-105</v>
      </c>
      <c r="BL128" s="229">
        <v>-0.27039999999999997</v>
      </c>
      <c r="BM128" s="228">
        <v>163</v>
      </c>
      <c r="BN128" s="228">
        <v>341</v>
      </c>
      <c r="BO128" s="228">
        <v>-178</v>
      </c>
      <c r="BP128" s="229">
        <v>-0.52229999999999999</v>
      </c>
      <c r="BQ128" s="230">
        <v>1453</v>
      </c>
      <c r="BR128" s="230">
        <v>2659</v>
      </c>
      <c r="BS128" s="230">
        <v>-1207</v>
      </c>
      <c r="BT128" s="229">
        <v>-0.45369999999999999</v>
      </c>
      <c r="BU128" s="230">
        <v>1049095</v>
      </c>
      <c r="BV128" s="230">
        <v>1287787</v>
      </c>
      <c r="BW128" s="230">
        <v>-238692</v>
      </c>
      <c r="BX128" s="229">
        <v>-0.18540000000000001</v>
      </c>
      <c r="BY128" s="230">
        <v>1996</v>
      </c>
      <c r="BZ128" s="230">
        <v>2001</v>
      </c>
      <c r="CA128" s="228">
        <v>-6</v>
      </c>
      <c r="CB128" s="229">
        <v>-2.8999999999999998E-3</v>
      </c>
      <c r="CC128" s="228">
        <v>250</v>
      </c>
      <c r="CD128" s="228">
        <v>626</v>
      </c>
      <c r="CE128" s="228">
        <v>-375</v>
      </c>
      <c r="CF128" s="229">
        <v>-0.6</v>
      </c>
      <c r="CG128" s="230">
        <v>1743</v>
      </c>
      <c r="CH128" s="230">
        <v>1374</v>
      </c>
      <c r="CI128" s="228">
        <v>369</v>
      </c>
      <c r="CJ128" s="229">
        <v>0.26879999999999998</v>
      </c>
      <c r="CK128" s="228">
        <v>3</v>
      </c>
      <c r="CL128" s="228">
        <v>2</v>
      </c>
      <c r="CM128" s="228">
        <v>0</v>
      </c>
      <c r="CN128" s="229">
        <v>0.20830000000000001</v>
      </c>
      <c r="CO128" s="228">
        <v>216</v>
      </c>
      <c r="CP128" s="228">
        <v>228</v>
      </c>
      <c r="CQ128" s="228">
        <v>-12</v>
      </c>
      <c r="CR128" s="229">
        <v>-5.3600000000000002E-2</v>
      </c>
      <c r="CS128" s="228">
        <v>165</v>
      </c>
      <c r="CT128" s="228">
        <v>174</v>
      </c>
      <c r="CU128" s="228">
        <v>-10</v>
      </c>
      <c r="CV128" s="229">
        <v>-5.4699999999999999E-2</v>
      </c>
      <c r="CW128" s="230">
        <v>2377</v>
      </c>
      <c r="CX128" s="230">
        <v>2404</v>
      </c>
      <c r="CY128" s="228">
        <v>-27</v>
      </c>
      <c r="CZ128" s="229">
        <v>-1.14E-2</v>
      </c>
      <c r="DA128" s="228">
        <v>22.17</v>
      </c>
      <c r="DB128" s="228">
        <v>22.35</v>
      </c>
      <c r="DC128" s="228">
        <v>-0.18</v>
      </c>
      <c r="DD128" s="228">
        <v>-0.18</v>
      </c>
      <c r="DE128" s="228">
        <v>25.58</v>
      </c>
      <c r="DF128" s="228">
        <v>25.65</v>
      </c>
      <c r="DG128" s="228">
        <v>-3.41</v>
      </c>
      <c r="DH128" s="228">
        <v>-7.0000000000000007E-2</v>
      </c>
      <c r="DI128" s="228">
        <v>22.04</v>
      </c>
      <c r="DJ128" s="228">
        <v>22.37</v>
      </c>
      <c r="DK128" s="228">
        <v>-0.33</v>
      </c>
      <c r="DL128" s="228">
        <v>-0.33</v>
      </c>
      <c r="DM128" s="228">
        <v>22.35</v>
      </c>
      <c r="DN128" s="228">
        <v>22.34</v>
      </c>
      <c r="DO128" s="228">
        <v>0.01</v>
      </c>
      <c r="DP128" s="228">
        <v>0.01</v>
      </c>
      <c r="DQ128" s="228">
        <v>0.76</v>
      </c>
      <c r="DR128" s="228">
        <v>0.76</v>
      </c>
      <c r="DS128" s="228">
        <v>0</v>
      </c>
      <c r="DT128" s="229">
        <v>0</v>
      </c>
      <c r="DU128" s="228">
        <v>740</v>
      </c>
      <c r="DV128" s="228">
        <v>680</v>
      </c>
      <c r="DW128" s="228">
        <v>0.57999999999999996</v>
      </c>
      <c r="DX128" s="228">
        <v>0.88</v>
      </c>
      <c r="DY128" s="228">
        <v>-0.3</v>
      </c>
      <c r="DZ128" s="229">
        <v>-0.34089999999999998</v>
      </c>
      <c r="EA128" s="229">
        <v>0.87460000000000004</v>
      </c>
      <c r="EB128" s="230">
        <v>19030800</v>
      </c>
      <c r="EC128" s="229">
        <v>5.7000000000000002E-3</v>
      </c>
      <c r="ED128" s="229">
        <v>0.87460000000000004</v>
      </c>
      <c r="EE128" s="228">
        <v>4</v>
      </c>
      <c r="EF128" s="229">
        <v>5.4999999999999997E-3</v>
      </c>
      <c r="EG128" s="230">
        <v>619664</v>
      </c>
      <c r="EH128" s="230">
        <v>846056</v>
      </c>
      <c r="EI128" s="229">
        <v>-0.2676</v>
      </c>
      <c r="EJ128" s="229">
        <v>0.5907</v>
      </c>
      <c r="EK128" s="228">
        <v>290.58</v>
      </c>
      <c r="EL128" s="228">
        <v>161.22999999999999</v>
      </c>
      <c r="EM128" s="231">
        <v>1008.8</v>
      </c>
      <c r="EN128" s="228">
        <v>99.49</v>
      </c>
      <c r="EO128" s="231">
        <v>1460.61</v>
      </c>
      <c r="EP128" s="231">
        <v>2672.27</v>
      </c>
      <c r="EQ128" s="231">
        <v>-1211.6600000000001</v>
      </c>
      <c r="ER128" s="229">
        <v>-0.45340000000000003</v>
      </c>
      <c r="ES128" s="228">
        <v>224.3</v>
      </c>
      <c r="ET128" s="228">
        <v>158.81</v>
      </c>
      <c r="EU128" s="231">
        <v>2005.64</v>
      </c>
      <c r="EV128" s="231">
        <v>79408529</v>
      </c>
      <c r="EW128" s="231">
        <v>2388.75</v>
      </c>
      <c r="EX128" s="231">
        <v>2420.62</v>
      </c>
      <c r="EY128" s="228">
        <v>-31.87</v>
      </c>
      <c r="EZ128" s="229">
        <v>-1.32E-2</v>
      </c>
      <c r="FA128" s="229">
        <v>0.41399999999999998</v>
      </c>
      <c r="FB128" s="227" t="s">
        <v>568</v>
      </c>
      <c r="FC128">
        <f t="shared" si="1"/>
        <v>1746</v>
      </c>
    </row>
    <row r="129" spans="1:159" ht="17.25" thickBot="1" x14ac:dyDescent="0.3">
      <c r="A129" s="226">
        <v>45957</v>
      </c>
      <c r="B129" s="227" t="s">
        <v>162</v>
      </c>
      <c r="C129" s="227" t="s">
        <v>255</v>
      </c>
      <c r="D129" s="228">
        <v>50</v>
      </c>
      <c r="E129" s="228">
        <v>1</v>
      </c>
      <c r="F129" s="231">
        <v>16404</v>
      </c>
      <c r="G129" s="231">
        <v>16261</v>
      </c>
      <c r="H129" s="228">
        <v>143</v>
      </c>
      <c r="I129" s="229">
        <v>8.8000000000000005E-3</v>
      </c>
      <c r="J129" s="231">
        <v>16388</v>
      </c>
      <c r="K129" s="231">
        <v>16274</v>
      </c>
      <c r="L129" s="228">
        <v>114</v>
      </c>
      <c r="M129" s="229">
        <v>7.0000000000000001E-3</v>
      </c>
      <c r="N129" s="231">
        <v>16404</v>
      </c>
      <c r="O129" s="231">
        <v>16261</v>
      </c>
      <c r="P129" s="228">
        <v>143</v>
      </c>
      <c r="Q129" s="229">
        <v>8.8000000000000005E-3</v>
      </c>
      <c r="R129" s="231">
        <v>16499</v>
      </c>
      <c r="S129" s="231">
        <v>16356</v>
      </c>
      <c r="T129" s="228">
        <v>143</v>
      </c>
      <c r="U129" s="229">
        <v>8.6999999999999994E-3</v>
      </c>
      <c r="V129" s="231">
        <v>16605</v>
      </c>
      <c r="W129" s="231">
        <v>16463</v>
      </c>
      <c r="X129" s="228">
        <v>142</v>
      </c>
      <c r="Y129" s="229">
        <v>8.6E-3</v>
      </c>
      <c r="Z129" s="228">
        <v>16</v>
      </c>
      <c r="AA129" s="228">
        <v>-13</v>
      </c>
      <c r="AB129" s="228">
        <v>29</v>
      </c>
      <c r="AC129" s="229">
        <v>1E-3</v>
      </c>
      <c r="AD129" s="228">
        <v>16</v>
      </c>
      <c r="AE129" s="228">
        <v>-13</v>
      </c>
      <c r="AF129" s="228">
        <v>29</v>
      </c>
      <c r="AG129" s="229">
        <v>1E-3</v>
      </c>
      <c r="AH129" s="228">
        <v>111</v>
      </c>
      <c r="AI129" s="228">
        <v>82</v>
      </c>
      <c r="AJ129" s="228">
        <v>29</v>
      </c>
      <c r="AK129" s="229">
        <v>6.7999999999999996E-3</v>
      </c>
      <c r="AL129" s="228">
        <v>217</v>
      </c>
      <c r="AM129" s="228">
        <v>189</v>
      </c>
      <c r="AN129" s="228">
        <v>28</v>
      </c>
      <c r="AO129" s="229">
        <v>1.32E-2</v>
      </c>
      <c r="AP129" s="231">
        <v>16347.64</v>
      </c>
      <c r="AQ129" s="231">
        <v>16439.45</v>
      </c>
      <c r="AR129" s="228">
        <v>0</v>
      </c>
      <c r="AS129" s="230">
        <v>3401</v>
      </c>
      <c r="AT129" s="230">
        <v>2983</v>
      </c>
      <c r="AU129" s="228">
        <v>417</v>
      </c>
      <c r="AV129" s="229">
        <v>0.1399</v>
      </c>
      <c r="AW129" s="230">
        <v>1637</v>
      </c>
      <c r="AX129" s="230">
        <v>1602</v>
      </c>
      <c r="AY129" s="228">
        <v>35</v>
      </c>
      <c r="AZ129" s="229">
        <v>2.18E-2</v>
      </c>
      <c r="BA129" s="230">
        <v>1729</v>
      </c>
      <c r="BB129" s="230">
        <v>1365</v>
      </c>
      <c r="BC129" s="228">
        <v>364</v>
      </c>
      <c r="BD129" s="229">
        <v>0.26640000000000003</v>
      </c>
      <c r="BE129" s="228">
        <v>35</v>
      </c>
      <c r="BF129" s="228">
        <v>16</v>
      </c>
      <c r="BG129" s="228">
        <v>19</v>
      </c>
      <c r="BH129" s="229">
        <v>1.2041999999999999</v>
      </c>
      <c r="BI129" s="230">
        <v>8055</v>
      </c>
      <c r="BJ129" s="230">
        <v>7507</v>
      </c>
      <c r="BK129" s="228">
        <v>548</v>
      </c>
      <c r="BL129" s="229">
        <v>7.3099999999999998E-2</v>
      </c>
      <c r="BM129" s="230">
        <v>4306</v>
      </c>
      <c r="BN129" s="230">
        <v>4531</v>
      </c>
      <c r="BO129" s="228">
        <v>-224</v>
      </c>
      <c r="BP129" s="229">
        <v>-4.9500000000000002E-2</v>
      </c>
      <c r="BQ129" s="230">
        <v>15762</v>
      </c>
      <c r="BR129" s="230">
        <v>15020</v>
      </c>
      <c r="BS129" s="228">
        <v>741</v>
      </c>
      <c r="BT129" s="229">
        <v>4.9399999999999999E-2</v>
      </c>
      <c r="BU129" s="230">
        <v>213180</v>
      </c>
      <c r="BV129" s="230">
        <v>210921</v>
      </c>
      <c r="BW129" s="230">
        <v>2259</v>
      </c>
      <c r="BX129" s="229">
        <v>1.0699999999999999E-2</v>
      </c>
      <c r="BY129" s="230">
        <v>4853</v>
      </c>
      <c r="BZ129" s="230">
        <v>4799</v>
      </c>
      <c r="CA129" s="228">
        <v>53</v>
      </c>
      <c r="CB129" s="229">
        <v>1.11E-2</v>
      </c>
      <c r="CC129" s="230">
        <v>1126</v>
      </c>
      <c r="CD129" s="230">
        <v>2342</v>
      </c>
      <c r="CE129" s="230">
        <v>-1215</v>
      </c>
      <c r="CF129" s="229">
        <v>-0.51900000000000002</v>
      </c>
      <c r="CG129" s="230">
        <v>3664</v>
      </c>
      <c r="CH129" s="230">
        <v>2413</v>
      </c>
      <c r="CI129" s="230">
        <v>1250</v>
      </c>
      <c r="CJ129" s="229">
        <v>0.51819999999999999</v>
      </c>
      <c r="CK129" s="228">
        <v>62</v>
      </c>
      <c r="CL129" s="228">
        <v>44</v>
      </c>
      <c r="CM129" s="228">
        <v>18</v>
      </c>
      <c r="CN129" s="229">
        <v>0.41110000000000002</v>
      </c>
      <c r="CO129" s="230">
        <v>3789</v>
      </c>
      <c r="CP129" s="230">
        <v>4849</v>
      </c>
      <c r="CQ129" s="230">
        <v>-1059</v>
      </c>
      <c r="CR129" s="229">
        <v>-0.2185</v>
      </c>
      <c r="CS129" s="230">
        <v>2643</v>
      </c>
      <c r="CT129" s="230">
        <v>2770</v>
      </c>
      <c r="CU129" s="228">
        <v>-127</v>
      </c>
      <c r="CV129" s="229">
        <v>-4.5900000000000003E-2</v>
      </c>
      <c r="CW129" s="230">
        <v>11284</v>
      </c>
      <c r="CX129" s="230">
        <v>12417</v>
      </c>
      <c r="CY129" s="230">
        <v>-1133</v>
      </c>
      <c r="CZ129" s="229">
        <v>-9.1300000000000006E-2</v>
      </c>
      <c r="DA129" s="228">
        <v>22.24</v>
      </c>
      <c r="DB129" s="228">
        <v>22.01</v>
      </c>
      <c r="DC129" s="228">
        <v>0.23</v>
      </c>
      <c r="DD129" s="228">
        <v>0.23</v>
      </c>
      <c r="DE129" s="228">
        <v>25.39</v>
      </c>
      <c r="DF129" s="228">
        <v>25.44</v>
      </c>
      <c r="DG129" s="228">
        <v>-3.15</v>
      </c>
      <c r="DH129" s="228">
        <v>-0.05</v>
      </c>
      <c r="DI129" s="228">
        <v>22</v>
      </c>
      <c r="DJ129" s="228">
        <v>22.18</v>
      </c>
      <c r="DK129" s="228">
        <v>-0.18</v>
      </c>
      <c r="DL129" s="228">
        <v>-0.18</v>
      </c>
      <c r="DM129" s="228">
        <v>22.68</v>
      </c>
      <c r="DN129" s="228">
        <v>21.83</v>
      </c>
      <c r="DO129" s="228">
        <v>0.85</v>
      </c>
      <c r="DP129" s="228">
        <v>0.85</v>
      </c>
      <c r="DQ129" s="228">
        <v>0.7</v>
      </c>
      <c r="DR129" s="228">
        <v>0.56999999999999995</v>
      </c>
      <c r="DS129" s="228">
        <v>0.13</v>
      </c>
      <c r="DT129" s="229">
        <v>0.2281</v>
      </c>
      <c r="DU129" s="231">
        <v>17000</v>
      </c>
      <c r="DV129" s="231">
        <v>16000</v>
      </c>
      <c r="DW129" s="228">
        <v>0.53</v>
      </c>
      <c r="DX129" s="228">
        <v>0.6</v>
      </c>
      <c r="DY129" s="228">
        <v>-7.0000000000000007E-2</v>
      </c>
      <c r="DZ129" s="229">
        <v>-0.1167</v>
      </c>
      <c r="EA129" s="229">
        <v>0.76790000000000003</v>
      </c>
      <c r="EB129" s="230">
        <v>1498150</v>
      </c>
      <c r="EC129" s="229">
        <v>5.7999999999999996E-3</v>
      </c>
      <c r="ED129" s="229">
        <v>0.76790000000000003</v>
      </c>
      <c r="EE129" s="228">
        <v>91.81</v>
      </c>
      <c r="EF129" s="229">
        <v>5.5999999999999999E-3</v>
      </c>
      <c r="EG129" s="230">
        <v>126345</v>
      </c>
      <c r="EH129" s="230">
        <v>117122</v>
      </c>
      <c r="EI129" s="229">
        <v>7.8700000000000006E-2</v>
      </c>
      <c r="EJ129" s="229">
        <v>0.5927</v>
      </c>
      <c r="EK129" s="231">
        <v>8254.83</v>
      </c>
      <c r="EL129" s="231">
        <v>4188.0600000000004</v>
      </c>
      <c r="EM129" s="231">
        <v>3399.14</v>
      </c>
      <c r="EN129" s="228">
        <v>191.96</v>
      </c>
      <c r="EO129" s="231">
        <v>15842.04</v>
      </c>
      <c r="EP129" s="231">
        <v>15109.68</v>
      </c>
      <c r="EQ129" s="228">
        <v>732.36</v>
      </c>
      <c r="ER129" s="229">
        <v>4.8500000000000001E-2</v>
      </c>
      <c r="ES129" s="231">
        <v>3878.74</v>
      </c>
      <c r="ET129" s="231">
        <v>2496.77</v>
      </c>
      <c r="EU129" s="231">
        <v>4874.53</v>
      </c>
      <c r="EV129" s="231">
        <v>16752897</v>
      </c>
      <c r="EW129" s="231">
        <v>11250.04</v>
      </c>
      <c r="EX129" s="231">
        <v>12350.23</v>
      </c>
      <c r="EY129" s="231">
        <v>-1100.19</v>
      </c>
      <c r="EZ129" s="229">
        <v>-8.9099999999999999E-2</v>
      </c>
      <c r="FA129" s="229">
        <v>0.41060000000000002</v>
      </c>
      <c r="FB129" s="227" t="s">
        <v>555</v>
      </c>
      <c r="FC129">
        <f t="shared" si="1"/>
        <v>3727</v>
      </c>
    </row>
    <row r="130" spans="1:159" ht="17.25" thickBot="1" x14ac:dyDescent="0.3">
      <c r="A130" s="226">
        <v>45957</v>
      </c>
      <c r="B130" s="227" t="s">
        <v>170</v>
      </c>
      <c r="C130" s="227" t="s">
        <v>603</v>
      </c>
      <c r="D130" s="228">
        <v>525</v>
      </c>
      <c r="E130" s="228">
        <v>1</v>
      </c>
      <c r="F130" s="231">
        <v>1187.9000000000001</v>
      </c>
      <c r="G130" s="231">
        <v>1185.0999999999999</v>
      </c>
      <c r="H130" s="228">
        <v>2.8</v>
      </c>
      <c r="I130" s="229">
        <v>2.3999999999999998E-3</v>
      </c>
      <c r="J130" s="231">
        <v>1186.4000000000001</v>
      </c>
      <c r="K130" s="231">
        <v>1184.0999999999999</v>
      </c>
      <c r="L130" s="228">
        <v>2.2999999999999998</v>
      </c>
      <c r="M130" s="229">
        <v>1.9E-3</v>
      </c>
      <c r="N130" s="231">
        <v>1187.9000000000001</v>
      </c>
      <c r="O130" s="231">
        <v>1185.0999999999999</v>
      </c>
      <c r="P130" s="228">
        <v>2.8</v>
      </c>
      <c r="Q130" s="229">
        <v>2.3999999999999998E-3</v>
      </c>
      <c r="R130" s="231">
        <v>1194.5</v>
      </c>
      <c r="S130" s="231">
        <v>1191.8</v>
      </c>
      <c r="T130" s="228">
        <v>2.7</v>
      </c>
      <c r="U130" s="229">
        <v>2.3E-3</v>
      </c>
      <c r="V130" s="231">
        <v>1202</v>
      </c>
      <c r="W130" s="231">
        <v>1199.4000000000001</v>
      </c>
      <c r="X130" s="228">
        <v>2.6</v>
      </c>
      <c r="Y130" s="229">
        <v>2.2000000000000001E-3</v>
      </c>
      <c r="Z130" s="228">
        <v>1.5</v>
      </c>
      <c r="AA130" s="228">
        <v>1</v>
      </c>
      <c r="AB130" s="228">
        <v>0.5</v>
      </c>
      <c r="AC130" s="229">
        <v>1.2999999999999999E-3</v>
      </c>
      <c r="AD130" s="228">
        <v>1.5</v>
      </c>
      <c r="AE130" s="228">
        <v>1</v>
      </c>
      <c r="AF130" s="228">
        <v>0.5</v>
      </c>
      <c r="AG130" s="229">
        <v>1.2999999999999999E-3</v>
      </c>
      <c r="AH130" s="228">
        <v>8.1</v>
      </c>
      <c r="AI130" s="228">
        <v>7.7</v>
      </c>
      <c r="AJ130" s="228">
        <v>0.4</v>
      </c>
      <c r="AK130" s="229">
        <v>6.7999999999999996E-3</v>
      </c>
      <c r="AL130" s="228">
        <v>15.6</v>
      </c>
      <c r="AM130" s="228">
        <v>15.3</v>
      </c>
      <c r="AN130" s="228">
        <v>0.3</v>
      </c>
      <c r="AO130" s="229">
        <v>1.3100000000000001E-2</v>
      </c>
      <c r="AP130" s="231">
        <v>1182.8900000000001</v>
      </c>
      <c r="AQ130" s="231">
        <v>1189.6300000000001</v>
      </c>
      <c r="AR130" s="228">
        <v>0</v>
      </c>
      <c r="AS130" s="230">
        <v>1181</v>
      </c>
      <c r="AT130" s="230">
        <v>1516</v>
      </c>
      <c r="AU130" s="228">
        <v>-335</v>
      </c>
      <c r="AV130" s="229">
        <v>-0.22120000000000001</v>
      </c>
      <c r="AW130" s="228">
        <v>556</v>
      </c>
      <c r="AX130" s="228">
        <v>746</v>
      </c>
      <c r="AY130" s="228">
        <v>-190</v>
      </c>
      <c r="AZ130" s="229">
        <v>-0.25409999999999999</v>
      </c>
      <c r="BA130" s="228">
        <v>623</v>
      </c>
      <c r="BB130" s="228">
        <v>769</v>
      </c>
      <c r="BC130" s="228">
        <v>-146</v>
      </c>
      <c r="BD130" s="229">
        <v>-0.19</v>
      </c>
      <c r="BE130" s="228">
        <v>2</v>
      </c>
      <c r="BF130" s="228">
        <v>1</v>
      </c>
      <c r="BG130" s="228">
        <v>0</v>
      </c>
      <c r="BH130" s="229">
        <v>0.3</v>
      </c>
      <c r="BI130" s="228">
        <v>380</v>
      </c>
      <c r="BJ130" s="228">
        <v>597</v>
      </c>
      <c r="BK130" s="228">
        <v>-217</v>
      </c>
      <c r="BL130" s="229">
        <v>-0.36299999999999999</v>
      </c>
      <c r="BM130" s="228">
        <v>290</v>
      </c>
      <c r="BN130" s="228">
        <v>589</v>
      </c>
      <c r="BO130" s="228">
        <v>-298</v>
      </c>
      <c r="BP130" s="229">
        <v>-0.50660000000000005</v>
      </c>
      <c r="BQ130" s="230">
        <v>1851</v>
      </c>
      <c r="BR130" s="230">
        <v>2702</v>
      </c>
      <c r="BS130" s="228">
        <v>-850</v>
      </c>
      <c r="BT130" s="229">
        <v>-0.31469999999999998</v>
      </c>
      <c r="BU130" s="230">
        <v>1010495</v>
      </c>
      <c r="BV130" s="230">
        <v>883398</v>
      </c>
      <c r="BW130" s="230">
        <v>127097</v>
      </c>
      <c r="BX130" s="229">
        <v>0.1439</v>
      </c>
      <c r="BY130" s="230">
        <v>1940</v>
      </c>
      <c r="BZ130" s="230">
        <v>1935</v>
      </c>
      <c r="CA130" s="228">
        <v>5</v>
      </c>
      <c r="CB130" s="229">
        <v>2.3999999999999998E-3</v>
      </c>
      <c r="CC130" s="228">
        <v>245</v>
      </c>
      <c r="CD130" s="228">
        <v>698</v>
      </c>
      <c r="CE130" s="228">
        <v>-453</v>
      </c>
      <c r="CF130" s="229">
        <v>-0.64870000000000005</v>
      </c>
      <c r="CG130" s="230">
        <v>1687</v>
      </c>
      <c r="CH130" s="230">
        <v>1230</v>
      </c>
      <c r="CI130" s="228">
        <v>457</v>
      </c>
      <c r="CJ130" s="229">
        <v>0.37169999999999997</v>
      </c>
      <c r="CK130" s="228">
        <v>8</v>
      </c>
      <c r="CL130" s="228">
        <v>7</v>
      </c>
      <c r="CM130" s="228">
        <v>1</v>
      </c>
      <c r="CN130" s="229">
        <v>9.9099999999999994E-2</v>
      </c>
      <c r="CO130" s="228">
        <v>367</v>
      </c>
      <c r="CP130" s="228">
        <v>375</v>
      </c>
      <c r="CQ130" s="228">
        <v>-8</v>
      </c>
      <c r="CR130" s="229">
        <v>-2.0299999999999999E-2</v>
      </c>
      <c r="CS130" s="228">
        <v>249</v>
      </c>
      <c r="CT130" s="228">
        <v>288</v>
      </c>
      <c r="CU130" s="228">
        <v>-38</v>
      </c>
      <c r="CV130" s="229">
        <v>-0.13350000000000001</v>
      </c>
      <c r="CW130" s="230">
        <v>2556</v>
      </c>
      <c r="CX130" s="230">
        <v>2597</v>
      </c>
      <c r="CY130" s="228">
        <v>-41</v>
      </c>
      <c r="CZ130" s="229">
        <v>-1.5900000000000001E-2</v>
      </c>
      <c r="DA130" s="228">
        <v>28.14</v>
      </c>
      <c r="DB130" s="228">
        <v>27.59</v>
      </c>
      <c r="DC130" s="228">
        <v>0.55000000000000004</v>
      </c>
      <c r="DD130" s="228">
        <v>0.55000000000000004</v>
      </c>
      <c r="DE130" s="228">
        <v>40.79</v>
      </c>
      <c r="DF130" s="228">
        <v>40.89</v>
      </c>
      <c r="DG130" s="228">
        <v>-12.65</v>
      </c>
      <c r="DH130" s="228">
        <v>-0.1</v>
      </c>
      <c r="DI130" s="228">
        <v>28.22</v>
      </c>
      <c r="DJ130" s="228">
        <v>27.95</v>
      </c>
      <c r="DK130" s="228">
        <v>0.27</v>
      </c>
      <c r="DL130" s="228">
        <v>0.27</v>
      </c>
      <c r="DM130" s="228">
        <v>28</v>
      </c>
      <c r="DN130" s="228">
        <v>27.03</v>
      </c>
      <c r="DO130" s="228">
        <v>0.97</v>
      </c>
      <c r="DP130" s="228">
        <v>0.97</v>
      </c>
      <c r="DQ130" s="228">
        <v>0.68</v>
      </c>
      <c r="DR130" s="228">
        <v>0.77</v>
      </c>
      <c r="DS130" s="228">
        <v>-0.09</v>
      </c>
      <c r="DT130" s="229">
        <v>-0.1169</v>
      </c>
      <c r="DU130" s="231">
        <v>1240</v>
      </c>
      <c r="DV130" s="231">
        <v>1240</v>
      </c>
      <c r="DW130" s="228">
        <v>0.76</v>
      </c>
      <c r="DX130" s="228">
        <v>0.99</v>
      </c>
      <c r="DY130" s="228">
        <v>-0.23</v>
      </c>
      <c r="DZ130" s="229">
        <v>-0.23230000000000001</v>
      </c>
      <c r="EA130" s="229">
        <v>0.87350000000000005</v>
      </c>
      <c r="EB130" s="230">
        <v>10409700</v>
      </c>
      <c r="EC130" s="229">
        <v>5.5999999999999999E-3</v>
      </c>
      <c r="ED130" s="229">
        <v>0.87350000000000005</v>
      </c>
      <c r="EE130" s="228">
        <v>6.74</v>
      </c>
      <c r="EF130" s="229">
        <v>5.7000000000000002E-3</v>
      </c>
      <c r="EG130" s="230">
        <v>635864</v>
      </c>
      <c r="EH130" s="230">
        <v>501205</v>
      </c>
      <c r="EI130" s="229">
        <v>0.26869999999999999</v>
      </c>
      <c r="EJ130" s="229">
        <v>0.62929999999999997</v>
      </c>
      <c r="EK130" s="228">
        <v>390.1</v>
      </c>
      <c r="EL130" s="228">
        <v>285.56</v>
      </c>
      <c r="EM130" s="231">
        <v>1179.3900000000001</v>
      </c>
      <c r="EN130" s="228">
        <v>118.85</v>
      </c>
      <c r="EO130" s="231">
        <v>1855.04</v>
      </c>
      <c r="EP130" s="231">
        <v>2727.02</v>
      </c>
      <c r="EQ130" s="228">
        <v>-871.98</v>
      </c>
      <c r="ER130" s="229">
        <v>-0.31979999999999997</v>
      </c>
      <c r="ES130" s="228">
        <v>374.66</v>
      </c>
      <c r="ET130" s="228">
        <v>239.14</v>
      </c>
      <c r="EU130" s="231">
        <v>1949.01</v>
      </c>
      <c r="EV130" s="231">
        <v>97211768</v>
      </c>
      <c r="EW130" s="231">
        <v>2562.81</v>
      </c>
      <c r="EX130" s="231">
        <v>2595.35</v>
      </c>
      <c r="EY130" s="228">
        <v>-32.54</v>
      </c>
      <c r="EZ130" s="229">
        <v>-1.2500000000000001E-2</v>
      </c>
      <c r="FA130" s="229">
        <v>0.2213</v>
      </c>
      <c r="FB130" s="227" t="s">
        <v>555</v>
      </c>
      <c r="FC130">
        <f t="shared" si="1"/>
        <v>1695</v>
      </c>
    </row>
    <row r="131" spans="1:159" ht="17.25" thickBot="1" x14ac:dyDescent="0.3">
      <c r="A131" s="226">
        <v>45957</v>
      </c>
      <c r="B131" s="227" t="s">
        <v>215</v>
      </c>
      <c r="C131" s="227" t="s">
        <v>674</v>
      </c>
      <c r="D131" s="228">
        <v>175</v>
      </c>
      <c r="E131" s="228">
        <v>1</v>
      </c>
      <c r="F131" s="231">
        <v>2810.2</v>
      </c>
      <c r="G131" s="231">
        <v>2801.9</v>
      </c>
      <c r="H131" s="228">
        <v>8.3000000000000007</v>
      </c>
      <c r="I131" s="229">
        <v>3.0000000000000001E-3</v>
      </c>
      <c r="J131" s="231">
        <v>2810.4</v>
      </c>
      <c r="K131" s="231">
        <v>2805.5</v>
      </c>
      <c r="L131" s="228">
        <v>4.9000000000000004</v>
      </c>
      <c r="M131" s="229">
        <v>1.6999999999999999E-3</v>
      </c>
      <c r="N131" s="231">
        <v>2810.2</v>
      </c>
      <c r="O131" s="231">
        <v>2801.9</v>
      </c>
      <c r="P131" s="228">
        <v>8.3000000000000007</v>
      </c>
      <c r="Q131" s="229">
        <v>3.0000000000000001E-3</v>
      </c>
      <c r="R131" s="231">
        <v>2817.1</v>
      </c>
      <c r="S131" s="231">
        <v>2807.6</v>
      </c>
      <c r="T131" s="228">
        <v>9.5</v>
      </c>
      <c r="U131" s="229">
        <v>3.3999999999999998E-3</v>
      </c>
      <c r="V131" s="231">
        <v>2834.8</v>
      </c>
      <c r="W131" s="231">
        <v>2824</v>
      </c>
      <c r="X131" s="228">
        <v>10.8</v>
      </c>
      <c r="Y131" s="229">
        <v>3.8E-3</v>
      </c>
      <c r="Z131" s="228">
        <v>-0.2</v>
      </c>
      <c r="AA131" s="228">
        <v>-3.6</v>
      </c>
      <c r="AB131" s="228">
        <v>3.4</v>
      </c>
      <c r="AC131" s="229">
        <v>-1E-4</v>
      </c>
      <c r="AD131" s="228">
        <v>-0.2</v>
      </c>
      <c r="AE131" s="228">
        <v>-3.6</v>
      </c>
      <c r="AF131" s="228">
        <v>3.4</v>
      </c>
      <c r="AG131" s="229">
        <v>-1E-4</v>
      </c>
      <c r="AH131" s="228">
        <v>6.7</v>
      </c>
      <c r="AI131" s="228">
        <v>2.1</v>
      </c>
      <c r="AJ131" s="228">
        <v>4.5999999999999996</v>
      </c>
      <c r="AK131" s="229">
        <v>2.3999999999999998E-3</v>
      </c>
      <c r="AL131" s="228">
        <v>24.4</v>
      </c>
      <c r="AM131" s="228">
        <v>18.5</v>
      </c>
      <c r="AN131" s="228">
        <v>5.9</v>
      </c>
      <c r="AO131" s="229">
        <v>8.6999999999999994E-3</v>
      </c>
      <c r="AP131" s="231">
        <v>2817.4</v>
      </c>
      <c r="AQ131" s="231">
        <v>2823.47</v>
      </c>
      <c r="AR131" s="228">
        <v>0</v>
      </c>
      <c r="AS131" s="228">
        <v>900</v>
      </c>
      <c r="AT131" s="228">
        <v>826</v>
      </c>
      <c r="AU131" s="228">
        <v>75</v>
      </c>
      <c r="AV131" s="229">
        <v>9.0499999999999997E-2</v>
      </c>
      <c r="AW131" s="228">
        <v>412</v>
      </c>
      <c r="AX131" s="228">
        <v>418</v>
      </c>
      <c r="AY131" s="228">
        <v>-6</v>
      </c>
      <c r="AZ131" s="229">
        <v>-1.49E-2</v>
      </c>
      <c r="BA131" s="228">
        <v>481</v>
      </c>
      <c r="BB131" s="228">
        <v>401</v>
      </c>
      <c r="BC131" s="228">
        <v>79</v>
      </c>
      <c r="BD131" s="229">
        <v>0.19750000000000001</v>
      </c>
      <c r="BE131" s="228">
        <v>8</v>
      </c>
      <c r="BF131" s="228">
        <v>6</v>
      </c>
      <c r="BG131" s="228">
        <v>2</v>
      </c>
      <c r="BH131" s="229">
        <v>0.28570000000000001</v>
      </c>
      <c r="BI131" s="230">
        <v>1505</v>
      </c>
      <c r="BJ131" s="230">
        <v>1680</v>
      </c>
      <c r="BK131" s="228">
        <v>-176</v>
      </c>
      <c r="BL131" s="229">
        <v>-0.1047</v>
      </c>
      <c r="BM131" s="228">
        <v>688</v>
      </c>
      <c r="BN131" s="228">
        <v>517</v>
      </c>
      <c r="BO131" s="228">
        <v>171</v>
      </c>
      <c r="BP131" s="229">
        <v>0.33160000000000001</v>
      </c>
      <c r="BQ131" s="230">
        <v>3093</v>
      </c>
      <c r="BR131" s="230">
        <v>3023</v>
      </c>
      <c r="BS131" s="228">
        <v>70</v>
      </c>
      <c r="BT131" s="229">
        <v>2.3199999999999998E-2</v>
      </c>
      <c r="BU131" s="230">
        <v>688783</v>
      </c>
      <c r="BV131" s="230">
        <v>1094899</v>
      </c>
      <c r="BW131" s="230">
        <v>-406116</v>
      </c>
      <c r="BX131" s="229">
        <v>-0.37090000000000001</v>
      </c>
      <c r="BY131" s="230">
        <v>1114</v>
      </c>
      <c r="BZ131" s="230">
        <v>1081</v>
      </c>
      <c r="CA131" s="228">
        <v>33</v>
      </c>
      <c r="CB131" s="229">
        <v>3.0599999999999999E-2</v>
      </c>
      <c r="CC131" s="228">
        <v>249</v>
      </c>
      <c r="CD131" s="228">
        <v>468</v>
      </c>
      <c r="CE131" s="228">
        <v>-219</v>
      </c>
      <c r="CF131" s="229">
        <v>-0.4677</v>
      </c>
      <c r="CG131" s="228">
        <v>849</v>
      </c>
      <c r="CH131" s="228">
        <v>601</v>
      </c>
      <c r="CI131" s="228">
        <v>248</v>
      </c>
      <c r="CJ131" s="229">
        <v>0.41349999999999998</v>
      </c>
      <c r="CK131" s="228">
        <v>16</v>
      </c>
      <c r="CL131" s="228">
        <v>12</v>
      </c>
      <c r="CM131" s="228">
        <v>3</v>
      </c>
      <c r="CN131" s="229">
        <v>0.28000000000000003</v>
      </c>
      <c r="CO131" s="228">
        <v>876</v>
      </c>
      <c r="CP131" s="228">
        <v>820</v>
      </c>
      <c r="CQ131" s="228">
        <v>56</v>
      </c>
      <c r="CR131" s="229">
        <v>6.8000000000000005E-2</v>
      </c>
      <c r="CS131" s="228">
        <v>495</v>
      </c>
      <c r="CT131" s="228">
        <v>433</v>
      </c>
      <c r="CU131" s="228">
        <v>63</v>
      </c>
      <c r="CV131" s="229">
        <v>0.14460000000000001</v>
      </c>
      <c r="CW131" s="230">
        <v>2485</v>
      </c>
      <c r="CX131" s="230">
        <v>2334</v>
      </c>
      <c r="CY131" s="228">
        <v>151</v>
      </c>
      <c r="CZ131" s="229">
        <v>6.4899999999999999E-2</v>
      </c>
      <c r="DA131" s="228">
        <v>37.79</v>
      </c>
      <c r="DB131" s="228">
        <v>35.729999999999997</v>
      </c>
      <c r="DC131" s="228">
        <v>2.06</v>
      </c>
      <c r="DD131" s="228">
        <v>2.06</v>
      </c>
      <c r="DE131" s="228">
        <v>58.97</v>
      </c>
      <c r="DF131" s="228">
        <v>59.12</v>
      </c>
      <c r="DG131" s="228">
        <v>-21.18</v>
      </c>
      <c r="DH131" s="228">
        <v>-0.15</v>
      </c>
      <c r="DI131" s="228">
        <v>38.22</v>
      </c>
      <c r="DJ131" s="228">
        <v>35.97</v>
      </c>
      <c r="DK131" s="228">
        <v>2.25</v>
      </c>
      <c r="DL131" s="228">
        <v>2.25</v>
      </c>
      <c r="DM131" s="228">
        <v>36.42</v>
      </c>
      <c r="DN131" s="228">
        <v>35.19</v>
      </c>
      <c r="DO131" s="228">
        <v>1.23</v>
      </c>
      <c r="DP131" s="228">
        <v>1.23</v>
      </c>
      <c r="DQ131" s="228">
        <v>0.56999999999999995</v>
      </c>
      <c r="DR131" s="228">
        <v>0.53</v>
      </c>
      <c r="DS131" s="228">
        <v>0.04</v>
      </c>
      <c r="DT131" s="229">
        <v>7.5499999999999998E-2</v>
      </c>
      <c r="DU131" s="231">
        <v>3000</v>
      </c>
      <c r="DV131" s="231">
        <v>2800</v>
      </c>
      <c r="DW131" s="228">
        <v>0.46</v>
      </c>
      <c r="DX131" s="228">
        <v>0.31</v>
      </c>
      <c r="DY131" s="228">
        <v>0.15</v>
      </c>
      <c r="DZ131" s="229">
        <v>0.4839</v>
      </c>
      <c r="EA131" s="229">
        <v>0.77649999999999997</v>
      </c>
      <c r="EB131" s="230">
        <v>2181550</v>
      </c>
      <c r="EC131" s="229">
        <v>2.5000000000000001E-3</v>
      </c>
      <c r="ED131" s="229">
        <v>0.77649999999999997</v>
      </c>
      <c r="EE131" s="228">
        <v>6.07</v>
      </c>
      <c r="EF131" s="229">
        <v>2.2000000000000001E-3</v>
      </c>
      <c r="EG131" s="230">
        <v>177478</v>
      </c>
      <c r="EH131" s="230">
        <v>308138</v>
      </c>
      <c r="EI131" s="229">
        <v>-0.42399999999999999</v>
      </c>
      <c r="EJ131" s="229">
        <v>0.25769999999999998</v>
      </c>
      <c r="EK131" s="231">
        <v>1611.27</v>
      </c>
      <c r="EL131" s="228">
        <v>680.73</v>
      </c>
      <c r="EM131" s="228">
        <v>903.77</v>
      </c>
      <c r="EN131" s="228">
        <v>87.21</v>
      </c>
      <c r="EO131" s="231">
        <v>3195.77</v>
      </c>
      <c r="EP131" s="231">
        <v>3127.28</v>
      </c>
      <c r="EQ131" s="228">
        <v>68.489999999999995</v>
      </c>
      <c r="ER131" s="229">
        <v>2.1899999999999999E-2</v>
      </c>
      <c r="ES131" s="228">
        <v>935.72</v>
      </c>
      <c r="ET131" s="228">
        <v>492.04</v>
      </c>
      <c r="EU131" s="231">
        <v>1116.1199999999999</v>
      </c>
      <c r="EV131" s="231">
        <v>11364224</v>
      </c>
      <c r="EW131" s="231">
        <v>2543.87</v>
      </c>
      <c r="EX131" s="231">
        <v>2382.4499999999998</v>
      </c>
      <c r="EY131" s="228">
        <v>161.41999999999999</v>
      </c>
      <c r="EZ131" s="229">
        <v>6.7799999999999999E-2</v>
      </c>
      <c r="FA131" s="229">
        <v>0.7782</v>
      </c>
      <c r="FB131" s="227" t="s">
        <v>555</v>
      </c>
      <c r="FC131">
        <f t="shared" ref="FC131:FC147" si="2">BY131-CC131</f>
        <v>865</v>
      </c>
    </row>
    <row r="132" spans="1:159" ht="17.25" thickBot="1" x14ac:dyDescent="0.3">
      <c r="A132" s="226">
        <v>45957</v>
      </c>
      <c r="B132" s="227" t="s">
        <v>175</v>
      </c>
      <c r="C132" s="227" t="s">
        <v>517</v>
      </c>
      <c r="D132" s="228">
        <v>125</v>
      </c>
      <c r="E132" s="228">
        <v>1</v>
      </c>
      <c r="F132" s="231">
        <v>9310.5</v>
      </c>
      <c r="G132" s="231">
        <v>9004</v>
      </c>
      <c r="H132" s="228">
        <v>306.5</v>
      </c>
      <c r="I132" s="229">
        <v>3.4000000000000002E-2</v>
      </c>
      <c r="J132" s="231">
        <v>9305.5</v>
      </c>
      <c r="K132" s="231">
        <v>9003.5</v>
      </c>
      <c r="L132" s="228">
        <v>302</v>
      </c>
      <c r="M132" s="229">
        <v>3.3500000000000002E-2</v>
      </c>
      <c r="N132" s="231">
        <v>9310.5</v>
      </c>
      <c r="O132" s="231">
        <v>9004</v>
      </c>
      <c r="P132" s="228">
        <v>306.5</v>
      </c>
      <c r="Q132" s="229">
        <v>3.4000000000000002E-2</v>
      </c>
      <c r="R132" s="231">
        <v>9355.5</v>
      </c>
      <c r="S132" s="231">
        <v>9055.5</v>
      </c>
      <c r="T132" s="228">
        <v>300</v>
      </c>
      <c r="U132" s="229">
        <v>3.3099999999999997E-2</v>
      </c>
      <c r="V132" s="231">
        <v>9416</v>
      </c>
      <c r="W132" s="231">
        <v>9113</v>
      </c>
      <c r="X132" s="228">
        <v>303</v>
      </c>
      <c r="Y132" s="229">
        <v>3.32E-2</v>
      </c>
      <c r="Z132" s="228">
        <v>5</v>
      </c>
      <c r="AA132" s="228">
        <v>0.5</v>
      </c>
      <c r="AB132" s="228">
        <v>4.5</v>
      </c>
      <c r="AC132" s="229">
        <v>5.0000000000000001E-4</v>
      </c>
      <c r="AD132" s="228">
        <v>5</v>
      </c>
      <c r="AE132" s="228">
        <v>0.5</v>
      </c>
      <c r="AF132" s="228">
        <v>4.5</v>
      </c>
      <c r="AG132" s="229">
        <v>5.0000000000000001E-4</v>
      </c>
      <c r="AH132" s="228">
        <v>50</v>
      </c>
      <c r="AI132" s="228">
        <v>52</v>
      </c>
      <c r="AJ132" s="228">
        <v>-2</v>
      </c>
      <c r="AK132" s="229">
        <v>5.4000000000000003E-3</v>
      </c>
      <c r="AL132" s="228">
        <v>110.5</v>
      </c>
      <c r="AM132" s="228">
        <v>109.5</v>
      </c>
      <c r="AN132" s="228">
        <v>1</v>
      </c>
      <c r="AO132" s="229">
        <v>1.1900000000000001E-2</v>
      </c>
      <c r="AP132" s="231">
        <v>9234.33</v>
      </c>
      <c r="AQ132" s="231">
        <v>9281.85</v>
      </c>
      <c r="AR132" s="228">
        <v>0</v>
      </c>
      <c r="AS132" s="230">
        <v>2341</v>
      </c>
      <c r="AT132" s="230">
        <v>2412</v>
      </c>
      <c r="AU132" s="228">
        <v>-71</v>
      </c>
      <c r="AV132" s="229">
        <v>-2.9600000000000001E-2</v>
      </c>
      <c r="AW132" s="230">
        <v>1161</v>
      </c>
      <c r="AX132" s="230">
        <v>1351</v>
      </c>
      <c r="AY132" s="228">
        <v>-190</v>
      </c>
      <c r="AZ132" s="229">
        <v>-0.14080000000000001</v>
      </c>
      <c r="BA132" s="230">
        <v>1157</v>
      </c>
      <c r="BB132" s="230">
        <v>1045</v>
      </c>
      <c r="BC132" s="228">
        <v>112</v>
      </c>
      <c r="BD132" s="229">
        <v>0.10730000000000001</v>
      </c>
      <c r="BE132" s="228">
        <v>23</v>
      </c>
      <c r="BF132" s="228">
        <v>16</v>
      </c>
      <c r="BG132" s="228">
        <v>7</v>
      </c>
      <c r="BH132" s="229">
        <v>0.42449999999999999</v>
      </c>
      <c r="BI132" s="230">
        <v>15961</v>
      </c>
      <c r="BJ132" s="230">
        <v>9246</v>
      </c>
      <c r="BK132" s="230">
        <v>6716</v>
      </c>
      <c r="BL132" s="229">
        <v>0.72629999999999995</v>
      </c>
      <c r="BM132" s="230">
        <v>6357</v>
      </c>
      <c r="BN132" s="230">
        <v>5714</v>
      </c>
      <c r="BO132" s="228">
        <v>643</v>
      </c>
      <c r="BP132" s="229">
        <v>0.1125</v>
      </c>
      <c r="BQ132" s="230">
        <v>24660</v>
      </c>
      <c r="BR132" s="230">
        <v>17372</v>
      </c>
      <c r="BS132" s="230">
        <v>7287</v>
      </c>
      <c r="BT132" s="229">
        <v>0.41949999999999998</v>
      </c>
      <c r="BU132" s="230">
        <v>671333</v>
      </c>
      <c r="BV132" s="230">
        <v>431232</v>
      </c>
      <c r="BW132" s="230">
        <v>240101</v>
      </c>
      <c r="BX132" s="229">
        <v>0.55679999999999996</v>
      </c>
      <c r="BY132" s="230">
        <v>2713</v>
      </c>
      <c r="BZ132" s="230">
        <v>2607</v>
      </c>
      <c r="CA132" s="228">
        <v>106</v>
      </c>
      <c r="CB132" s="229">
        <v>4.0500000000000001E-2</v>
      </c>
      <c r="CC132" s="228">
        <v>563</v>
      </c>
      <c r="CD132" s="230">
        <v>1031</v>
      </c>
      <c r="CE132" s="228">
        <v>-468</v>
      </c>
      <c r="CF132" s="229">
        <v>-0.45400000000000001</v>
      </c>
      <c r="CG132" s="230">
        <v>2108</v>
      </c>
      <c r="CH132" s="230">
        <v>1538</v>
      </c>
      <c r="CI132" s="228">
        <v>570</v>
      </c>
      <c r="CJ132" s="229">
        <v>0.37080000000000002</v>
      </c>
      <c r="CK132" s="228">
        <v>42</v>
      </c>
      <c r="CL132" s="228">
        <v>38</v>
      </c>
      <c r="CM132" s="228">
        <v>3</v>
      </c>
      <c r="CN132" s="229">
        <v>9.1700000000000004E-2</v>
      </c>
      <c r="CO132" s="230">
        <v>3543</v>
      </c>
      <c r="CP132" s="230">
        <v>3901</v>
      </c>
      <c r="CQ132" s="228">
        <v>-358</v>
      </c>
      <c r="CR132" s="229">
        <v>-9.1800000000000007E-2</v>
      </c>
      <c r="CS132" s="230">
        <v>2215</v>
      </c>
      <c r="CT132" s="230">
        <v>2222</v>
      </c>
      <c r="CU132" s="228">
        <v>-7</v>
      </c>
      <c r="CV132" s="229">
        <v>-3.0000000000000001E-3</v>
      </c>
      <c r="CW132" s="230">
        <v>8471</v>
      </c>
      <c r="CX132" s="230">
        <v>8730</v>
      </c>
      <c r="CY132" s="228">
        <v>-259</v>
      </c>
      <c r="CZ132" s="229">
        <v>-2.9700000000000001E-2</v>
      </c>
      <c r="DA132" s="228">
        <v>41.42</v>
      </c>
      <c r="DB132" s="228">
        <v>39.85</v>
      </c>
      <c r="DC132" s="228">
        <v>1.57</v>
      </c>
      <c r="DD132" s="228">
        <v>1.57</v>
      </c>
      <c r="DE132" s="228">
        <v>47.25</v>
      </c>
      <c r="DF132" s="228">
        <v>47.15</v>
      </c>
      <c r="DG132" s="228">
        <v>-5.83</v>
      </c>
      <c r="DH132" s="228">
        <v>0.1</v>
      </c>
      <c r="DI132" s="228">
        <v>40.96</v>
      </c>
      <c r="DJ132" s="228">
        <v>39.82</v>
      </c>
      <c r="DK132" s="228">
        <v>1.1399999999999999</v>
      </c>
      <c r="DL132" s="228">
        <v>1.1399999999999999</v>
      </c>
      <c r="DM132" s="228">
        <v>42.6</v>
      </c>
      <c r="DN132" s="228">
        <v>39.9</v>
      </c>
      <c r="DO132" s="228">
        <v>2.7</v>
      </c>
      <c r="DP132" s="228">
        <v>2.7</v>
      </c>
      <c r="DQ132" s="228">
        <v>0.63</v>
      </c>
      <c r="DR132" s="228">
        <v>0.56999999999999995</v>
      </c>
      <c r="DS132" s="228">
        <v>0.06</v>
      </c>
      <c r="DT132" s="229">
        <v>0.1053</v>
      </c>
      <c r="DU132" s="231">
        <v>10000</v>
      </c>
      <c r="DV132" s="231">
        <v>8000</v>
      </c>
      <c r="DW132" s="228">
        <v>0.4</v>
      </c>
      <c r="DX132" s="228">
        <v>0.62</v>
      </c>
      <c r="DY132" s="228">
        <v>-0.22</v>
      </c>
      <c r="DZ132" s="229">
        <v>-0.3548</v>
      </c>
      <c r="EA132" s="229">
        <v>0.79249999999999998</v>
      </c>
      <c r="EB132" s="230">
        <v>1692875</v>
      </c>
      <c r="EC132" s="229">
        <v>4.7999999999999996E-3</v>
      </c>
      <c r="ED132" s="229">
        <v>0.79249999999999998</v>
      </c>
      <c r="EE132" s="228">
        <v>47.52</v>
      </c>
      <c r="EF132" s="229">
        <v>5.1000000000000004E-3</v>
      </c>
      <c r="EG132" s="230">
        <v>188279</v>
      </c>
      <c r="EH132" s="230">
        <v>146552</v>
      </c>
      <c r="EI132" s="229">
        <v>0.28470000000000001</v>
      </c>
      <c r="EJ132" s="229">
        <v>0.28050000000000003</v>
      </c>
      <c r="EK132" s="231">
        <v>16455.509999999998</v>
      </c>
      <c r="EL132" s="231">
        <v>6078.23</v>
      </c>
      <c r="EM132" s="231">
        <v>2328.02</v>
      </c>
      <c r="EN132" s="228">
        <v>119.92</v>
      </c>
      <c r="EO132" s="231">
        <v>24861.75</v>
      </c>
      <c r="EP132" s="231">
        <v>17357.419999999998</v>
      </c>
      <c r="EQ132" s="231">
        <v>7504.33</v>
      </c>
      <c r="ER132" s="229">
        <v>0.43230000000000002</v>
      </c>
      <c r="ES132" s="231">
        <v>3650.13</v>
      </c>
      <c r="ET132" s="231">
        <v>2032.23</v>
      </c>
      <c r="EU132" s="231">
        <v>2723.74</v>
      </c>
      <c r="EV132" s="231">
        <v>7635422</v>
      </c>
      <c r="EW132" s="231">
        <v>8406.11</v>
      </c>
      <c r="EX132" s="231">
        <v>8561.09</v>
      </c>
      <c r="EY132" s="228">
        <v>-154.97999999999999</v>
      </c>
      <c r="EZ132" s="229">
        <v>-1.8100000000000002E-2</v>
      </c>
      <c r="FA132" s="229">
        <v>1.1916</v>
      </c>
      <c r="FB132" s="227" t="s">
        <v>555</v>
      </c>
      <c r="FC132">
        <f t="shared" si="2"/>
        <v>2150</v>
      </c>
    </row>
    <row r="133" spans="1:159" ht="17.25" thickBot="1" x14ac:dyDescent="0.3">
      <c r="A133" s="226">
        <v>45957</v>
      </c>
      <c r="B133" s="227" t="s">
        <v>175</v>
      </c>
      <c r="C133" s="227" t="s">
        <v>257</v>
      </c>
      <c r="D133" s="228">
        <v>800</v>
      </c>
      <c r="E133" s="228">
        <v>1</v>
      </c>
      <c r="F133" s="231">
        <v>1512.2</v>
      </c>
      <c r="G133" s="231">
        <v>1517</v>
      </c>
      <c r="H133" s="228">
        <v>-4.8</v>
      </c>
      <c r="I133" s="229">
        <v>-3.2000000000000002E-3</v>
      </c>
      <c r="J133" s="231">
        <v>1513.6</v>
      </c>
      <c r="K133" s="231">
        <v>1518</v>
      </c>
      <c r="L133" s="228">
        <v>-4.4000000000000004</v>
      </c>
      <c r="M133" s="229">
        <v>-2.8999999999999998E-3</v>
      </c>
      <c r="N133" s="231">
        <v>1512.2</v>
      </c>
      <c r="O133" s="231">
        <v>1517</v>
      </c>
      <c r="P133" s="228">
        <v>-4.8</v>
      </c>
      <c r="Q133" s="229">
        <v>-3.2000000000000002E-3</v>
      </c>
      <c r="R133" s="231">
        <v>1521.6</v>
      </c>
      <c r="S133" s="231">
        <v>1525.5</v>
      </c>
      <c r="T133" s="228">
        <v>-3.9</v>
      </c>
      <c r="U133" s="229">
        <v>-2.5999999999999999E-3</v>
      </c>
      <c r="V133" s="231">
        <v>1535.4</v>
      </c>
      <c r="W133" s="231">
        <v>1530.6</v>
      </c>
      <c r="X133" s="228">
        <v>4.8</v>
      </c>
      <c r="Y133" s="229">
        <v>3.0999999999999999E-3</v>
      </c>
      <c r="Z133" s="228">
        <v>-1.4</v>
      </c>
      <c r="AA133" s="228">
        <v>-1</v>
      </c>
      <c r="AB133" s="228">
        <v>-0.4</v>
      </c>
      <c r="AC133" s="229">
        <v>-8.9999999999999998E-4</v>
      </c>
      <c r="AD133" s="228">
        <v>-1.4</v>
      </c>
      <c r="AE133" s="228">
        <v>-1</v>
      </c>
      <c r="AF133" s="228">
        <v>-0.4</v>
      </c>
      <c r="AG133" s="229">
        <v>-8.9999999999999998E-4</v>
      </c>
      <c r="AH133" s="228">
        <v>8</v>
      </c>
      <c r="AI133" s="228">
        <v>7.5</v>
      </c>
      <c r="AJ133" s="228">
        <v>0.5</v>
      </c>
      <c r="AK133" s="229">
        <v>5.3E-3</v>
      </c>
      <c r="AL133" s="228">
        <v>21.8</v>
      </c>
      <c r="AM133" s="228">
        <v>12.6</v>
      </c>
      <c r="AN133" s="228">
        <v>9.1999999999999993</v>
      </c>
      <c r="AO133" s="229">
        <v>1.44E-2</v>
      </c>
      <c r="AP133" s="231">
        <v>1515.49</v>
      </c>
      <c r="AQ133" s="231">
        <v>1524.26</v>
      </c>
      <c r="AR133" s="228">
        <v>0</v>
      </c>
      <c r="AS133" s="228">
        <v>649</v>
      </c>
      <c r="AT133" s="228">
        <v>714</v>
      </c>
      <c r="AU133" s="228">
        <v>-65</v>
      </c>
      <c r="AV133" s="229">
        <v>-9.1600000000000001E-2</v>
      </c>
      <c r="AW133" s="228">
        <v>291</v>
      </c>
      <c r="AX133" s="228">
        <v>352</v>
      </c>
      <c r="AY133" s="228">
        <v>-61</v>
      </c>
      <c r="AZ133" s="229">
        <v>-0.17319999999999999</v>
      </c>
      <c r="BA133" s="228">
        <v>357</v>
      </c>
      <c r="BB133" s="228">
        <v>362</v>
      </c>
      <c r="BC133" s="228">
        <v>-5</v>
      </c>
      <c r="BD133" s="229">
        <v>-1.34E-2</v>
      </c>
      <c r="BE133" s="228">
        <v>1</v>
      </c>
      <c r="BF133" s="228">
        <v>1</v>
      </c>
      <c r="BG133" s="228">
        <v>0</v>
      </c>
      <c r="BH133" s="229">
        <v>0.6</v>
      </c>
      <c r="BI133" s="228">
        <v>371</v>
      </c>
      <c r="BJ133" s="228">
        <v>388</v>
      </c>
      <c r="BK133" s="228">
        <v>-16</v>
      </c>
      <c r="BL133" s="229">
        <v>-4.2099999999999999E-2</v>
      </c>
      <c r="BM133" s="228">
        <v>167</v>
      </c>
      <c r="BN133" s="228">
        <v>181</v>
      </c>
      <c r="BO133" s="228">
        <v>-13</v>
      </c>
      <c r="BP133" s="229">
        <v>-7.3599999999999999E-2</v>
      </c>
      <c r="BQ133" s="230">
        <v>1188</v>
      </c>
      <c r="BR133" s="230">
        <v>1283</v>
      </c>
      <c r="BS133" s="228">
        <v>-95</v>
      </c>
      <c r="BT133" s="229">
        <v>-7.4099999999999999E-2</v>
      </c>
      <c r="BU133" s="230">
        <v>1165785</v>
      </c>
      <c r="BV133" s="230">
        <v>276105</v>
      </c>
      <c r="BW133" s="230">
        <v>889680</v>
      </c>
      <c r="BX133" s="229">
        <v>3.2223000000000002</v>
      </c>
      <c r="BY133" s="228">
        <v>904</v>
      </c>
      <c r="BZ133" s="228">
        <v>887</v>
      </c>
      <c r="CA133" s="228">
        <v>17</v>
      </c>
      <c r="CB133" s="229">
        <v>1.9199999999999998E-2</v>
      </c>
      <c r="CC133" s="228">
        <v>133</v>
      </c>
      <c r="CD133" s="228">
        <v>327</v>
      </c>
      <c r="CE133" s="228">
        <v>-193</v>
      </c>
      <c r="CF133" s="229">
        <v>-0.59189999999999998</v>
      </c>
      <c r="CG133" s="228">
        <v>767</v>
      </c>
      <c r="CH133" s="228">
        <v>557</v>
      </c>
      <c r="CI133" s="228">
        <v>210</v>
      </c>
      <c r="CJ133" s="229">
        <v>0.3765</v>
      </c>
      <c r="CK133" s="228">
        <v>4</v>
      </c>
      <c r="CL133" s="228">
        <v>3</v>
      </c>
      <c r="CM133" s="228">
        <v>1</v>
      </c>
      <c r="CN133" s="229">
        <v>0.22220000000000001</v>
      </c>
      <c r="CO133" s="228">
        <v>254</v>
      </c>
      <c r="CP133" s="228">
        <v>260</v>
      </c>
      <c r="CQ133" s="228">
        <v>-7</v>
      </c>
      <c r="CR133" s="229">
        <v>-2.5100000000000001E-2</v>
      </c>
      <c r="CS133" s="228">
        <v>181</v>
      </c>
      <c r="CT133" s="228">
        <v>197</v>
      </c>
      <c r="CU133" s="228">
        <v>-16</v>
      </c>
      <c r="CV133" s="229">
        <v>-8.2900000000000001E-2</v>
      </c>
      <c r="CW133" s="230">
        <v>1338</v>
      </c>
      <c r="CX133" s="230">
        <v>1344</v>
      </c>
      <c r="CY133" s="228">
        <v>-6</v>
      </c>
      <c r="CZ133" s="229">
        <v>-4.3E-3</v>
      </c>
      <c r="DA133" s="228">
        <v>29.2</v>
      </c>
      <c r="DB133" s="228">
        <v>28.4</v>
      </c>
      <c r="DC133" s="228">
        <v>0.8</v>
      </c>
      <c r="DD133" s="228">
        <v>0.8</v>
      </c>
      <c r="DE133" s="228">
        <v>30.37</v>
      </c>
      <c r="DF133" s="228">
        <v>30.44</v>
      </c>
      <c r="DG133" s="228">
        <v>-1.17</v>
      </c>
      <c r="DH133" s="228">
        <v>-7.0000000000000007E-2</v>
      </c>
      <c r="DI133" s="228">
        <v>29.3</v>
      </c>
      <c r="DJ133" s="228">
        <v>28.66</v>
      </c>
      <c r="DK133" s="228">
        <v>0.64</v>
      </c>
      <c r="DL133" s="228">
        <v>0.64</v>
      </c>
      <c r="DM133" s="228">
        <v>29.04</v>
      </c>
      <c r="DN133" s="228">
        <v>28.07</v>
      </c>
      <c r="DO133" s="228">
        <v>0.97</v>
      </c>
      <c r="DP133" s="228">
        <v>0.97</v>
      </c>
      <c r="DQ133" s="228">
        <v>0.71</v>
      </c>
      <c r="DR133" s="228">
        <v>0.76</v>
      </c>
      <c r="DS133" s="228">
        <v>-0.05</v>
      </c>
      <c r="DT133" s="229">
        <v>-6.5799999999999997E-2</v>
      </c>
      <c r="DU133" s="231">
        <v>1700</v>
      </c>
      <c r="DV133" s="231">
        <v>1460</v>
      </c>
      <c r="DW133" s="228">
        <v>0.45</v>
      </c>
      <c r="DX133" s="228">
        <v>0.47</v>
      </c>
      <c r="DY133" s="228">
        <v>-0.02</v>
      </c>
      <c r="DZ133" s="229">
        <v>-4.2599999999999999E-2</v>
      </c>
      <c r="EA133" s="229">
        <v>0.85250000000000004</v>
      </c>
      <c r="EB133" s="230">
        <v>3704000</v>
      </c>
      <c r="EC133" s="229">
        <v>6.1999999999999998E-3</v>
      </c>
      <c r="ED133" s="229">
        <v>0.85250000000000004</v>
      </c>
      <c r="EE133" s="228">
        <v>8.77</v>
      </c>
      <c r="EF133" s="229">
        <v>5.7999999999999996E-3</v>
      </c>
      <c r="EG133" s="230">
        <v>903822</v>
      </c>
      <c r="EH133" s="230">
        <v>166744</v>
      </c>
      <c r="EI133" s="229">
        <v>4.4203999999999999</v>
      </c>
      <c r="EJ133" s="229">
        <v>0.77529999999999999</v>
      </c>
      <c r="EK133" s="228">
        <v>384.57</v>
      </c>
      <c r="EL133" s="228">
        <v>167.42</v>
      </c>
      <c r="EM133" s="228">
        <v>652.53</v>
      </c>
      <c r="EN133" s="228">
        <v>30.86</v>
      </c>
      <c r="EO133" s="231">
        <v>1204.52</v>
      </c>
      <c r="EP133" s="231">
        <v>1304.73</v>
      </c>
      <c r="EQ133" s="228">
        <v>-100.2</v>
      </c>
      <c r="ER133" s="229">
        <v>-7.6799999999999993E-2</v>
      </c>
      <c r="ES133" s="228">
        <v>273.45</v>
      </c>
      <c r="ET133" s="228">
        <v>180.19</v>
      </c>
      <c r="EU133" s="228">
        <v>908.64</v>
      </c>
      <c r="EV133" s="231">
        <v>34712157</v>
      </c>
      <c r="EW133" s="231">
        <v>1362.27</v>
      </c>
      <c r="EX133" s="231">
        <v>1371.33</v>
      </c>
      <c r="EY133" s="228">
        <v>-9.06</v>
      </c>
      <c r="EZ133" s="229">
        <v>-6.6E-3</v>
      </c>
      <c r="FA133" s="229">
        <v>0.255</v>
      </c>
      <c r="FB133" s="227" t="s">
        <v>567</v>
      </c>
      <c r="FC133">
        <f t="shared" si="2"/>
        <v>771</v>
      </c>
    </row>
    <row r="134" spans="1:159" ht="17.25" thickBot="1" x14ac:dyDescent="0.3">
      <c r="A134" s="226">
        <v>45957</v>
      </c>
      <c r="B134" s="227" t="s">
        <v>181</v>
      </c>
      <c r="C134" s="227" t="s">
        <v>563</v>
      </c>
      <c r="D134" s="228">
        <v>140</v>
      </c>
      <c r="E134" s="228">
        <v>1</v>
      </c>
      <c r="F134" s="231">
        <v>13367.75</v>
      </c>
      <c r="G134" s="231">
        <v>13168.35</v>
      </c>
      <c r="H134" s="228">
        <v>199.4</v>
      </c>
      <c r="I134" s="229">
        <v>1.5100000000000001E-2</v>
      </c>
      <c r="J134" s="231">
        <v>13345.3</v>
      </c>
      <c r="K134" s="231">
        <v>13164.85</v>
      </c>
      <c r="L134" s="228">
        <v>180.45</v>
      </c>
      <c r="M134" s="229">
        <v>1.37E-2</v>
      </c>
      <c r="N134" s="231">
        <v>13367.75</v>
      </c>
      <c r="O134" s="231">
        <v>13168.35</v>
      </c>
      <c r="P134" s="228">
        <v>199.4</v>
      </c>
      <c r="Q134" s="229">
        <v>1.5100000000000001E-2</v>
      </c>
      <c r="R134" s="231">
        <v>13415.75</v>
      </c>
      <c r="S134" s="231">
        <v>13223.45</v>
      </c>
      <c r="T134" s="228">
        <v>192.3</v>
      </c>
      <c r="U134" s="229">
        <v>1.4500000000000001E-2</v>
      </c>
      <c r="V134" s="231">
        <v>13474.1</v>
      </c>
      <c r="W134" s="231">
        <v>13304</v>
      </c>
      <c r="X134" s="228">
        <v>170.1</v>
      </c>
      <c r="Y134" s="229">
        <v>1.2800000000000001E-2</v>
      </c>
      <c r="Z134" s="228">
        <v>22.45</v>
      </c>
      <c r="AA134" s="228">
        <v>3.5</v>
      </c>
      <c r="AB134" s="228">
        <v>18.95</v>
      </c>
      <c r="AC134" s="229">
        <v>1.6999999999999999E-3</v>
      </c>
      <c r="AD134" s="228">
        <v>22.45</v>
      </c>
      <c r="AE134" s="228">
        <v>3.5</v>
      </c>
      <c r="AF134" s="228">
        <v>18.95</v>
      </c>
      <c r="AG134" s="229">
        <v>1.6999999999999999E-3</v>
      </c>
      <c r="AH134" s="228">
        <v>70.45</v>
      </c>
      <c r="AI134" s="228">
        <v>58.6</v>
      </c>
      <c r="AJ134" s="228">
        <v>11.85</v>
      </c>
      <c r="AK134" s="229">
        <v>5.3E-3</v>
      </c>
      <c r="AL134" s="228">
        <v>128.80000000000001</v>
      </c>
      <c r="AM134" s="228">
        <v>139.15</v>
      </c>
      <c r="AN134" s="228">
        <v>-10.35</v>
      </c>
      <c r="AO134" s="229">
        <v>9.7000000000000003E-3</v>
      </c>
      <c r="AP134" s="231">
        <v>13331.23</v>
      </c>
      <c r="AQ134" s="231">
        <v>13383.12</v>
      </c>
      <c r="AR134" s="228">
        <v>0</v>
      </c>
      <c r="AS134" s="230">
        <v>2749</v>
      </c>
      <c r="AT134" s="230">
        <v>3741</v>
      </c>
      <c r="AU134" s="228">
        <v>-992</v>
      </c>
      <c r="AV134" s="229">
        <v>-0.2651</v>
      </c>
      <c r="AW134" s="230">
        <v>1460</v>
      </c>
      <c r="AX134" s="230">
        <v>2308</v>
      </c>
      <c r="AY134" s="228">
        <v>-848</v>
      </c>
      <c r="AZ134" s="229">
        <v>-0.3674</v>
      </c>
      <c r="BA134" s="230">
        <v>1254</v>
      </c>
      <c r="BB134" s="230">
        <v>1409</v>
      </c>
      <c r="BC134" s="228">
        <v>-155</v>
      </c>
      <c r="BD134" s="229">
        <v>-0.11</v>
      </c>
      <c r="BE134" s="228">
        <v>35</v>
      </c>
      <c r="BF134" s="228">
        <v>24</v>
      </c>
      <c r="BG134" s="228">
        <v>11</v>
      </c>
      <c r="BH134" s="229">
        <v>0.48409999999999997</v>
      </c>
      <c r="BI134" s="230">
        <v>227071</v>
      </c>
      <c r="BJ134" s="230">
        <v>185768</v>
      </c>
      <c r="BK134" s="230">
        <v>41303</v>
      </c>
      <c r="BL134" s="229">
        <v>0.2223</v>
      </c>
      <c r="BM134" s="230">
        <v>191637</v>
      </c>
      <c r="BN134" s="230">
        <v>186065</v>
      </c>
      <c r="BO134" s="230">
        <v>5573</v>
      </c>
      <c r="BP134" s="229">
        <v>2.9899999999999999E-2</v>
      </c>
      <c r="BQ134" s="230">
        <v>421457</v>
      </c>
      <c r="BR134" s="230">
        <v>375574</v>
      </c>
      <c r="BS134" s="230">
        <v>45884</v>
      </c>
      <c r="BT134" s="229">
        <v>0.1222</v>
      </c>
      <c r="BU134" s="228">
        <v>0</v>
      </c>
      <c r="BV134" s="228">
        <v>0</v>
      </c>
      <c r="BW134" s="228">
        <v>0</v>
      </c>
      <c r="BX134" s="229">
        <v>0</v>
      </c>
      <c r="BY134" s="230">
        <v>3393</v>
      </c>
      <c r="BZ134" s="230">
        <v>3191</v>
      </c>
      <c r="CA134" s="228">
        <v>202</v>
      </c>
      <c r="CB134" s="229">
        <v>6.3299999999999995E-2</v>
      </c>
      <c r="CC134" s="230">
        <v>1122</v>
      </c>
      <c r="CD134" s="230">
        <v>1709</v>
      </c>
      <c r="CE134" s="228">
        <v>-587</v>
      </c>
      <c r="CF134" s="229">
        <v>-0.34360000000000002</v>
      </c>
      <c r="CG134" s="230">
        <v>2230</v>
      </c>
      <c r="CH134" s="230">
        <v>1445</v>
      </c>
      <c r="CI134" s="228">
        <v>785</v>
      </c>
      <c r="CJ134" s="229">
        <v>0.54290000000000005</v>
      </c>
      <c r="CK134" s="228">
        <v>41</v>
      </c>
      <c r="CL134" s="228">
        <v>36</v>
      </c>
      <c r="CM134" s="228">
        <v>4</v>
      </c>
      <c r="CN134" s="229">
        <v>0.1244</v>
      </c>
      <c r="CO134" s="230">
        <v>17369</v>
      </c>
      <c r="CP134" s="230">
        <v>18395</v>
      </c>
      <c r="CQ134" s="230">
        <v>-1027</v>
      </c>
      <c r="CR134" s="229">
        <v>-5.5800000000000002E-2</v>
      </c>
      <c r="CS134" s="230">
        <v>20708</v>
      </c>
      <c r="CT134" s="230">
        <v>16288</v>
      </c>
      <c r="CU134" s="230">
        <v>4420</v>
      </c>
      <c r="CV134" s="229">
        <v>0.27139999999999997</v>
      </c>
      <c r="CW134" s="230">
        <v>41469</v>
      </c>
      <c r="CX134" s="230">
        <v>37874</v>
      </c>
      <c r="CY134" s="230">
        <v>3595</v>
      </c>
      <c r="CZ134" s="229">
        <v>9.4899999999999998E-2</v>
      </c>
      <c r="DA134" s="228">
        <v>16.63</v>
      </c>
      <c r="DB134" s="228">
        <v>16.3</v>
      </c>
      <c r="DC134" s="228">
        <v>0.33</v>
      </c>
      <c r="DD134" s="228">
        <v>0.33</v>
      </c>
      <c r="DE134" s="228">
        <v>22.7</v>
      </c>
      <c r="DF134" s="228">
        <v>22.66</v>
      </c>
      <c r="DG134" s="228">
        <v>-6.07</v>
      </c>
      <c r="DH134" s="228">
        <v>0.04</v>
      </c>
      <c r="DI134" s="228">
        <v>15.64</v>
      </c>
      <c r="DJ134" s="228">
        <v>15.63</v>
      </c>
      <c r="DK134" s="228">
        <v>0.01</v>
      </c>
      <c r="DL134" s="228">
        <v>0.01</v>
      </c>
      <c r="DM134" s="228">
        <v>17.79</v>
      </c>
      <c r="DN134" s="228">
        <v>16.940000000000001</v>
      </c>
      <c r="DO134" s="228">
        <v>0.85</v>
      </c>
      <c r="DP134" s="228">
        <v>0.85</v>
      </c>
      <c r="DQ134" s="228">
        <v>1.19</v>
      </c>
      <c r="DR134" s="228">
        <v>0.89</v>
      </c>
      <c r="DS134" s="228">
        <v>0.3</v>
      </c>
      <c r="DT134" s="229">
        <v>0.33710000000000001</v>
      </c>
      <c r="DU134" s="231">
        <v>13400</v>
      </c>
      <c r="DV134" s="231">
        <v>13300</v>
      </c>
      <c r="DW134" s="228">
        <v>0.84</v>
      </c>
      <c r="DX134" s="228">
        <v>1</v>
      </c>
      <c r="DY134" s="228">
        <v>-0.16</v>
      </c>
      <c r="DZ134" s="229">
        <v>-0.16</v>
      </c>
      <c r="EA134" s="229">
        <v>0.66930000000000001</v>
      </c>
      <c r="EB134" s="230">
        <v>1108240</v>
      </c>
      <c r="EC134" s="229">
        <v>3.5999999999999999E-3</v>
      </c>
      <c r="ED134" s="229">
        <v>0.66930000000000001</v>
      </c>
      <c r="EE134" s="228">
        <v>51.89</v>
      </c>
      <c r="EF134" s="229">
        <v>3.8999999999999998E-3</v>
      </c>
      <c r="EG134" s="228">
        <v>0</v>
      </c>
      <c r="EH134" s="228">
        <v>0</v>
      </c>
      <c r="EI134" s="229">
        <v>0</v>
      </c>
      <c r="EJ134" s="229">
        <v>0</v>
      </c>
      <c r="EK134" s="231">
        <v>228396.35</v>
      </c>
      <c r="EL134" s="231">
        <v>188994.5</v>
      </c>
      <c r="EM134" s="231">
        <v>2746.85</v>
      </c>
      <c r="EN134" s="228">
        <v>0</v>
      </c>
      <c r="EO134" s="231">
        <v>420137.7</v>
      </c>
      <c r="EP134" s="231">
        <v>372200.81</v>
      </c>
      <c r="EQ134" s="231">
        <v>47936.89</v>
      </c>
      <c r="ER134" s="229">
        <v>0.1288</v>
      </c>
      <c r="ES134" s="231">
        <v>17469.71</v>
      </c>
      <c r="ET134" s="231">
        <v>20081.919999999998</v>
      </c>
      <c r="EU134" s="231">
        <v>3401.15</v>
      </c>
      <c r="EV134" s="228">
        <v>0</v>
      </c>
      <c r="EW134" s="231">
        <v>40952.78</v>
      </c>
      <c r="EX134" s="231">
        <v>37220.980000000003</v>
      </c>
      <c r="EY134" s="231">
        <v>3731.8</v>
      </c>
      <c r="EZ134" s="229">
        <v>0.1003</v>
      </c>
      <c r="FA134" s="229">
        <v>0</v>
      </c>
      <c r="FB134" s="227" t="s">
        <v>555</v>
      </c>
      <c r="FC134">
        <f t="shared" si="2"/>
        <v>2271</v>
      </c>
    </row>
    <row r="135" spans="1:159" ht="17.25" thickBot="1" x14ac:dyDescent="0.3">
      <c r="A135" s="226">
        <v>45957</v>
      </c>
      <c r="B135" s="227" t="s">
        <v>162</v>
      </c>
      <c r="C135" s="227" t="s">
        <v>559</v>
      </c>
      <c r="D135" s="228">
        <v>6150</v>
      </c>
      <c r="E135" s="228">
        <v>1</v>
      </c>
      <c r="F135" s="228">
        <v>107.08</v>
      </c>
      <c r="G135" s="228">
        <v>106.13</v>
      </c>
      <c r="H135" s="228">
        <v>0.95</v>
      </c>
      <c r="I135" s="229">
        <v>8.9999999999999993E-3</v>
      </c>
      <c r="J135" s="228">
        <v>106.93</v>
      </c>
      <c r="K135" s="228">
        <v>106.25</v>
      </c>
      <c r="L135" s="228">
        <v>0.68</v>
      </c>
      <c r="M135" s="229">
        <v>6.4000000000000003E-3</v>
      </c>
      <c r="N135" s="228">
        <v>107.08</v>
      </c>
      <c r="O135" s="228">
        <v>106.13</v>
      </c>
      <c r="P135" s="228">
        <v>0.95</v>
      </c>
      <c r="Q135" s="229">
        <v>8.9999999999999993E-3</v>
      </c>
      <c r="R135" s="228">
        <v>107.66</v>
      </c>
      <c r="S135" s="228">
        <v>106.7</v>
      </c>
      <c r="T135" s="228">
        <v>0.96</v>
      </c>
      <c r="U135" s="229">
        <v>8.9999999999999993E-3</v>
      </c>
      <c r="V135" s="228">
        <v>108.33</v>
      </c>
      <c r="W135" s="228">
        <v>107.43</v>
      </c>
      <c r="X135" s="228">
        <v>0.9</v>
      </c>
      <c r="Y135" s="229">
        <v>8.3999999999999995E-3</v>
      </c>
      <c r="Z135" s="228">
        <v>0.15</v>
      </c>
      <c r="AA135" s="228">
        <v>-0.12</v>
      </c>
      <c r="AB135" s="228">
        <v>0.27</v>
      </c>
      <c r="AC135" s="229">
        <v>1.4E-3</v>
      </c>
      <c r="AD135" s="228">
        <v>0.15</v>
      </c>
      <c r="AE135" s="228">
        <v>-0.12</v>
      </c>
      <c r="AF135" s="228">
        <v>0.27</v>
      </c>
      <c r="AG135" s="229">
        <v>1.4E-3</v>
      </c>
      <c r="AH135" s="228">
        <v>0.73</v>
      </c>
      <c r="AI135" s="228">
        <v>0.45</v>
      </c>
      <c r="AJ135" s="228">
        <v>0.28000000000000003</v>
      </c>
      <c r="AK135" s="229">
        <v>6.7999999999999996E-3</v>
      </c>
      <c r="AL135" s="228">
        <v>1.4</v>
      </c>
      <c r="AM135" s="228">
        <v>1.18</v>
      </c>
      <c r="AN135" s="228">
        <v>0.22</v>
      </c>
      <c r="AO135" s="229">
        <v>1.3100000000000001E-2</v>
      </c>
      <c r="AP135" s="228">
        <v>106.73</v>
      </c>
      <c r="AQ135" s="228">
        <v>107.33</v>
      </c>
      <c r="AR135" s="228">
        <v>0</v>
      </c>
      <c r="AS135" s="230">
        <v>1164</v>
      </c>
      <c r="AT135" s="230">
        <v>1294</v>
      </c>
      <c r="AU135" s="228">
        <v>-130</v>
      </c>
      <c r="AV135" s="229">
        <v>-0.1003</v>
      </c>
      <c r="AW135" s="228">
        <v>572</v>
      </c>
      <c r="AX135" s="228">
        <v>640</v>
      </c>
      <c r="AY135" s="228">
        <v>-68</v>
      </c>
      <c r="AZ135" s="229">
        <v>-0.1066</v>
      </c>
      <c r="BA135" s="228">
        <v>582</v>
      </c>
      <c r="BB135" s="228">
        <v>648</v>
      </c>
      <c r="BC135" s="228">
        <v>-66</v>
      </c>
      <c r="BD135" s="229">
        <v>-0.1013</v>
      </c>
      <c r="BE135" s="228">
        <v>10</v>
      </c>
      <c r="BF135" s="228">
        <v>6</v>
      </c>
      <c r="BG135" s="228">
        <v>4</v>
      </c>
      <c r="BH135" s="229">
        <v>0.67390000000000005</v>
      </c>
      <c r="BI135" s="228">
        <v>470</v>
      </c>
      <c r="BJ135" s="228">
        <v>725</v>
      </c>
      <c r="BK135" s="228">
        <v>-254</v>
      </c>
      <c r="BL135" s="229">
        <v>-0.35110000000000002</v>
      </c>
      <c r="BM135" s="228">
        <v>258</v>
      </c>
      <c r="BN135" s="228">
        <v>300</v>
      </c>
      <c r="BO135" s="228">
        <v>-41</v>
      </c>
      <c r="BP135" s="229">
        <v>-0.13830000000000001</v>
      </c>
      <c r="BQ135" s="230">
        <v>1893</v>
      </c>
      <c r="BR135" s="230">
        <v>2318</v>
      </c>
      <c r="BS135" s="228">
        <v>-426</v>
      </c>
      <c r="BT135" s="229">
        <v>-0.18360000000000001</v>
      </c>
      <c r="BU135" s="230">
        <v>9306770</v>
      </c>
      <c r="BV135" s="230">
        <v>12524491</v>
      </c>
      <c r="BW135" s="230">
        <v>-3217721</v>
      </c>
      <c r="BX135" s="229">
        <v>-0.25690000000000002</v>
      </c>
      <c r="BY135" s="230">
        <v>1788</v>
      </c>
      <c r="BZ135" s="230">
        <v>1816</v>
      </c>
      <c r="CA135" s="228">
        <v>-28</v>
      </c>
      <c r="CB135" s="229">
        <v>-1.54E-2</v>
      </c>
      <c r="CC135" s="228">
        <v>322</v>
      </c>
      <c r="CD135" s="228">
        <v>767</v>
      </c>
      <c r="CE135" s="228">
        <v>-446</v>
      </c>
      <c r="CF135" s="229">
        <v>-0.5806</v>
      </c>
      <c r="CG135" s="230">
        <v>1447</v>
      </c>
      <c r="CH135" s="230">
        <v>1031</v>
      </c>
      <c r="CI135" s="228">
        <v>416</v>
      </c>
      <c r="CJ135" s="229">
        <v>0.40289999999999998</v>
      </c>
      <c r="CK135" s="228">
        <v>19</v>
      </c>
      <c r="CL135" s="228">
        <v>17</v>
      </c>
      <c r="CM135" s="228">
        <v>2</v>
      </c>
      <c r="CN135" s="229">
        <v>0.11360000000000001</v>
      </c>
      <c r="CO135" s="228">
        <v>976</v>
      </c>
      <c r="CP135" s="230">
        <v>1019</v>
      </c>
      <c r="CQ135" s="228">
        <v>-43</v>
      </c>
      <c r="CR135" s="229">
        <v>-4.1799999999999997E-2</v>
      </c>
      <c r="CS135" s="228">
        <v>503</v>
      </c>
      <c r="CT135" s="228">
        <v>496</v>
      </c>
      <c r="CU135" s="228">
        <v>7</v>
      </c>
      <c r="CV135" s="229">
        <v>1.4200000000000001E-2</v>
      </c>
      <c r="CW135" s="230">
        <v>3267</v>
      </c>
      <c r="CX135" s="230">
        <v>3331</v>
      </c>
      <c r="CY135" s="228">
        <v>-64</v>
      </c>
      <c r="CZ135" s="229">
        <v>-1.9099999999999999E-2</v>
      </c>
      <c r="DA135" s="228">
        <v>38.11</v>
      </c>
      <c r="DB135" s="228">
        <v>38.92</v>
      </c>
      <c r="DC135" s="228">
        <v>-0.81</v>
      </c>
      <c r="DD135" s="228">
        <v>-0.81</v>
      </c>
      <c r="DE135" s="228">
        <v>40.69</v>
      </c>
      <c r="DF135" s="228">
        <v>40.78</v>
      </c>
      <c r="DG135" s="228">
        <v>-2.58</v>
      </c>
      <c r="DH135" s="228">
        <v>-0.09</v>
      </c>
      <c r="DI135" s="228">
        <v>38.450000000000003</v>
      </c>
      <c r="DJ135" s="228">
        <v>39.29</v>
      </c>
      <c r="DK135" s="228">
        <v>-0.84</v>
      </c>
      <c r="DL135" s="228">
        <v>-0.84</v>
      </c>
      <c r="DM135" s="228">
        <v>37.4</v>
      </c>
      <c r="DN135" s="228">
        <v>37.65</v>
      </c>
      <c r="DO135" s="228">
        <v>-0.25</v>
      </c>
      <c r="DP135" s="228">
        <v>-0.25</v>
      </c>
      <c r="DQ135" s="228">
        <v>0.52</v>
      </c>
      <c r="DR135" s="228">
        <v>0.49</v>
      </c>
      <c r="DS135" s="228">
        <v>0.03</v>
      </c>
      <c r="DT135" s="229">
        <v>6.1199999999999997E-2</v>
      </c>
      <c r="DU135" s="228">
        <v>115</v>
      </c>
      <c r="DV135" s="228">
        <v>100</v>
      </c>
      <c r="DW135" s="228">
        <v>0.55000000000000004</v>
      </c>
      <c r="DX135" s="228">
        <v>0.41</v>
      </c>
      <c r="DY135" s="228">
        <v>0.14000000000000001</v>
      </c>
      <c r="DZ135" s="229">
        <v>0.34150000000000003</v>
      </c>
      <c r="EA135" s="229">
        <v>0.82</v>
      </c>
      <c r="EB135" s="230">
        <v>97938750</v>
      </c>
      <c r="EC135" s="229">
        <v>5.4000000000000003E-3</v>
      </c>
      <c r="ED135" s="229">
        <v>0.82</v>
      </c>
      <c r="EE135" s="228">
        <v>0.6</v>
      </c>
      <c r="EF135" s="229">
        <v>5.5999999999999999E-3</v>
      </c>
      <c r="EG135" s="230">
        <v>4711082</v>
      </c>
      <c r="EH135" s="230">
        <v>5747114</v>
      </c>
      <c r="EI135" s="229">
        <v>-0.18029999999999999</v>
      </c>
      <c r="EJ135" s="229">
        <v>0.50619999999999998</v>
      </c>
      <c r="EK135" s="228">
        <v>490.58</v>
      </c>
      <c r="EL135" s="228">
        <v>256.07</v>
      </c>
      <c r="EM135" s="231">
        <v>1163.73</v>
      </c>
      <c r="EN135" s="228">
        <v>106.06</v>
      </c>
      <c r="EO135" s="231">
        <v>1910.37</v>
      </c>
      <c r="EP135" s="231">
        <v>2346.84</v>
      </c>
      <c r="EQ135" s="228">
        <v>-436.46</v>
      </c>
      <c r="ER135" s="229">
        <v>-0.186</v>
      </c>
      <c r="ES135" s="231">
        <v>1029.47</v>
      </c>
      <c r="ET135" s="228">
        <v>484.66</v>
      </c>
      <c r="EU135" s="231">
        <v>1796.14</v>
      </c>
      <c r="EV135" s="231">
        <v>542522848</v>
      </c>
      <c r="EW135" s="231">
        <v>3310.26</v>
      </c>
      <c r="EX135" s="231">
        <v>3356.27</v>
      </c>
      <c r="EY135" s="228">
        <v>-46.01</v>
      </c>
      <c r="EZ135" s="229">
        <v>-1.37E-2</v>
      </c>
      <c r="FA135" s="229">
        <v>0.5625</v>
      </c>
      <c r="FB135" s="227" t="s">
        <v>556</v>
      </c>
      <c r="FC135">
        <f t="shared" si="2"/>
        <v>1466</v>
      </c>
    </row>
    <row r="136" spans="1:159" ht="17.25" thickBot="1" x14ac:dyDescent="0.3">
      <c r="A136" s="226">
        <v>45957</v>
      </c>
      <c r="B136" s="227" t="s">
        <v>221</v>
      </c>
      <c r="C136" s="227" t="s">
        <v>487</v>
      </c>
      <c r="D136" s="228">
        <v>275</v>
      </c>
      <c r="E136" s="228">
        <v>1</v>
      </c>
      <c r="F136" s="231">
        <v>2889.3</v>
      </c>
      <c r="G136" s="231">
        <v>2815.3</v>
      </c>
      <c r="H136" s="228">
        <v>74</v>
      </c>
      <c r="I136" s="229">
        <v>2.63E-2</v>
      </c>
      <c r="J136" s="231">
        <v>2888.7</v>
      </c>
      <c r="K136" s="231">
        <v>2818.9</v>
      </c>
      <c r="L136" s="228">
        <v>69.8</v>
      </c>
      <c r="M136" s="229">
        <v>2.4799999999999999E-2</v>
      </c>
      <c r="N136" s="231">
        <v>2889.3</v>
      </c>
      <c r="O136" s="231">
        <v>2815.3</v>
      </c>
      <c r="P136" s="228">
        <v>74</v>
      </c>
      <c r="Q136" s="229">
        <v>2.63E-2</v>
      </c>
      <c r="R136" s="231">
        <v>2904.5</v>
      </c>
      <c r="S136" s="231">
        <v>2830.2</v>
      </c>
      <c r="T136" s="228">
        <v>74.3</v>
      </c>
      <c r="U136" s="229">
        <v>2.63E-2</v>
      </c>
      <c r="V136" s="231">
        <v>2923.9</v>
      </c>
      <c r="W136" s="231">
        <v>2850</v>
      </c>
      <c r="X136" s="228">
        <v>73.900000000000006</v>
      </c>
      <c r="Y136" s="229">
        <v>2.5899999999999999E-2</v>
      </c>
      <c r="Z136" s="228">
        <v>0.6</v>
      </c>
      <c r="AA136" s="228">
        <v>-3.6</v>
      </c>
      <c r="AB136" s="228">
        <v>4.2</v>
      </c>
      <c r="AC136" s="229">
        <v>2.0000000000000001E-4</v>
      </c>
      <c r="AD136" s="228">
        <v>0.6</v>
      </c>
      <c r="AE136" s="228">
        <v>-3.6</v>
      </c>
      <c r="AF136" s="228">
        <v>4.2</v>
      </c>
      <c r="AG136" s="229">
        <v>2.0000000000000001E-4</v>
      </c>
      <c r="AH136" s="228">
        <v>15.8</v>
      </c>
      <c r="AI136" s="228">
        <v>11.3</v>
      </c>
      <c r="AJ136" s="228">
        <v>4.5</v>
      </c>
      <c r="AK136" s="229">
        <v>5.4999999999999997E-3</v>
      </c>
      <c r="AL136" s="228">
        <v>35.200000000000003</v>
      </c>
      <c r="AM136" s="228">
        <v>31.1</v>
      </c>
      <c r="AN136" s="228">
        <v>4.0999999999999996</v>
      </c>
      <c r="AO136" s="229">
        <v>1.2200000000000001E-2</v>
      </c>
      <c r="AP136" s="231">
        <v>2883.19</v>
      </c>
      <c r="AQ136" s="231">
        <v>2900.9</v>
      </c>
      <c r="AR136" s="228">
        <v>0</v>
      </c>
      <c r="AS136" s="230">
        <v>1021</v>
      </c>
      <c r="AT136" s="230">
        <v>1042</v>
      </c>
      <c r="AU136" s="228">
        <v>-20</v>
      </c>
      <c r="AV136" s="229">
        <v>-1.95E-2</v>
      </c>
      <c r="AW136" s="228">
        <v>474</v>
      </c>
      <c r="AX136" s="228">
        <v>534</v>
      </c>
      <c r="AY136" s="228">
        <v>-61</v>
      </c>
      <c r="AZ136" s="229">
        <v>-0.1133</v>
      </c>
      <c r="BA136" s="228">
        <v>539</v>
      </c>
      <c r="BB136" s="228">
        <v>506</v>
      </c>
      <c r="BC136" s="228">
        <v>33</v>
      </c>
      <c r="BD136" s="229">
        <v>6.5500000000000003E-2</v>
      </c>
      <c r="BE136" s="228">
        <v>9</v>
      </c>
      <c r="BF136" s="228">
        <v>1</v>
      </c>
      <c r="BG136" s="228">
        <v>7</v>
      </c>
      <c r="BH136" s="229">
        <v>5</v>
      </c>
      <c r="BI136" s="230">
        <v>1066</v>
      </c>
      <c r="BJ136" s="228">
        <v>682</v>
      </c>
      <c r="BK136" s="228">
        <v>384</v>
      </c>
      <c r="BL136" s="229">
        <v>0.56359999999999999</v>
      </c>
      <c r="BM136" s="228">
        <v>393</v>
      </c>
      <c r="BN136" s="228">
        <v>260</v>
      </c>
      <c r="BO136" s="228">
        <v>133</v>
      </c>
      <c r="BP136" s="229">
        <v>0.51239999999999997</v>
      </c>
      <c r="BQ136" s="230">
        <v>2481</v>
      </c>
      <c r="BR136" s="230">
        <v>1984</v>
      </c>
      <c r="BS136" s="228">
        <v>497</v>
      </c>
      <c r="BT136" s="229">
        <v>0.25069999999999998</v>
      </c>
      <c r="BU136" s="230">
        <v>397604</v>
      </c>
      <c r="BV136" s="230">
        <v>244291</v>
      </c>
      <c r="BW136" s="230">
        <v>153313</v>
      </c>
      <c r="BX136" s="229">
        <v>0.62760000000000005</v>
      </c>
      <c r="BY136" s="230">
        <v>1231</v>
      </c>
      <c r="BZ136" s="230">
        <v>1192</v>
      </c>
      <c r="CA136" s="228">
        <v>40</v>
      </c>
      <c r="CB136" s="229">
        <v>3.3300000000000003E-2</v>
      </c>
      <c r="CC136" s="228">
        <v>262</v>
      </c>
      <c r="CD136" s="228">
        <v>520</v>
      </c>
      <c r="CE136" s="228">
        <v>-257</v>
      </c>
      <c r="CF136" s="229">
        <v>-0.49490000000000001</v>
      </c>
      <c r="CG136" s="228">
        <v>962</v>
      </c>
      <c r="CH136" s="228">
        <v>669</v>
      </c>
      <c r="CI136" s="228">
        <v>293</v>
      </c>
      <c r="CJ136" s="229">
        <v>0.43819999999999998</v>
      </c>
      <c r="CK136" s="228">
        <v>7</v>
      </c>
      <c r="CL136" s="228">
        <v>3</v>
      </c>
      <c r="CM136" s="228">
        <v>4</v>
      </c>
      <c r="CN136" s="229">
        <v>1.1537999999999999</v>
      </c>
      <c r="CO136" s="228">
        <v>250</v>
      </c>
      <c r="CP136" s="228">
        <v>345</v>
      </c>
      <c r="CQ136" s="228">
        <v>-94</v>
      </c>
      <c r="CR136" s="229">
        <v>-0.2737</v>
      </c>
      <c r="CS136" s="228">
        <v>227</v>
      </c>
      <c r="CT136" s="228">
        <v>222</v>
      </c>
      <c r="CU136" s="228">
        <v>4</v>
      </c>
      <c r="CV136" s="229">
        <v>1.8599999999999998E-2</v>
      </c>
      <c r="CW136" s="230">
        <v>1708</v>
      </c>
      <c r="CX136" s="230">
        <v>1759</v>
      </c>
      <c r="CY136" s="228">
        <v>-51</v>
      </c>
      <c r="CZ136" s="229">
        <v>-2.8799999999999999E-2</v>
      </c>
      <c r="DA136" s="228">
        <v>33</v>
      </c>
      <c r="DB136" s="228">
        <v>31.98</v>
      </c>
      <c r="DC136" s="228">
        <v>1.02</v>
      </c>
      <c r="DD136" s="228">
        <v>1.02</v>
      </c>
      <c r="DE136" s="228">
        <v>37.58</v>
      </c>
      <c r="DF136" s="228">
        <v>37.520000000000003</v>
      </c>
      <c r="DG136" s="228">
        <v>-4.58</v>
      </c>
      <c r="DH136" s="228">
        <v>0.06</v>
      </c>
      <c r="DI136" s="228">
        <v>33.03</v>
      </c>
      <c r="DJ136" s="228">
        <v>32.17</v>
      </c>
      <c r="DK136" s="228">
        <v>0.86</v>
      </c>
      <c r="DL136" s="228">
        <v>0.86</v>
      </c>
      <c r="DM136" s="228">
        <v>32.96</v>
      </c>
      <c r="DN136" s="228">
        <v>31.78</v>
      </c>
      <c r="DO136" s="228">
        <v>1.18</v>
      </c>
      <c r="DP136" s="228">
        <v>1.18</v>
      </c>
      <c r="DQ136" s="228">
        <v>0.9</v>
      </c>
      <c r="DR136" s="228">
        <v>0.65</v>
      </c>
      <c r="DS136" s="228">
        <v>0.25</v>
      </c>
      <c r="DT136" s="229">
        <v>0.3846</v>
      </c>
      <c r="DU136" s="231">
        <v>3000</v>
      </c>
      <c r="DV136" s="231">
        <v>2800</v>
      </c>
      <c r="DW136" s="228">
        <v>0.37</v>
      </c>
      <c r="DX136" s="228">
        <v>0.38</v>
      </c>
      <c r="DY136" s="228">
        <v>-0.01</v>
      </c>
      <c r="DZ136" s="229">
        <v>-2.63E-2</v>
      </c>
      <c r="EA136" s="229">
        <v>0.78690000000000004</v>
      </c>
      <c r="EB136" s="230">
        <v>2326500</v>
      </c>
      <c r="EC136" s="229">
        <v>5.3E-3</v>
      </c>
      <c r="ED136" s="229">
        <v>0.78690000000000004</v>
      </c>
      <c r="EE136" s="228">
        <v>17.71</v>
      </c>
      <c r="EF136" s="229">
        <v>6.1000000000000004E-3</v>
      </c>
      <c r="EG136" s="230">
        <v>129952</v>
      </c>
      <c r="EH136" s="230">
        <v>122986</v>
      </c>
      <c r="EI136" s="229">
        <v>5.6599999999999998E-2</v>
      </c>
      <c r="EJ136" s="229">
        <v>0.32679999999999998</v>
      </c>
      <c r="EK136" s="231">
        <v>1091.06</v>
      </c>
      <c r="EL136" s="228">
        <v>382.1</v>
      </c>
      <c r="EM136" s="231">
        <v>1022.54</v>
      </c>
      <c r="EN136" s="228">
        <v>64.5</v>
      </c>
      <c r="EO136" s="231">
        <v>2495.6999999999998</v>
      </c>
      <c r="EP136" s="231">
        <v>1956.11</v>
      </c>
      <c r="EQ136" s="228">
        <v>539.59</v>
      </c>
      <c r="ER136" s="229">
        <v>0.27579999999999999</v>
      </c>
      <c r="ES136" s="228">
        <v>255.18</v>
      </c>
      <c r="ET136" s="228">
        <v>211.33</v>
      </c>
      <c r="EU136" s="231">
        <v>1236.55</v>
      </c>
      <c r="EV136" s="231">
        <v>14652855</v>
      </c>
      <c r="EW136" s="231">
        <v>1703.06</v>
      </c>
      <c r="EX136" s="231">
        <v>1720.16</v>
      </c>
      <c r="EY136" s="228">
        <v>-17.100000000000001</v>
      </c>
      <c r="EZ136" s="229">
        <v>-9.9000000000000008E-3</v>
      </c>
      <c r="FA136" s="229">
        <v>0.40350000000000003</v>
      </c>
      <c r="FB136" s="227" t="s">
        <v>555</v>
      </c>
      <c r="FC136">
        <f t="shared" si="2"/>
        <v>969</v>
      </c>
    </row>
    <row r="137" spans="1:159" ht="17.25" thickBot="1" x14ac:dyDescent="0.3">
      <c r="A137" s="226">
        <v>45957</v>
      </c>
      <c r="B137" s="227" t="s">
        <v>175</v>
      </c>
      <c r="C137" s="227" t="s">
        <v>262</v>
      </c>
      <c r="D137" s="228">
        <v>275</v>
      </c>
      <c r="E137" s="228">
        <v>1</v>
      </c>
      <c r="F137" s="231">
        <v>3153.7</v>
      </c>
      <c r="G137" s="231">
        <v>3167.7</v>
      </c>
      <c r="H137" s="228">
        <v>-14</v>
      </c>
      <c r="I137" s="229">
        <v>-4.4000000000000003E-3</v>
      </c>
      <c r="J137" s="231">
        <v>3145.9</v>
      </c>
      <c r="K137" s="231">
        <v>3163.1</v>
      </c>
      <c r="L137" s="228">
        <v>-17.2</v>
      </c>
      <c r="M137" s="229">
        <v>-5.4000000000000003E-3</v>
      </c>
      <c r="N137" s="231">
        <v>3153.7</v>
      </c>
      <c r="O137" s="231">
        <v>3167.7</v>
      </c>
      <c r="P137" s="228">
        <v>-14</v>
      </c>
      <c r="Q137" s="229">
        <v>-4.4000000000000003E-3</v>
      </c>
      <c r="R137" s="231">
        <v>3166.3</v>
      </c>
      <c r="S137" s="231">
        <v>3185.2</v>
      </c>
      <c r="T137" s="228">
        <v>-18.899999999999999</v>
      </c>
      <c r="U137" s="229">
        <v>-5.8999999999999999E-3</v>
      </c>
      <c r="V137" s="231">
        <v>3186.1</v>
      </c>
      <c r="W137" s="231">
        <v>3201.7</v>
      </c>
      <c r="X137" s="228">
        <v>-15.6</v>
      </c>
      <c r="Y137" s="229">
        <v>-4.8999999999999998E-3</v>
      </c>
      <c r="Z137" s="228">
        <v>7.8</v>
      </c>
      <c r="AA137" s="228">
        <v>4.5999999999999996</v>
      </c>
      <c r="AB137" s="228">
        <v>3.2</v>
      </c>
      <c r="AC137" s="229">
        <v>2.5000000000000001E-3</v>
      </c>
      <c r="AD137" s="228">
        <v>7.8</v>
      </c>
      <c r="AE137" s="228">
        <v>4.5999999999999996</v>
      </c>
      <c r="AF137" s="228">
        <v>3.2</v>
      </c>
      <c r="AG137" s="229">
        <v>2.5000000000000001E-3</v>
      </c>
      <c r="AH137" s="228">
        <v>20.399999999999999</v>
      </c>
      <c r="AI137" s="228">
        <v>22.1</v>
      </c>
      <c r="AJ137" s="228">
        <v>-1.7</v>
      </c>
      <c r="AK137" s="229">
        <v>6.4999999999999997E-3</v>
      </c>
      <c r="AL137" s="228">
        <v>40.200000000000003</v>
      </c>
      <c r="AM137" s="228">
        <v>38.6</v>
      </c>
      <c r="AN137" s="228">
        <v>1.6</v>
      </c>
      <c r="AO137" s="229">
        <v>1.2800000000000001E-2</v>
      </c>
      <c r="AP137" s="231">
        <v>3158.38</v>
      </c>
      <c r="AQ137" s="231">
        <v>3174.05</v>
      </c>
      <c r="AR137" s="228">
        <v>0</v>
      </c>
      <c r="AS137" s="228">
        <v>740</v>
      </c>
      <c r="AT137" s="230">
        <v>1096</v>
      </c>
      <c r="AU137" s="228">
        <v>-356</v>
      </c>
      <c r="AV137" s="229">
        <v>-0.3246</v>
      </c>
      <c r="AW137" s="228">
        <v>332</v>
      </c>
      <c r="AX137" s="228">
        <v>525</v>
      </c>
      <c r="AY137" s="228">
        <v>-193</v>
      </c>
      <c r="AZ137" s="229">
        <v>-0.36680000000000001</v>
      </c>
      <c r="BA137" s="228">
        <v>403</v>
      </c>
      <c r="BB137" s="228">
        <v>567</v>
      </c>
      <c r="BC137" s="228">
        <v>-164</v>
      </c>
      <c r="BD137" s="229">
        <v>-0.28960000000000002</v>
      </c>
      <c r="BE137" s="228">
        <v>5</v>
      </c>
      <c r="BF137" s="228">
        <v>3</v>
      </c>
      <c r="BG137" s="228">
        <v>1</v>
      </c>
      <c r="BH137" s="229">
        <v>0.32500000000000001</v>
      </c>
      <c r="BI137" s="230">
        <v>1132</v>
      </c>
      <c r="BJ137" s="230">
        <v>2743</v>
      </c>
      <c r="BK137" s="230">
        <v>-1612</v>
      </c>
      <c r="BL137" s="229">
        <v>-0.58750000000000002</v>
      </c>
      <c r="BM137" s="228">
        <v>875</v>
      </c>
      <c r="BN137" s="230">
        <v>2070</v>
      </c>
      <c r="BO137" s="230">
        <v>-1195</v>
      </c>
      <c r="BP137" s="229">
        <v>-0.57730000000000004</v>
      </c>
      <c r="BQ137" s="230">
        <v>2746</v>
      </c>
      <c r="BR137" s="230">
        <v>5909</v>
      </c>
      <c r="BS137" s="230">
        <v>-3162</v>
      </c>
      <c r="BT137" s="229">
        <v>-0.53520000000000001</v>
      </c>
      <c r="BU137" s="230">
        <v>475017</v>
      </c>
      <c r="BV137" s="230">
        <v>631921</v>
      </c>
      <c r="BW137" s="230">
        <v>-156904</v>
      </c>
      <c r="BX137" s="229">
        <v>-0.24829999999999999</v>
      </c>
      <c r="BY137" s="230">
        <v>1015</v>
      </c>
      <c r="BZ137" s="230">
        <v>1006</v>
      </c>
      <c r="CA137" s="228">
        <v>10</v>
      </c>
      <c r="CB137" s="229">
        <v>9.7000000000000003E-3</v>
      </c>
      <c r="CC137" s="228">
        <v>185</v>
      </c>
      <c r="CD137" s="228">
        <v>363</v>
      </c>
      <c r="CE137" s="228">
        <v>-178</v>
      </c>
      <c r="CF137" s="229">
        <v>-0.49059999999999998</v>
      </c>
      <c r="CG137" s="228">
        <v>821</v>
      </c>
      <c r="CH137" s="228">
        <v>634</v>
      </c>
      <c r="CI137" s="228">
        <v>187</v>
      </c>
      <c r="CJ137" s="229">
        <v>0.29430000000000001</v>
      </c>
      <c r="CK137" s="228">
        <v>9</v>
      </c>
      <c r="CL137" s="228">
        <v>8</v>
      </c>
      <c r="CM137" s="228">
        <v>1</v>
      </c>
      <c r="CN137" s="229">
        <v>0.11219999999999999</v>
      </c>
      <c r="CO137" s="228">
        <v>896</v>
      </c>
      <c r="CP137" s="230">
        <v>1043</v>
      </c>
      <c r="CQ137" s="228">
        <v>-147</v>
      </c>
      <c r="CR137" s="229">
        <v>-0.14119999999999999</v>
      </c>
      <c r="CS137" s="228">
        <v>566</v>
      </c>
      <c r="CT137" s="228">
        <v>661</v>
      </c>
      <c r="CU137" s="228">
        <v>-95</v>
      </c>
      <c r="CV137" s="229">
        <v>-0.14419999999999999</v>
      </c>
      <c r="CW137" s="230">
        <v>2477</v>
      </c>
      <c r="CX137" s="230">
        <v>2710</v>
      </c>
      <c r="CY137" s="228">
        <v>-233</v>
      </c>
      <c r="CZ137" s="229">
        <v>-8.5900000000000004E-2</v>
      </c>
      <c r="DA137" s="228">
        <v>33.68</v>
      </c>
      <c r="DB137" s="228">
        <v>33.51</v>
      </c>
      <c r="DC137" s="228">
        <v>0.17</v>
      </c>
      <c r="DD137" s="228">
        <v>0.17</v>
      </c>
      <c r="DE137" s="228">
        <v>35.81</v>
      </c>
      <c r="DF137" s="228">
        <v>35.9</v>
      </c>
      <c r="DG137" s="228">
        <v>-2.13</v>
      </c>
      <c r="DH137" s="228">
        <v>-0.09</v>
      </c>
      <c r="DI137" s="228">
        <v>33.380000000000003</v>
      </c>
      <c r="DJ137" s="228">
        <v>33.15</v>
      </c>
      <c r="DK137" s="228">
        <v>0.23</v>
      </c>
      <c r="DL137" s="228">
        <v>0.23</v>
      </c>
      <c r="DM137" s="228">
        <v>34.08</v>
      </c>
      <c r="DN137" s="228">
        <v>34.06</v>
      </c>
      <c r="DO137" s="228">
        <v>0.02</v>
      </c>
      <c r="DP137" s="228">
        <v>0.02</v>
      </c>
      <c r="DQ137" s="228">
        <v>0.63</v>
      </c>
      <c r="DR137" s="228">
        <v>0.63</v>
      </c>
      <c r="DS137" s="228">
        <v>0</v>
      </c>
      <c r="DT137" s="229">
        <v>0</v>
      </c>
      <c r="DU137" s="231">
        <v>3200</v>
      </c>
      <c r="DV137" s="231">
        <v>3000</v>
      </c>
      <c r="DW137" s="228">
        <v>0.77</v>
      </c>
      <c r="DX137" s="228">
        <v>0.75</v>
      </c>
      <c r="DY137" s="228">
        <v>0.02</v>
      </c>
      <c r="DZ137" s="229">
        <v>2.6700000000000002E-2</v>
      </c>
      <c r="EA137" s="229">
        <v>0.81799999999999995</v>
      </c>
      <c r="EB137" s="230">
        <v>2038850</v>
      </c>
      <c r="EC137" s="229">
        <v>4.0000000000000001E-3</v>
      </c>
      <c r="ED137" s="229">
        <v>0.81799999999999995</v>
      </c>
      <c r="EE137" s="228">
        <v>15.67</v>
      </c>
      <c r="EF137" s="229">
        <v>5.0000000000000001E-3</v>
      </c>
      <c r="EG137" s="230">
        <v>211957</v>
      </c>
      <c r="EH137" s="230">
        <v>299010</v>
      </c>
      <c r="EI137" s="229">
        <v>-0.29110000000000003</v>
      </c>
      <c r="EJ137" s="229">
        <v>0.44619999999999999</v>
      </c>
      <c r="EK137" s="231">
        <v>1188.3</v>
      </c>
      <c r="EL137" s="228">
        <v>867.49</v>
      </c>
      <c r="EM137" s="228">
        <v>743.18</v>
      </c>
      <c r="EN137" s="228">
        <v>83.12</v>
      </c>
      <c r="EO137" s="231">
        <v>2798.96</v>
      </c>
      <c r="EP137" s="231">
        <v>6068.84</v>
      </c>
      <c r="EQ137" s="231">
        <v>-3269.88</v>
      </c>
      <c r="ER137" s="229">
        <v>-0.53879999999999995</v>
      </c>
      <c r="ES137" s="228">
        <v>945.32</v>
      </c>
      <c r="ET137" s="228">
        <v>551.49</v>
      </c>
      <c r="EU137" s="231">
        <v>1018.86</v>
      </c>
      <c r="EV137" s="231">
        <v>16050690</v>
      </c>
      <c r="EW137" s="231">
        <v>2515.67</v>
      </c>
      <c r="EX137" s="231">
        <v>2762.32</v>
      </c>
      <c r="EY137" s="228">
        <v>-246.65</v>
      </c>
      <c r="EZ137" s="229">
        <v>-8.9300000000000004E-2</v>
      </c>
      <c r="FA137" s="229">
        <v>0.4894</v>
      </c>
      <c r="FB137" s="227" t="s">
        <v>567</v>
      </c>
      <c r="FC137">
        <f t="shared" si="2"/>
        <v>830</v>
      </c>
    </row>
    <row r="138" spans="1:159" ht="17.25" thickBot="1" x14ac:dyDescent="0.3">
      <c r="A138" s="226">
        <v>45957</v>
      </c>
      <c r="B138" s="227" t="s">
        <v>227</v>
      </c>
      <c r="C138" s="227" t="s">
        <v>263</v>
      </c>
      <c r="D138" s="228">
        <v>3750</v>
      </c>
      <c r="E138" s="228">
        <v>1</v>
      </c>
      <c r="F138" s="228">
        <v>238.17</v>
      </c>
      <c r="G138" s="228">
        <v>236.05</v>
      </c>
      <c r="H138" s="228">
        <v>2.12</v>
      </c>
      <c r="I138" s="229">
        <v>8.9999999999999993E-3</v>
      </c>
      <c r="J138" s="228">
        <v>237.87</v>
      </c>
      <c r="K138" s="228">
        <v>236.1</v>
      </c>
      <c r="L138" s="228">
        <v>1.77</v>
      </c>
      <c r="M138" s="229">
        <v>7.4999999999999997E-3</v>
      </c>
      <c r="N138" s="228">
        <v>238.17</v>
      </c>
      <c r="O138" s="228">
        <v>236.05</v>
      </c>
      <c r="P138" s="228">
        <v>2.12</v>
      </c>
      <c r="Q138" s="229">
        <v>8.9999999999999993E-3</v>
      </c>
      <c r="R138" s="228">
        <v>238.57</v>
      </c>
      <c r="S138" s="228">
        <v>235.97</v>
      </c>
      <c r="T138" s="228">
        <v>2.6</v>
      </c>
      <c r="U138" s="229">
        <v>1.0999999999999999E-2</v>
      </c>
      <c r="V138" s="228">
        <v>239.41</v>
      </c>
      <c r="W138" s="228">
        <v>236.2</v>
      </c>
      <c r="X138" s="228">
        <v>3.21</v>
      </c>
      <c r="Y138" s="229">
        <v>1.3599999999999999E-2</v>
      </c>
      <c r="Z138" s="228">
        <v>0.3</v>
      </c>
      <c r="AA138" s="228">
        <v>-0.05</v>
      </c>
      <c r="AB138" s="228">
        <v>0.35</v>
      </c>
      <c r="AC138" s="229">
        <v>1.2999999999999999E-3</v>
      </c>
      <c r="AD138" s="228">
        <v>0.3</v>
      </c>
      <c r="AE138" s="228">
        <v>-0.05</v>
      </c>
      <c r="AF138" s="228">
        <v>0.35</v>
      </c>
      <c r="AG138" s="229">
        <v>1.2999999999999999E-3</v>
      </c>
      <c r="AH138" s="228">
        <v>0.7</v>
      </c>
      <c r="AI138" s="228">
        <v>-0.13</v>
      </c>
      <c r="AJ138" s="228">
        <v>0.83</v>
      </c>
      <c r="AK138" s="229">
        <v>2.8999999999999998E-3</v>
      </c>
      <c r="AL138" s="228">
        <v>1.54</v>
      </c>
      <c r="AM138" s="228">
        <v>0.1</v>
      </c>
      <c r="AN138" s="228">
        <v>1.44</v>
      </c>
      <c r="AO138" s="229">
        <v>6.4999999999999997E-3</v>
      </c>
      <c r="AP138" s="228">
        <v>237.87</v>
      </c>
      <c r="AQ138" s="228">
        <v>238.07</v>
      </c>
      <c r="AR138" s="228">
        <v>0</v>
      </c>
      <c r="AS138" s="230">
        <v>1736</v>
      </c>
      <c r="AT138" s="230">
        <v>1876</v>
      </c>
      <c r="AU138" s="228">
        <v>-140</v>
      </c>
      <c r="AV138" s="229">
        <v>-7.4800000000000005E-2</v>
      </c>
      <c r="AW138" s="228">
        <v>837</v>
      </c>
      <c r="AX138" s="228">
        <v>984</v>
      </c>
      <c r="AY138" s="228">
        <v>-147</v>
      </c>
      <c r="AZ138" s="229">
        <v>-0.14960000000000001</v>
      </c>
      <c r="BA138" s="228">
        <v>888</v>
      </c>
      <c r="BB138" s="228">
        <v>865</v>
      </c>
      <c r="BC138" s="228">
        <v>22</v>
      </c>
      <c r="BD138" s="229">
        <v>2.58E-2</v>
      </c>
      <c r="BE138" s="228">
        <v>11</v>
      </c>
      <c r="BF138" s="228">
        <v>27</v>
      </c>
      <c r="BG138" s="228">
        <v>-16</v>
      </c>
      <c r="BH138" s="229">
        <v>-0.57620000000000005</v>
      </c>
      <c r="BI138" s="230">
        <v>1469</v>
      </c>
      <c r="BJ138" s="230">
        <v>4947</v>
      </c>
      <c r="BK138" s="230">
        <v>-3477</v>
      </c>
      <c r="BL138" s="229">
        <v>-0.70289999999999997</v>
      </c>
      <c r="BM138" s="228">
        <v>752</v>
      </c>
      <c r="BN138" s="230">
        <v>2303</v>
      </c>
      <c r="BO138" s="230">
        <v>-1551</v>
      </c>
      <c r="BP138" s="229">
        <v>-0.6734</v>
      </c>
      <c r="BQ138" s="230">
        <v>3958</v>
      </c>
      <c r="BR138" s="230">
        <v>9126</v>
      </c>
      <c r="BS138" s="230">
        <v>-5168</v>
      </c>
      <c r="BT138" s="229">
        <v>-0.56630000000000003</v>
      </c>
      <c r="BU138" s="230">
        <v>6010744</v>
      </c>
      <c r="BV138" s="230">
        <v>32452828</v>
      </c>
      <c r="BW138" s="230">
        <v>-26442084</v>
      </c>
      <c r="BX138" s="229">
        <v>-0.81479999999999997</v>
      </c>
      <c r="BY138" s="230">
        <v>1944</v>
      </c>
      <c r="BZ138" s="230">
        <v>1895</v>
      </c>
      <c r="CA138" s="228">
        <v>48</v>
      </c>
      <c r="CB138" s="229">
        <v>2.5600000000000001E-2</v>
      </c>
      <c r="CC138" s="228">
        <v>530</v>
      </c>
      <c r="CD138" s="230">
        <v>1165</v>
      </c>
      <c r="CE138" s="228">
        <v>-635</v>
      </c>
      <c r="CF138" s="229">
        <v>-0.54510000000000003</v>
      </c>
      <c r="CG138" s="230">
        <v>1392</v>
      </c>
      <c r="CH138" s="228">
        <v>711</v>
      </c>
      <c r="CI138" s="228">
        <v>681</v>
      </c>
      <c r="CJ138" s="229">
        <v>0.95830000000000004</v>
      </c>
      <c r="CK138" s="228">
        <v>22</v>
      </c>
      <c r="CL138" s="228">
        <v>19</v>
      </c>
      <c r="CM138" s="228">
        <v>3</v>
      </c>
      <c r="CN138" s="229">
        <v>0.14749999999999999</v>
      </c>
      <c r="CO138" s="228">
        <v>812</v>
      </c>
      <c r="CP138" s="228">
        <v>887</v>
      </c>
      <c r="CQ138" s="228">
        <v>-75</v>
      </c>
      <c r="CR138" s="229">
        <v>-8.4699999999999998E-2</v>
      </c>
      <c r="CS138" s="228">
        <v>733</v>
      </c>
      <c r="CT138" s="228">
        <v>733</v>
      </c>
      <c r="CU138" s="228">
        <v>0</v>
      </c>
      <c r="CV138" s="229">
        <v>-5.0000000000000001E-4</v>
      </c>
      <c r="CW138" s="230">
        <v>3488</v>
      </c>
      <c r="CX138" s="230">
        <v>3515</v>
      </c>
      <c r="CY138" s="228">
        <v>-27</v>
      </c>
      <c r="CZ138" s="229">
        <v>-7.7000000000000002E-3</v>
      </c>
      <c r="DA138" s="228">
        <v>32.659999999999997</v>
      </c>
      <c r="DB138" s="228">
        <v>32.229999999999997</v>
      </c>
      <c r="DC138" s="228">
        <v>0.43</v>
      </c>
      <c r="DD138" s="228">
        <v>0.43</v>
      </c>
      <c r="DE138" s="228">
        <v>47.16</v>
      </c>
      <c r="DF138" s="228">
        <v>47.27</v>
      </c>
      <c r="DG138" s="228">
        <v>-14.5</v>
      </c>
      <c r="DH138" s="228">
        <v>-0.11</v>
      </c>
      <c r="DI138" s="228">
        <v>32.729999999999997</v>
      </c>
      <c r="DJ138" s="228">
        <v>32.47</v>
      </c>
      <c r="DK138" s="228">
        <v>0.26</v>
      </c>
      <c r="DL138" s="228">
        <v>0.26</v>
      </c>
      <c r="DM138" s="228">
        <v>32.54</v>
      </c>
      <c r="DN138" s="228">
        <v>31.78</v>
      </c>
      <c r="DO138" s="228">
        <v>0.76</v>
      </c>
      <c r="DP138" s="228">
        <v>0.76</v>
      </c>
      <c r="DQ138" s="228">
        <v>0.9</v>
      </c>
      <c r="DR138" s="228">
        <v>0.83</v>
      </c>
      <c r="DS138" s="228">
        <v>7.0000000000000007E-2</v>
      </c>
      <c r="DT138" s="229">
        <v>8.43E-2</v>
      </c>
      <c r="DU138" s="228">
        <v>240</v>
      </c>
      <c r="DV138" s="228">
        <v>220</v>
      </c>
      <c r="DW138" s="228">
        <v>0.51</v>
      </c>
      <c r="DX138" s="228">
        <v>0.47</v>
      </c>
      <c r="DY138" s="228">
        <v>0.04</v>
      </c>
      <c r="DZ138" s="229">
        <v>8.5099999999999995E-2</v>
      </c>
      <c r="EA138" s="229">
        <v>0.72729999999999995</v>
      </c>
      <c r="EB138" s="230">
        <v>30648750</v>
      </c>
      <c r="EC138" s="229">
        <v>1.6999999999999999E-3</v>
      </c>
      <c r="ED138" s="229">
        <v>0.72729999999999995</v>
      </c>
      <c r="EE138" s="228">
        <v>0.2</v>
      </c>
      <c r="EF138" s="229">
        <v>8.0000000000000004E-4</v>
      </c>
      <c r="EG138" s="230">
        <v>2189797</v>
      </c>
      <c r="EH138" s="230">
        <v>7974719</v>
      </c>
      <c r="EI138" s="229">
        <v>-0.72540000000000004</v>
      </c>
      <c r="EJ138" s="229">
        <v>0.36430000000000001</v>
      </c>
      <c r="EK138" s="231">
        <v>1506.81</v>
      </c>
      <c r="EL138" s="228">
        <v>740.91</v>
      </c>
      <c r="EM138" s="231">
        <v>1734.4</v>
      </c>
      <c r="EN138" s="228">
        <v>91.07</v>
      </c>
      <c r="EO138" s="231">
        <v>3982.12</v>
      </c>
      <c r="EP138" s="231">
        <v>9201.2999999999993</v>
      </c>
      <c r="EQ138" s="231">
        <v>-5219.18</v>
      </c>
      <c r="ER138" s="229">
        <v>-0.56720000000000004</v>
      </c>
      <c r="ES138" s="228">
        <v>803.63</v>
      </c>
      <c r="ET138" s="228">
        <v>681.85</v>
      </c>
      <c r="EU138" s="231">
        <v>1946.28</v>
      </c>
      <c r="EV138" s="231">
        <v>134225816</v>
      </c>
      <c r="EW138" s="231">
        <v>3431.76</v>
      </c>
      <c r="EX138" s="231">
        <v>3434.24</v>
      </c>
      <c r="EY138" s="228">
        <v>-2.48</v>
      </c>
      <c r="EZ138" s="229">
        <v>-6.9999999999999999E-4</v>
      </c>
      <c r="FA138" s="229">
        <v>1.0911</v>
      </c>
      <c r="FB138" s="227" t="s">
        <v>555</v>
      </c>
      <c r="FC138">
        <f t="shared" si="2"/>
        <v>1414</v>
      </c>
    </row>
    <row r="139" spans="1:159" ht="17.25" thickBot="1" x14ac:dyDescent="0.3">
      <c r="A139" s="226">
        <v>45957</v>
      </c>
      <c r="B139" s="227" t="s">
        <v>615</v>
      </c>
      <c r="C139" s="227" t="s">
        <v>264</v>
      </c>
      <c r="D139" s="228">
        <v>375</v>
      </c>
      <c r="E139" s="228">
        <v>1</v>
      </c>
      <c r="F139" s="231">
        <v>1366.7</v>
      </c>
      <c r="G139" s="231">
        <v>1376.6</v>
      </c>
      <c r="H139" s="228">
        <v>-9.9</v>
      </c>
      <c r="I139" s="229">
        <v>-7.1999999999999998E-3</v>
      </c>
      <c r="J139" s="231">
        <v>1364.7</v>
      </c>
      <c r="K139" s="231">
        <v>1377.8</v>
      </c>
      <c r="L139" s="228">
        <v>-13.1</v>
      </c>
      <c r="M139" s="229">
        <v>-9.4999999999999998E-3</v>
      </c>
      <c r="N139" s="231">
        <v>1366.7</v>
      </c>
      <c r="O139" s="231">
        <v>1376.6</v>
      </c>
      <c r="P139" s="228">
        <v>-9.9</v>
      </c>
      <c r="Q139" s="229">
        <v>-7.1999999999999998E-3</v>
      </c>
      <c r="R139" s="231">
        <v>1371.9</v>
      </c>
      <c r="S139" s="231">
        <v>1381.4</v>
      </c>
      <c r="T139" s="228">
        <v>-9.5</v>
      </c>
      <c r="U139" s="229">
        <v>-6.8999999999999999E-3</v>
      </c>
      <c r="V139" s="231">
        <v>1381.9</v>
      </c>
      <c r="W139" s="231">
        <v>1390.6</v>
      </c>
      <c r="X139" s="228">
        <v>-8.6999999999999993</v>
      </c>
      <c r="Y139" s="229">
        <v>-6.3E-3</v>
      </c>
      <c r="Z139" s="228">
        <v>2</v>
      </c>
      <c r="AA139" s="228">
        <v>-1.2</v>
      </c>
      <c r="AB139" s="228">
        <v>3.2</v>
      </c>
      <c r="AC139" s="229">
        <v>1.5E-3</v>
      </c>
      <c r="AD139" s="228">
        <v>2</v>
      </c>
      <c r="AE139" s="228">
        <v>-1.2</v>
      </c>
      <c r="AF139" s="228">
        <v>3.2</v>
      </c>
      <c r="AG139" s="229">
        <v>1.5E-3</v>
      </c>
      <c r="AH139" s="228">
        <v>7.2</v>
      </c>
      <c r="AI139" s="228">
        <v>3.6</v>
      </c>
      <c r="AJ139" s="228">
        <v>3.6</v>
      </c>
      <c r="AK139" s="229">
        <v>5.3E-3</v>
      </c>
      <c r="AL139" s="228">
        <v>17.2</v>
      </c>
      <c r="AM139" s="228">
        <v>12.8</v>
      </c>
      <c r="AN139" s="228">
        <v>4.4000000000000004</v>
      </c>
      <c r="AO139" s="229">
        <v>1.26E-2</v>
      </c>
      <c r="AP139" s="231">
        <v>1368.73</v>
      </c>
      <c r="AQ139" s="231">
        <v>1373.84</v>
      </c>
      <c r="AR139" s="228">
        <v>0</v>
      </c>
      <c r="AS139" s="228">
        <v>784</v>
      </c>
      <c r="AT139" s="230">
        <v>1302</v>
      </c>
      <c r="AU139" s="228">
        <v>-517</v>
      </c>
      <c r="AV139" s="229">
        <v>-0.39739999999999998</v>
      </c>
      <c r="AW139" s="228">
        <v>375</v>
      </c>
      <c r="AX139" s="228">
        <v>659</v>
      </c>
      <c r="AY139" s="228">
        <v>-283</v>
      </c>
      <c r="AZ139" s="229">
        <v>-0.43030000000000002</v>
      </c>
      <c r="BA139" s="228">
        <v>407</v>
      </c>
      <c r="BB139" s="228">
        <v>638</v>
      </c>
      <c r="BC139" s="228">
        <v>-231</v>
      </c>
      <c r="BD139" s="229">
        <v>-0.36180000000000001</v>
      </c>
      <c r="BE139" s="228">
        <v>2</v>
      </c>
      <c r="BF139" s="228">
        <v>5</v>
      </c>
      <c r="BG139" s="228">
        <v>-3</v>
      </c>
      <c r="BH139" s="229">
        <v>-0.61619999999999997</v>
      </c>
      <c r="BI139" s="228">
        <v>523</v>
      </c>
      <c r="BJ139" s="230">
        <v>2744</v>
      </c>
      <c r="BK139" s="230">
        <v>-2222</v>
      </c>
      <c r="BL139" s="229">
        <v>-0.80959999999999999</v>
      </c>
      <c r="BM139" s="228">
        <v>205</v>
      </c>
      <c r="BN139" s="228">
        <v>757</v>
      </c>
      <c r="BO139" s="228">
        <v>-552</v>
      </c>
      <c r="BP139" s="229">
        <v>-0.72919999999999996</v>
      </c>
      <c r="BQ139" s="230">
        <v>1512</v>
      </c>
      <c r="BR139" s="230">
        <v>4804</v>
      </c>
      <c r="BS139" s="230">
        <v>-3292</v>
      </c>
      <c r="BT139" s="229">
        <v>-0.68520000000000003</v>
      </c>
      <c r="BU139" s="230">
        <v>507002</v>
      </c>
      <c r="BV139" s="230">
        <v>2442673</v>
      </c>
      <c r="BW139" s="230">
        <v>-1935671</v>
      </c>
      <c r="BX139" s="229">
        <v>-0.79239999999999999</v>
      </c>
      <c r="BY139" s="230">
        <v>1290</v>
      </c>
      <c r="BZ139" s="230">
        <v>1293</v>
      </c>
      <c r="CA139" s="228">
        <v>-3</v>
      </c>
      <c r="CB139" s="229">
        <v>-1.9E-3</v>
      </c>
      <c r="CC139" s="228">
        <v>173</v>
      </c>
      <c r="CD139" s="228">
        <v>483</v>
      </c>
      <c r="CE139" s="228">
        <v>-310</v>
      </c>
      <c r="CF139" s="229">
        <v>-0.64090000000000003</v>
      </c>
      <c r="CG139" s="230">
        <v>1111</v>
      </c>
      <c r="CH139" s="228">
        <v>805</v>
      </c>
      <c r="CI139" s="228">
        <v>306</v>
      </c>
      <c r="CJ139" s="229">
        <v>0.38040000000000002</v>
      </c>
      <c r="CK139" s="228">
        <v>5</v>
      </c>
      <c r="CL139" s="228">
        <v>4</v>
      </c>
      <c r="CM139" s="228">
        <v>1</v>
      </c>
      <c r="CN139" s="229">
        <v>0.2</v>
      </c>
      <c r="CO139" s="228">
        <v>266</v>
      </c>
      <c r="CP139" s="228">
        <v>297</v>
      </c>
      <c r="CQ139" s="228">
        <v>-32</v>
      </c>
      <c r="CR139" s="229">
        <v>-0.106</v>
      </c>
      <c r="CS139" s="228">
        <v>167</v>
      </c>
      <c r="CT139" s="228">
        <v>182</v>
      </c>
      <c r="CU139" s="228">
        <v>-15</v>
      </c>
      <c r="CV139" s="229">
        <v>-8.5000000000000006E-2</v>
      </c>
      <c r="CW139" s="230">
        <v>1723</v>
      </c>
      <c r="CX139" s="230">
        <v>1772</v>
      </c>
      <c r="CY139" s="228">
        <v>-50</v>
      </c>
      <c r="CZ139" s="229">
        <v>-2.7900000000000001E-2</v>
      </c>
      <c r="DA139" s="228">
        <v>32.979999999999997</v>
      </c>
      <c r="DB139" s="228">
        <v>32.76</v>
      </c>
      <c r="DC139" s="228">
        <v>0.22</v>
      </c>
      <c r="DD139" s="228">
        <v>0.22</v>
      </c>
      <c r="DE139" s="228">
        <v>38.17</v>
      </c>
      <c r="DF139" s="228">
        <v>38.24</v>
      </c>
      <c r="DG139" s="228">
        <v>-5.19</v>
      </c>
      <c r="DH139" s="228">
        <v>-7.0000000000000007E-2</v>
      </c>
      <c r="DI139" s="228">
        <v>33.07</v>
      </c>
      <c r="DJ139" s="228">
        <v>32.94</v>
      </c>
      <c r="DK139" s="228">
        <v>0.13</v>
      </c>
      <c r="DL139" s="228">
        <v>0.13</v>
      </c>
      <c r="DM139" s="228">
        <v>32.799999999999997</v>
      </c>
      <c r="DN139" s="228">
        <v>32.26</v>
      </c>
      <c r="DO139" s="228">
        <v>0.54</v>
      </c>
      <c r="DP139" s="228">
        <v>0.54</v>
      </c>
      <c r="DQ139" s="228">
        <v>0.63</v>
      </c>
      <c r="DR139" s="228">
        <v>0.61</v>
      </c>
      <c r="DS139" s="228">
        <v>0.02</v>
      </c>
      <c r="DT139" s="229">
        <v>3.2800000000000003E-2</v>
      </c>
      <c r="DU139" s="231">
        <v>1400</v>
      </c>
      <c r="DV139" s="231">
        <v>1300</v>
      </c>
      <c r="DW139" s="228">
        <v>0.39</v>
      </c>
      <c r="DX139" s="228">
        <v>0.28000000000000003</v>
      </c>
      <c r="DY139" s="228">
        <v>0.11</v>
      </c>
      <c r="DZ139" s="229">
        <v>0.39290000000000003</v>
      </c>
      <c r="EA139" s="229">
        <v>0.86550000000000005</v>
      </c>
      <c r="EB139" s="230">
        <v>5923125</v>
      </c>
      <c r="EC139" s="229">
        <v>3.8E-3</v>
      </c>
      <c r="ED139" s="229">
        <v>0.86550000000000005</v>
      </c>
      <c r="EE139" s="228">
        <v>5.1100000000000003</v>
      </c>
      <c r="EF139" s="229">
        <v>3.7000000000000002E-3</v>
      </c>
      <c r="EG139" s="230">
        <v>280107</v>
      </c>
      <c r="EH139" s="230">
        <v>1319112</v>
      </c>
      <c r="EI139" s="229">
        <v>-0.78769999999999996</v>
      </c>
      <c r="EJ139" s="229">
        <v>0.55249999999999999</v>
      </c>
      <c r="EK139" s="228">
        <v>545.14</v>
      </c>
      <c r="EL139" s="228">
        <v>204.22</v>
      </c>
      <c r="EM139" s="228">
        <v>787.16</v>
      </c>
      <c r="EN139" s="228">
        <v>120.21</v>
      </c>
      <c r="EO139" s="231">
        <v>1536.52</v>
      </c>
      <c r="EP139" s="231">
        <v>4994.59</v>
      </c>
      <c r="EQ139" s="231">
        <v>-3458.07</v>
      </c>
      <c r="ER139" s="229">
        <v>-0.69240000000000002</v>
      </c>
      <c r="ES139" s="228">
        <v>278.44</v>
      </c>
      <c r="ET139" s="228">
        <v>162.34</v>
      </c>
      <c r="EU139" s="231">
        <v>1294.43</v>
      </c>
      <c r="EV139" s="231">
        <v>60530911</v>
      </c>
      <c r="EW139" s="231">
        <v>1735.21</v>
      </c>
      <c r="EX139" s="231">
        <v>1793.59</v>
      </c>
      <c r="EY139" s="228">
        <v>-58.38</v>
      </c>
      <c r="EZ139" s="229">
        <v>-3.2500000000000001E-2</v>
      </c>
      <c r="FA139" s="229">
        <v>0.2082</v>
      </c>
      <c r="FB139" s="227" t="s">
        <v>568</v>
      </c>
      <c r="FC139">
        <f t="shared" si="2"/>
        <v>1117</v>
      </c>
    </row>
    <row r="140" spans="1:159" ht="17.25" thickBot="1" x14ac:dyDescent="0.3">
      <c r="A140" s="226">
        <v>45957</v>
      </c>
      <c r="B140" s="227" t="s">
        <v>206</v>
      </c>
      <c r="C140" s="227" t="s">
        <v>550</v>
      </c>
      <c r="D140" s="228">
        <v>6500</v>
      </c>
      <c r="E140" s="228">
        <v>1</v>
      </c>
      <c r="F140" s="228">
        <v>111.67</v>
      </c>
      <c r="G140" s="228">
        <v>111.62</v>
      </c>
      <c r="H140" s="228">
        <v>0.05</v>
      </c>
      <c r="I140" s="229">
        <v>4.0000000000000002E-4</v>
      </c>
      <c r="J140" s="228">
        <v>111.5</v>
      </c>
      <c r="K140" s="228">
        <v>111.69</v>
      </c>
      <c r="L140" s="228">
        <v>-0.19</v>
      </c>
      <c r="M140" s="229">
        <v>-1.6999999999999999E-3</v>
      </c>
      <c r="N140" s="228">
        <v>111.67</v>
      </c>
      <c r="O140" s="228">
        <v>111.62</v>
      </c>
      <c r="P140" s="228">
        <v>0.05</v>
      </c>
      <c r="Q140" s="229">
        <v>4.0000000000000002E-4</v>
      </c>
      <c r="R140" s="228">
        <v>112.27</v>
      </c>
      <c r="S140" s="228">
        <v>112.26</v>
      </c>
      <c r="T140" s="228">
        <v>0.01</v>
      </c>
      <c r="U140" s="229">
        <v>1E-4</v>
      </c>
      <c r="V140" s="228">
        <v>112.96</v>
      </c>
      <c r="W140" s="228">
        <v>113.07</v>
      </c>
      <c r="X140" s="228">
        <v>-0.11</v>
      </c>
      <c r="Y140" s="229">
        <v>-1E-3</v>
      </c>
      <c r="Z140" s="228">
        <v>0.17</v>
      </c>
      <c r="AA140" s="228">
        <v>-7.0000000000000007E-2</v>
      </c>
      <c r="AB140" s="228">
        <v>0.24</v>
      </c>
      <c r="AC140" s="229">
        <v>1.5E-3</v>
      </c>
      <c r="AD140" s="228">
        <v>0.17</v>
      </c>
      <c r="AE140" s="228">
        <v>-7.0000000000000007E-2</v>
      </c>
      <c r="AF140" s="228">
        <v>0.24</v>
      </c>
      <c r="AG140" s="229">
        <v>1.5E-3</v>
      </c>
      <c r="AH140" s="228">
        <v>0.77</v>
      </c>
      <c r="AI140" s="228">
        <v>0.56999999999999995</v>
      </c>
      <c r="AJ140" s="228">
        <v>0.2</v>
      </c>
      <c r="AK140" s="229">
        <v>6.8999999999999999E-3</v>
      </c>
      <c r="AL140" s="228">
        <v>1.46</v>
      </c>
      <c r="AM140" s="228">
        <v>1.38</v>
      </c>
      <c r="AN140" s="228">
        <v>0.08</v>
      </c>
      <c r="AO140" s="229">
        <v>1.3100000000000001E-2</v>
      </c>
      <c r="AP140" s="228">
        <v>111.77</v>
      </c>
      <c r="AQ140" s="228">
        <v>112.4</v>
      </c>
      <c r="AR140" s="228">
        <v>0</v>
      </c>
      <c r="AS140" s="228">
        <v>402</v>
      </c>
      <c r="AT140" s="228">
        <v>480</v>
      </c>
      <c r="AU140" s="228">
        <v>-78</v>
      </c>
      <c r="AV140" s="229">
        <v>-0.1633</v>
      </c>
      <c r="AW140" s="228">
        <v>187</v>
      </c>
      <c r="AX140" s="228">
        <v>227</v>
      </c>
      <c r="AY140" s="228">
        <v>-40</v>
      </c>
      <c r="AZ140" s="229">
        <v>-0.17469999999999999</v>
      </c>
      <c r="BA140" s="228">
        <v>211</v>
      </c>
      <c r="BB140" s="228">
        <v>252</v>
      </c>
      <c r="BC140" s="228">
        <v>-41</v>
      </c>
      <c r="BD140" s="229">
        <v>-0.1613</v>
      </c>
      <c r="BE140" s="228">
        <v>3</v>
      </c>
      <c r="BF140" s="228">
        <v>2</v>
      </c>
      <c r="BG140" s="228">
        <v>2</v>
      </c>
      <c r="BH140" s="229">
        <v>1.1904999999999999</v>
      </c>
      <c r="BI140" s="228">
        <v>161</v>
      </c>
      <c r="BJ140" s="228">
        <v>182</v>
      </c>
      <c r="BK140" s="228">
        <v>-21</v>
      </c>
      <c r="BL140" s="229">
        <v>-0.1169</v>
      </c>
      <c r="BM140" s="228">
        <v>78</v>
      </c>
      <c r="BN140" s="228">
        <v>78</v>
      </c>
      <c r="BO140" s="228">
        <v>-1</v>
      </c>
      <c r="BP140" s="229">
        <v>-8.3999999999999995E-3</v>
      </c>
      <c r="BQ140" s="228">
        <v>640</v>
      </c>
      <c r="BR140" s="228">
        <v>741</v>
      </c>
      <c r="BS140" s="228">
        <v>-100</v>
      </c>
      <c r="BT140" s="229">
        <v>-0.1356</v>
      </c>
      <c r="BU140" s="230">
        <v>4308163</v>
      </c>
      <c r="BV140" s="230">
        <v>6268290</v>
      </c>
      <c r="BW140" s="230">
        <v>-1960127</v>
      </c>
      <c r="BX140" s="229">
        <v>-0.31269999999999998</v>
      </c>
      <c r="BY140" s="228">
        <v>689</v>
      </c>
      <c r="BZ140" s="228">
        <v>683</v>
      </c>
      <c r="CA140" s="228">
        <v>6</v>
      </c>
      <c r="CB140" s="229">
        <v>8.0999999999999996E-3</v>
      </c>
      <c r="CC140" s="228">
        <v>219</v>
      </c>
      <c r="CD140" s="228">
        <v>350</v>
      </c>
      <c r="CE140" s="228">
        <v>-131</v>
      </c>
      <c r="CF140" s="229">
        <v>-0.37409999999999999</v>
      </c>
      <c r="CG140" s="228">
        <v>456</v>
      </c>
      <c r="CH140" s="228">
        <v>322</v>
      </c>
      <c r="CI140" s="228">
        <v>134</v>
      </c>
      <c r="CJ140" s="229">
        <v>0.41660000000000003</v>
      </c>
      <c r="CK140" s="228">
        <v>13</v>
      </c>
      <c r="CL140" s="228">
        <v>11</v>
      </c>
      <c r="CM140" s="228">
        <v>2</v>
      </c>
      <c r="CN140" s="229">
        <v>0.2276</v>
      </c>
      <c r="CO140" s="228">
        <v>328</v>
      </c>
      <c r="CP140" s="228">
        <v>339</v>
      </c>
      <c r="CQ140" s="228">
        <v>-11</v>
      </c>
      <c r="CR140" s="229">
        <v>-3.32E-2</v>
      </c>
      <c r="CS140" s="228">
        <v>188</v>
      </c>
      <c r="CT140" s="228">
        <v>185</v>
      </c>
      <c r="CU140" s="228">
        <v>4</v>
      </c>
      <c r="CV140" s="229">
        <v>2.0500000000000001E-2</v>
      </c>
      <c r="CW140" s="230">
        <v>1205</v>
      </c>
      <c r="CX140" s="230">
        <v>1207</v>
      </c>
      <c r="CY140" s="228">
        <v>-2</v>
      </c>
      <c r="CZ140" s="229">
        <v>-1.6000000000000001E-3</v>
      </c>
      <c r="DA140" s="228">
        <v>34.700000000000003</v>
      </c>
      <c r="DB140" s="228">
        <v>34.64</v>
      </c>
      <c r="DC140" s="228">
        <v>0.06</v>
      </c>
      <c r="DD140" s="228">
        <v>0.06</v>
      </c>
      <c r="DE140" s="228">
        <v>52.08</v>
      </c>
      <c r="DF140" s="228">
        <v>52.21</v>
      </c>
      <c r="DG140" s="228">
        <v>-17.38</v>
      </c>
      <c r="DH140" s="228">
        <v>-0.13</v>
      </c>
      <c r="DI140" s="228">
        <v>34.9</v>
      </c>
      <c r="DJ140" s="228">
        <v>34.89</v>
      </c>
      <c r="DK140" s="228">
        <v>0.01</v>
      </c>
      <c r="DL140" s="228">
        <v>0.01</v>
      </c>
      <c r="DM140" s="228">
        <v>34.450000000000003</v>
      </c>
      <c r="DN140" s="228">
        <v>34.19</v>
      </c>
      <c r="DO140" s="228">
        <v>0.26</v>
      </c>
      <c r="DP140" s="228">
        <v>0.26</v>
      </c>
      <c r="DQ140" s="228">
        <v>0.56999999999999995</v>
      </c>
      <c r="DR140" s="228">
        <v>0.54</v>
      </c>
      <c r="DS140" s="228">
        <v>0.03</v>
      </c>
      <c r="DT140" s="229">
        <v>5.5599999999999997E-2</v>
      </c>
      <c r="DU140" s="228">
        <v>115</v>
      </c>
      <c r="DV140" s="228">
        <v>110</v>
      </c>
      <c r="DW140" s="228">
        <v>0.48</v>
      </c>
      <c r="DX140" s="228">
        <v>0.43</v>
      </c>
      <c r="DY140" s="228">
        <v>0.05</v>
      </c>
      <c r="DZ140" s="229">
        <v>0.1163</v>
      </c>
      <c r="EA140" s="229">
        <v>0.68149999999999999</v>
      </c>
      <c r="EB140" s="230">
        <v>29789500</v>
      </c>
      <c r="EC140" s="229">
        <v>5.4000000000000003E-3</v>
      </c>
      <c r="ED140" s="229">
        <v>0.68149999999999999</v>
      </c>
      <c r="EE140" s="228">
        <v>0.63</v>
      </c>
      <c r="EF140" s="229">
        <v>5.5999999999999999E-3</v>
      </c>
      <c r="EG140" s="230">
        <v>1555854</v>
      </c>
      <c r="EH140" s="230">
        <v>2413728</v>
      </c>
      <c r="EI140" s="229">
        <v>-0.35539999999999999</v>
      </c>
      <c r="EJ140" s="229">
        <v>0.36109999999999998</v>
      </c>
      <c r="EK140" s="228">
        <v>166.91</v>
      </c>
      <c r="EL140" s="228">
        <v>76.83</v>
      </c>
      <c r="EM140" s="228">
        <v>403.48</v>
      </c>
      <c r="EN140" s="228">
        <v>34.32</v>
      </c>
      <c r="EO140" s="228">
        <v>647.22</v>
      </c>
      <c r="EP140" s="228">
        <v>752.17</v>
      </c>
      <c r="EQ140" s="228">
        <v>-104.95</v>
      </c>
      <c r="ER140" s="229">
        <v>-0.13950000000000001</v>
      </c>
      <c r="ES140" s="228">
        <v>344.17</v>
      </c>
      <c r="ET140" s="228">
        <v>178.94</v>
      </c>
      <c r="EU140" s="228">
        <v>691.22</v>
      </c>
      <c r="EV140" s="231">
        <v>154894704</v>
      </c>
      <c r="EW140" s="231">
        <v>1214.33</v>
      </c>
      <c r="EX140" s="231">
        <v>1216.17</v>
      </c>
      <c r="EY140" s="228">
        <v>-1.84</v>
      </c>
      <c r="EZ140" s="229">
        <v>-1.5E-3</v>
      </c>
      <c r="FA140" s="229">
        <v>0.69650000000000001</v>
      </c>
      <c r="FB140" s="227" t="s">
        <v>555</v>
      </c>
      <c r="FC140">
        <f t="shared" si="2"/>
        <v>470</v>
      </c>
    </row>
    <row r="141" spans="1:159" ht="17.25" thickBot="1" x14ac:dyDescent="0.3">
      <c r="A141" s="226">
        <v>45957</v>
      </c>
      <c r="B141" s="227" t="s">
        <v>215</v>
      </c>
      <c r="C141" s="227" t="s">
        <v>591</v>
      </c>
      <c r="D141" s="228">
        <v>2700</v>
      </c>
      <c r="E141" s="228">
        <v>1</v>
      </c>
      <c r="F141" s="228">
        <v>213.92</v>
      </c>
      <c r="G141" s="228">
        <v>209.51</v>
      </c>
      <c r="H141" s="228">
        <v>4.41</v>
      </c>
      <c r="I141" s="229">
        <v>2.1000000000000001E-2</v>
      </c>
      <c r="J141" s="228">
        <v>213.55</v>
      </c>
      <c r="K141" s="228">
        <v>209.56</v>
      </c>
      <c r="L141" s="228">
        <v>3.99</v>
      </c>
      <c r="M141" s="229">
        <v>1.9E-2</v>
      </c>
      <c r="N141" s="228">
        <v>213.92</v>
      </c>
      <c r="O141" s="228">
        <v>209.51</v>
      </c>
      <c r="P141" s="228">
        <v>4.41</v>
      </c>
      <c r="Q141" s="229">
        <v>2.1000000000000001E-2</v>
      </c>
      <c r="R141" s="228">
        <v>215.09</v>
      </c>
      <c r="S141" s="228">
        <v>210.64</v>
      </c>
      <c r="T141" s="228">
        <v>4.45</v>
      </c>
      <c r="U141" s="229">
        <v>2.1100000000000001E-2</v>
      </c>
      <c r="V141" s="228">
        <v>216.49</v>
      </c>
      <c r="W141" s="228">
        <v>212.11</v>
      </c>
      <c r="X141" s="228">
        <v>4.38</v>
      </c>
      <c r="Y141" s="229">
        <v>2.06E-2</v>
      </c>
      <c r="Z141" s="228">
        <v>0.37</v>
      </c>
      <c r="AA141" s="228">
        <v>-0.05</v>
      </c>
      <c r="AB141" s="228">
        <v>0.42</v>
      </c>
      <c r="AC141" s="229">
        <v>1.6999999999999999E-3</v>
      </c>
      <c r="AD141" s="228">
        <v>0.37</v>
      </c>
      <c r="AE141" s="228">
        <v>-0.05</v>
      </c>
      <c r="AF141" s="228">
        <v>0.42</v>
      </c>
      <c r="AG141" s="229">
        <v>1.6999999999999999E-3</v>
      </c>
      <c r="AH141" s="228">
        <v>1.54</v>
      </c>
      <c r="AI141" s="228">
        <v>1.08</v>
      </c>
      <c r="AJ141" s="228">
        <v>0.46</v>
      </c>
      <c r="AK141" s="229">
        <v>7.1999999999999998E-3</v>
      </c>
      <c r="AL141" s="228">
        <v>2.94</v>
      </c>
      <c r="AM141" s="228">
        <v>2.5499999999999998</v>
      </c>
      <c r="AN141" s="228">
        <v>0.39</v>
      </c>
      <c r="AO141" s="229">
        <v>1.38E-2</v>
      </c>
      <c r="AP141" s="228">
        <v>213.49</v>
      </c>
      <c r="AQ141" s="228">
        <v>214.62</v>
      </c>
      <c r="AR141" s="228">
        <v>0</v>
      </c>
      <c r="AS141" s="228">
        <v>375</v>
      </c>
      <c r="AT141" s="228">
        <v>259</v>
      </c>
      <c r="AU141" s="228">
        <v>116</v>
      </c>
      <c r="AV141" s="229">
        <v>0.44879999999999998</v>
      </c>
      <c r="AW141" s="228">
        <v>165</v>
      </c>
      <c r="AX141" s="228">
        <v>134</v>
      </c>
      <c r="AY141" s="228">
        <v>31</v>
      </c>
      <c r="AZ141" s="229">
        <v>0.23419999999999999</v>
      </c>
      <c r="BA141" s="228">
        <v>204</v>
      </c>
      <c r="BB141" s="228">
        <v>122</v>
      </c>
      <c r="BC141" s="228">
        <v>82</v>
      </c>
      <c r="BD141" s="229">
        <v>0.67300000000000004</v>
      </c>
      <c r="BE141" s="228">
        <v>5</v>
      </c>
      <c r="BF141" s="228">
        <v>3</v>
      </c>
      <c r="BG141" s="228">
        <v>3</v>
      </c>
      <c r="BH141" s="229">
        <v>1</v>
      </c>
      <c r="BI141" s="228">
        <v>390</v>
      </c>
      <c r="BJ141" s="228">
        <v>144</v>
      </c>
      <c r="BK141" s="228">
        <v>246</v>
      </c>
      <c r="BL141" s="229">
        <v>1.7027000000000001</v>
      </c>
      <c r="BM141" s="228">
        <v>128</v>
      </c>
      <c r="BN141" s="228">
        <v>69</v>
      </c>
      <c r="BO141" s="228">
        <v>59</v>
      </c>
      <c r="BP141" s="229">
        <v>0.85760000000000003</v>
      </c>
      <c r="BQ141" s="228">
        <v>893</v>
      </c>
      <c r="BR141" s="228">
        <v>472</v>
      </c>
      <c r="BS141" s="228">
        <v>421</v>
      </c>
      <c r="BT141" s="229">
        <v>0.89219999999999999</v>
      </c>
      <c r="BU141" s="230">
        <v>7634105</v>
      </c>
      <c r="BV141" s="230">
        <v>1553451</v>
      </c>
      <c r="BW141" s="230">
        <v>6080654</v>
      </c>
      <c r="BX141" s="229">
        <v>3.9142999999999999</v>
      </c>
      <c r="BY141" s="228">
        <v>416</v>
      </c>
      <c r="BZ141" s="228">
        <v>417</v>
      </c>
      <c r="CA141" s="228">
        <v>-1</v>
      </c>
      <c r="CB141" s="229">
        <v>-2.5000000000000001E-3</v>
      </c>
      <c r="CC141" s="228">
        <v>110</v>
      </c>
      <c r="CD141" s="228">
        <v>201</v>
      </c>
      <c r="CE141" s="228">
        <v>-91</v>
      </c>
      <c r="CF141" s="229">
        <v>-0.45090000000000002</v>
      </c>
      <c r="CG141" s="228">
        <v>296</v>
      </c>
      <c r="CH141" s="228">
        <v>209</v>
      </c>
      <c r="CI141" s="228">
        <v>87</v>
      </c>
      <c r="CJ141" s="229">
        <v>0.41649999999999998</v>
      </c>
      <c r="CK141" s="228">
        <v>9</v>
      </c>
      <c r="CL141" s="228">
        <v>7</v>
      </c>
      <c r="CM141" s="228">
        <v>3</v>
      </c>
      <c r="CN141" s="229">
        <v>0.37930000000000003</v>
      </c>
      <c r="CO141" s="228">
        <v>162</v>
      </c>
      <c r="CP141" s="228">
        <v>202</v>
      </c>
      <c r="CQ141" s="228">
        <v>-40</v>
      </c>
      <c r="CR141" s="229">
        <v>-0.1961</v>
      </c>
      <c r="CS141" s="228">
        <v>95</v>
      </c>
      <c r="CT141" s="228">
        <v>96</v>
      </c>
      <c r="CU141" s="228">
        <v>-1</v>
      </c>
      <c r="CV141" s="229">
        <v>-5.4000000000000003E-3</v>
      </c>
      <c r="CW141" s="228">
        <v>674</v>
      </c>
      <c r="CX141" s="228">
        <v>715</v>
      </c>
      <c r="CY141" s="228">
        <v>-41</v>
      </c>
      <c r="CZ141" s="229">
        <v>-5.7500000000000002E-2</v>
      </c>
      <c r="DA141" s="228">
        <v>33.61</v>
      </c>
      <c r="DB141" s="228">
        <v>32.65</v>
      </c>
      <c r="DC141" s="228">
        <v>0.96</v>
      </c>
      <c r="DD141" s="228">
        <v>0.96</v>
      </c>
      <c r="DE141" s="228">
        <v>46.93</v>
      </c>
      <c r="DF141" s="228">
        <v>46.96</v>
      </c>
      <c r="DG141" s="228">
        <v>-13.32</v>
      </c>
      <c r="DH141" s="228">
        <v>-0.03</v>
      </c>
      <c r="DI141" s="228">
        <v>33.619999999999997</v>
      </c>
      <c r="DJ141" s="228">
        <v>33.15</v>
      </c>
      <c r="DK141" s="228">
        <v>0.47</v>
      </c>
      <c r="DL141" s="228">
        <v>0.47</v>
      </c>
      <c r="DM141" s="228">
        <v>33.57</v>
      </c>
      <c r="DN141" s="228">
        <v>32.07</v>
      </c>
      <c r="DO141" s="228">
        <v>1.5</v>
      </c>
      <c r="DP141" s="228">
        <v>1.5</v>
      </c>
      <c r="DQ141" s="228">
        <v>0.59</v>
      </c>
      <c r="DR141" s="228">
        <v>0.48</v>
      </c>
      <c r="DS141" s="228">
        <v>0.11</v>
      </c>
      <c r="DT141" s="229">
        <v>0.22919999999999999</v>
      </c>
      <c r="DU141" s="228">
        <v>220</v>
      </c>
      <c r="DV141" s="228">
        <v>200</v>
      </c>
      <c r="DW141" s="228">
        <v>0.33</v>
      </c>
      <c r="DX141" s="228">
        <v>0.48</v>
      </c>
      <c r="DY141" s="228">
        <v>-0.15</v>
      </c>
      <c r="DZ141" s="229">
        <v>-0.3125</v>
      </c>
      <c r="EA141" s="229">
        <v>0.73450000000000004</v>
      </c>
      <c r="EB141" s="230">
        <v>10095300</v>
      </c>
      <c r="EC141" s="229">
        <v>5.4999999999999997E-3</v>
      </c>
      <c r="ED141" s="229">
        <v>0.73450000000000004</v>
      </c>
      <c r="EE141" s="228">
        <v>1.1299999999999999</v>
      </c>
      <c r="EF141" s="229">
        <v>5.3E-3</v>
      </c>
      <c r="EG141" s="230">
        <v>1410070</v>
      </c>
      <c r="EH141" s="230">
        <v>620558</v>
      </c>
      <c r="EI141" s="229">
        <v>1.2723</v>
      </c>
      <c r="EJ141" s="229">
        <v>0.1847</v>
      </c>
      <c r="EK141" s="228">
        <v>400.4</v>
      </c>
      <c r="EL141" s="228">
        <v>127.33</v>
      </c>
      <c r="EM141" s="228">
        <v>374.96</v>
      </c>
      <c r="EN141" s="228">
        <v>25.21</v>
      </c>
      <c r="EO141" s="228">
        <v>902.69</v>
      </c>
      <c r="EP141" s="228">
        <v>468.01</v>
      </c>
      <c r="EQ141" s="228">
        <v>434.68</v>
      </c>
      <c r="ER141" s="229">
        <v>0.92879999999999996</v>
      </c>
      <c r="ES141" s="228">
        <v>165.7</v>
      </c>
      <c r="ET141" s="228">
        <v>91.86</v>
      </c>
      <c r="EU141" s="228">
        <v>417.88</v>
      </c>
      <c r="EV141" s="231">
        <v>72342848</v>
      </c>
      <c r="EW141" s="228">
        <v>675.44</v>
      </c>
      <c r="EX141" s="228">
        <v>706.87</v>
      </c>
      <c r="EY141" s="228">
        <v>-31.43</v>
      </c>
      <c r="EZ141" s="229">
        <v>-4.4499999999999998E-2</v>
      </c>
      <c r="FA141" s="229">
        <v>0.43540000000000001</v>
      </c>
      <c r="FB141" s="227" t="s">
        <v>556</v>
      </c>
      <c r="FC141">
        <f t="shared" si="2"/>
        <v>306</v>
      </c>
    </row>
    <row r="142" spans="1:159" ht="17.25" thickBot="1" x14ac:dyDescent="0.3">
      <c r="A142" s="226">
        <v>45957</v>
      </c>
      <c r="B142" s="227" t="s">
        <v>168</v>
      </c>
      <c r="C142" s="227" t="s">
        <v>265</v>
      </c>
      <c r="D142" s="228">
        <v>500</v>
      </c>
      <c r="E142" s="228">
        <v>1</v>
      </c>
      <c r="F142" s="231">
        <v>1284.5999999999999</v>
      </c>
      <c r="G142" s="231">
        <v>1282.7</v>
      </c>
      <c r="H142" s="228">
        <v>1.9</v>
      </c>
      <c r="I142" s="229">
        <v>1.5E-3</v>
      </c>
      <c r="J142" s="231">
        <v>1283</v>
      </c>
      <c r="K142" s="231">
        <v>1282</v>
      </c>
      <c r="L142" s="228">
        <v>1</v>
      </c>
      <c r="M142" s="229">
        <v>8.0000000000000004E-4</v>
      </c>
      <c r="N142" s="231">
        <v>1284.5999999999999</v>
      </c>
      <c r="O142" s="231">
        <v>1282.7</v>
      </c>
      <c r="P142" s="228">
        <v>1.9</v>
      </c>
      <c r="Q142" s="229">
        <v>1.5E-3</v>
      </c>
      <c r="R142" s="231">
        <v>1291.8</v>
      </c>
      <c r="S142" s="231">
        <v>1289.9000000000001</v>
      </c>
      <c r="T142" s="228">
        <v>1.9</v>
      </c>
      <c r="U142" s="229">
        <v>1.5E-3</v>
      </c>
      <c r="V142" s="231">
        <v>1299.5999999999999</v>
      </c>
      <c r="W142" s="231">
        <v>1297.7</v>
      </c>
      <c r="X142" s="228">
        <v>1.9</v>
      </c>
      <c r="Y142" s="229">
        <v>1.5E-3</v>
      </c>
      <c r="Z142" s="228">
        <v>1.6</v>
      </c>
      <c r="AA142" s="228">
        <v>0.7</v>
      </c>
      <c r="AB142" s="228">
        <v>0.9</v>
      </c>
      <c r="AC142" s="229">
        <v>1.1999999999999999E-3</v>
      </c>
      <c r="AD142" s="228">
        <v>1.6</v>
      </c>
      <c r="AE142" s="228">
        <v>0.7</v>
      </c>
      <c r="AF142" s="228">
        <v>0.9</v>
      </c>
      <c r="AG142" s="229">
        <v>1.1999999999999999E-3</v>
      </c>
      <c r="AH142" s="228">
        <v>8.8000000000000007</v>
      </c>
      <c r="AI142" s="228">
        <v>7.9</v>
      </c>
      <c r="AJ142" s="228">
        <v>0.9</v>
      </c>
      <c r="AK142" s="229">
        <v>6.8999999999999999E-3</v>
      </c>
      <c r="AL142" s="228">
        <v>16.600000000000001</v>
      </c>
      <c r="AM142" s="228">
        <v>15.7</v>
      </c>
      <c r="AN142" s="228">
        <v>0.9</v>
      </c>
      <c r="AO142" s="229">
        <v>1.29E-2</v>
      </c>
      <c r="AP142" s="231">
        <v>1284.03</v>
      </c>
      <c r="AQ142" s="231">
        <v>1291.31</v>
      </c>
      <c r="AR142" s="228">
        <v>0</v>
      </c>
      <c r="AS142" s="230">
        <v>1428</v>
      </c>
      <c r="AT142" s="230">
        <v>1652</v>
      </c>
      <c r="AU142" s="228">
        <v>-224</v>
      </c>
      <c r="AV142" s="229">
        <v>-0.1358</v>
      </c>
      <c r="AW142" s="228">
        <v>686</v>
      </c>
      <c r="AX142" s="228">
        <v>814</v>
      </c>
      <c r="AY142" s="228">
        <v>-128</v>
      </c>
      <c r="AZ142" s="229">
        <v>-0.15709999999999999</v>
      </c>
      <c r="BA142" s="228">
        <v>738</v>
      </c>
      <c r="BB142" s="228">
        <v>836</v>
      </c>
      <c r="BC142" s="228">
        <v>-98</v>
      </c>
      <c r="BD142" s="229">
        <v>-0.1166</v>
      </c>
      <c r="BE142" s="228">
        <v>3</v>
      </c>
      <c r="BF142" s="228">
        <v>2</v>
      </c>
      <c r="BG142" s="228">
        <v>1</v>
      </c>
      <c r="BH142" s="229">
        <v>0.47060000000000002</v>
      </c>
      <c r="BI142" s="230">
        <v>1241</v>
      </c>
      <c r="BJ142" s="230">
        <v>1445</v>
      </c>
      <c r="BK142" s="228">
        <v>-204</v>
      </c>
      <c r="BL142" s="229">
        <v>-0.14130000000000001</v>
      </c>
      <c r="BM142" s="228">
        <v>828</v>
      </c>
      <c r="BN142" s="230">
        <v>1215</v>
      </c>
      <c r="BO142" s="228">
        <v>-387</v>
      </c>
      <c r="BP142" s="229">
        <v>-0.31840000000000002</v>
      </c>
      <c r="BQ142" s="230">
        <v>3496</v>
      </c>
      <c r="BR142" s="230">
        <v>4312</v>
      </c>
      <c r="BS142" s="228">
        <v>-815</v>
      </c>
      <c r="BT142" s="229">
        <v>-0.18909999999999999</v>
      </c>
      <c r="BU142" s="230">
        <v>1158759</v>
      </c>
      <c r="BV142" s="230">
        <v>1491419</v>
      </c>
      <c r="BW142" s="230">
        <v>-332660</v>
      </c>
      <c r="BX142" s="229">
        <v>-0.223</v>
      </c>
      <c r="BY142" s="230">
        <v>2557</v>
      </c>
      <c r="BZ142" s="230">
        <v>2574</v>
      </c>
      <c r="CA142" s="228">
        <v>-17</v>
      </c>
      <c r="CB142" s="229">
        <v>-6.7999999999999996E-3</v>
      </c>
      <c r="CC142" s="228">
        <v>430</v>
      </c>
      <c r="CD142" s="230">
        <v>1019</v>
      </c>
      <c r="CE142" s="228">
        <v>-589</v>
      </c>
      <c r="CF142" s="229">
        <v>-0.57789999999999997</v>
      </c>
      <c r="CG142" s="230">
        <v>2116</v>
      </c>
      <c r="CH142" s="230">
        <v>1547</v>
      </c>
      <c r="CI142" s="228">
        <v>570</v>
      </c>
      <c r="CJ142" s="229">
        <v>0.36840000000000001</v>
      </c>
      <c r="CK142" s="228">
        <v>10</v>
      </c>
      <c r="CL142" s="228">
        <v>9</v>
      </c>
      <c r="CM142" s="228">
        <v>2</v>
      </c>
      <c r="CN142" s="229">
        <v>0.2</v>
      </c>
      <c r="CO142" s="230">
        <v>1036</v>
      </c>
      <c r="CP142" s="230">
        <v>1014</v>
      </c>
      <c r="CQ142" s="228">
        <v>22</v>
      </c>
      <c r="CR142" s="229">
        <v>2.1700000000000001E-2</v>
      </c>
      <c r="CS142" s="228">
        <v>867</v>
      </c>
      <c r="CT142" s="228">
        <v>979</v>
      </c>
      <c r="CU142" s="228">
        <v>-112</v>
      </c>
      <c r="CV142" s="229">
        <v>-0.1145</v>
      </c>
      <c r="CW142" s="230">
        <v>4459</v>
      </c>
      <c r="CX142" s="230">
        <v>4567</v>
      </c>
      <c r="CY142" s="228">
        <v>-107</v>
      </c>
      <c r="CZ142" s="229">
        <v>-2.35E-2</v>
      </c>
      <c r="DA142" s="228">
        <v>20.02</v>
      </c>
      <c r="DB142" s="228">
        <v>19.14</v>
      </c>
      <c r="DC142" s="228">
        <v>0.88</v>
      </c>
      <c r="DD142" s="228">
        <v>0.88</v>
      </c>
      <c r="DE142" s="228">
        <v>24.3</v>
      </c>
      <c r="DF142" s="228">
        <v>24.36</v>
      </c>
      <c r="DG142" s="228">
        <v>-4.28</v>
      </c>
      <c r="DH142" s="228">
        <v>-0.06</v>
      </c>
      <c r="DI142" s="228">
        <v>20.03</v>
      </c>
      <c r="DJ142" s="228">
        <v>18.75</v>
      </c>
      <c r="DK142" s="228">
        <v>1.28</v>
      </c>
      <c r="DL142" s="228">
        <v>1.28</v>
      </c>
      <c r="DM142" s="228">
        <v>20.010000000000002</v>
      </c>
      <c r="DN142" s="228">
        <v>19.579999999999998</v>
      </c>
      <c r="DO142" s="228">
        <v>0.43</v>
      </c>
      <c r="DP142" s="228">
        <v>0.43</v>
      </c>
      <c r="DQ142" s="228">
        <v>0.84</v>
      </c>
      <c r="DR142" s="228">
        <v>0.97</v>
      </c>
      <c r="DS142" s="228">
        <v>-0.13</v>
      </c>
      <c r="DT142" s="229">
        <v>-0.13400000000000001</v>
      </c>
      <c r="DU142" s="231">
        <v>1300</v>
      </c>
      <c r="DV142" s="231">
        <v>1200</v>
      </c>
      <c r="DW142" s="228">
        <v>0.67</v>
      </c>
      <c r="DX142" s="228">
        <v>0.84</v>
      </c>
      <c r="DY142" s="228">
        <v>-0.17</v>
      </c>
      <c r="DZ142" s="229">
        <v>-0.2024</v>
      </c>
      <c r="EA142" s="229">
        <v>0.83179999999999998</v>
      </c>
      <c r="EB142" s="230">
        <v>12107000</v>
      </c>
      <c r="EC142" s="229">
        <v>5.5999999999999999E-3</v>
      </c>
      <c r="ED142" s="229">
        <v>0.83179999999999998</v>
      </c>
      <c r="EE142" s="228">
        <v>7.28</v>
      </c>
      <c r="EF142" s="229">
        <v>5.7000000000000002E-3</v>
      </c>
      <c r="EG142" s="230">
        <v>708546</v>
      </c>
      <c r="EH142" s="230">
        <v>877323</v>
      </c>
      <c r="EI142" s="229">
        <v>-0.19239999999999999</v>
      </c>
      <c r="EJ142" s="229">
        <v>0.61150000000000004</v>
      </c>
      <c r="EK142" s="231">
        <v>1273.21</v>
      </c>
      <c r="EL142" s="228">
        <v>808.93</v>
      </c>
      <c r="EM142" s="231">
        <v>1431.17</v>
      </c>
      <c r="EN142" s="228">
        <v>139.47999999999999</v>
      </c>
      <c r="EO142" s="231">
        <v>3513.3</v>
      </c>
      <c r="EP142" s="231">
        <v>4307.78</v>
      </c>
      <c r="EQ142" s="228">
        <v>-794.48</v>
      </c>
      <c r="ER142" s="229">
        <v>-0.18440000000000001</v>
      </c>
      <c r="ES142" s="231">
        <v>1027.68</v>
      </c>
      <c r="ET142" s="228">
        <v>820.42</v>
      </c>
      <c r="EU142" s="231">
        <v>2568.85</v>
      </c>
      <c r="EV142" s="231">
        <v>71801274</v>
      </c>
      <c r="EW142" s="231">
        <v>4416.95</v>
      </c>
      <c r="EX142" s="231">
        <v>4509.3500000000004</v>
      </c>
      <c r="EY142" s="228">
        <v>-92.4</v>
      </c>
      <c r="EZ142" s="229">
        <v>-2.0500000000000001E-2</v>
      </c>
      <c r="FA142" s="229">
        <v>0.48349999999999999</v>
      </c>
      <c r="FB142" s="227" t="s">
        <v>556</v>
      </c>
      <c r="FC142">
        <f t="shared" si="2"/>
        <v>2127</v>
      </c>
    </row>
    <row r="143" spans="1:159" ht="17.25" thickBot="1" x14ac:dyDescent="0.3">
      <c r="A143" s="226">
        <v>45957</v>
      </c>
      <c r="B143" s="227" t="s">
        <v>161</v>
      </c>
      <c r="C143" s="227" t="s">
        <v>585</v>
      </c>
      <c r="D143" s="228">
        <v>6400</v>
      </c>
      <c r="E143" s="228">
        <v>1</v>
      </c>
      <c r="F143" s="228">
        <v>85.1</v>
      </c>
      <c r="G143" s="228">
        <v>84.89</v>
      </c>
      <c r="H143" s="228">
        <v>0.21</v>
      </c>
      <c r="I143" s="229">
        <v>2.5000000000000001E-3</v>
      </c>
      <c r="J143" s="228">
        <v>85.02</v>
      </c>
      <c r="K143" s="228">
        <v>84.79</v>
      </c>
      <c r="L143" s="228">
        <v>0.23</v>
      </c>
      <c r="M143" s="229">
        <v>2.7000000000000001E-3</v>
      </c>
      <c r="N143" s="228">
        <v>85.1</v>
      </c>
      <c r="O143" s="228">
        <v>84.89</v>
      </c>
      <c r="P143" s="228">
        <v>0.21</v>
      </c>
      <c r="Q143" s="229">
        <v>2.5000000000000001E-3</v>
      </c>
      <c r="R143" s="228">
        <v>85.57</v>
      </c>
      <c r="S143" s="228">
        <v>85.34</v>
      </c>
      <c r="T143" s="228">
        <v>0.23</v>
      </c>
      <c r="U143" s="229">
        <v>2.7000000000000001E-3</v>
      </c>
      <c r="V143" s="228">
        <v>86.17</v>
      </c>
      <c r="W143" s="228">
        <v>85.99</v>
      </c>
      <c r="X143" s="228">
        <v>0.18</v>
      </c>
      <c r="Y143" s="229">
        <v>2.0999999999999999E-3</v>
      </c>
      <c r="Z143" s="228">
        <v>0.08</v>
      </c>
      <c r="AA143" s="228">
        <v>0.1</v>
      </c>
      <c r="AB143" s="228">
        <v>-0.02</v>
      </c>
      <c r="AC143" s="229">
        <v>8.9999999999999998E-4</v>
      </c>
      <c r="AD143" s="228">
        <v>0.08</v>
      </c>
      <c r="AE143" s="228">
        <v>0.1</v>
      </c>
      <c r="AF143" s="228">
        <v>-0.02</v>
      </c>
      <c r="AG143" s="229">
        <v>8.9999999999999998E-4</v>
      </c>
      <c r="AH143" s="228">
        <v>0.55000000000000004</v>
      </c>
      <c r="AI143" s="228">
        <v>0.55000000000000004</v>
      </c>
      <c r="AJ143" s="228">
        <v>0</v>
      </c>
      <c r="AK143" s="229">
        <v>6.4999999999999997E-3</v>
      </c>
      <c r="AL143" s="228">
        <v>1.1499999999999999</v>
      </c>
      <c r="AM143" s="228">
        <v>1.2</v>
      </c>
      <c r="AN143" s="228">
        <v>-0.05</v>
      </c>
      <c r="AO143" s="229">
        <v>1.35E-2</v>
      </c>
      <c r="AP143" s="228">
        <v>85.1</v>
      </c>
      <c r="AQ143" s="228">
        <v>85.55</v>
      </c>
      <c r="AR143" s="228">
        <v>0</v>
      </c>
      <c r="AS143" s="228">
        <v>304</v>
      </c>
      <c r="AT143" s="228">
        <v>454</v>
      </c>
      <c r="AU143" s="228">
        <v>-150</v>
      </c>
      <c r="AV143" s="229">
        <v>-0.32950000000000002</v>
      </c>
      <c r="AW143" s="228">
        <v>139</v>
      </c>
      <c r="AX143" s="228">
        <v>210</v>
      </c>
      <c r="AY143" s="228">
        <v>-70</v>
      </c>
      <c r="AZ143" s="229">
        <v>-0.33460000000000001</v>
      </c>
      <c r="BA143" s="228">
        <v>163</v>
      </c>
      <c r="BB143" s="228">
        <v>242</v>
      </c>
      <c r="BC143" s="228">
        <v>-79</v>
      </c>
      <c r="BD143" s="229">
        <v>-0.32650000000000001</v>
      </c>
      <c r="BE143" s="228">
        <v>2</v>
      </c>
      <c r="BF143" s="228">
        <v>2</v>
      </c>
      <c r="BG143" s="228">
        <v>0</v>
      </c>
      <c r="BH143" s="229">
        <v>-0.16669999999999999</v>
      </c>
      <c r="BI143" s="228">
        <v>77</v>
      </c>
      <c r="BJ143" s="228">
        <v>185</v>
      </c>
      <c r="BK143" s="228">
        <v>-108</v>
      </c>
      <c r="BL143" s="229">
        <v>-0.58220000000000005</v>
      </c>
      <c r="BM143" s="228">
        <v>29</v>
      </c>
      <c r="BN143" s="228">
        <v>92</v>
      </c>
      <c r="BO143" s="228">
        <v>-64</v>
      </c>
      <c r="BP143" s="229">
        <v>-0.68889999999999996</v>
      </c>
      <c r="BQ143" s="228">
        <v>411</v>
      </c>
      <c r="BR143" s="228">
        <v>732</v>
      </c>
      <c r="BS143" s="228">
        <v>-321</v>
      </c>
      <c r="BT143" s="229">
        <v>-0.43880000000000002</v>
      </c>
      <c r="BU143" s="230">
        <v>7482359</v>
      </c>
      <c r="BV143" s="230">
        <v>17648590</v>
      </c>
      <c r="BW143" s="230">
        <v>-10166231</v>
      </c>
      <c r="BX143" s="229">
        <v>-0.57599999999999996</v>
      </c>
      <c r="BY143" s="228">
        <v>469</v>
      </c>
      <c r="BZ143" s="228">
        <v>473</v>
      </c>
      <c r="CA143" s="228">
        <v>-3</v>
      </c>
      <c r="CB143" s="229">
        <v>-7.1000000000000004E-3</v>
      </c>
      <c r="CC143" s="228">
        <v>64</v>
      </c>
      <c r="CD143" s="228">
        <v>172</v>
      </c>
      <c r="CE143" s="228">
        <v>-109</v>
      </c>
      <c r="CF143" s="229">
        <v>-0.63129999999999997</v>
      </c>
      <c r="CG143" s="228">
        <v>397</v>
      </c>
      <c r="CH143" s="228">
        <v>293</v>
      </c>
      <c r="CI143" s="228">
        <v>104</v>
      </c>
      <c r="CJ143" s="229">
        <v>0.35570000000000002</v>
      </c>
      <c r="CK143" s="228">
        <v>9</v>
      </c>
      <c r="CL143" s="228">
        <v>8</v>
      </c>
      <c r="CM143" s="228">
        <v>1</v>
      </c>
      <c r="CN143" s="229">
        <v>0.1799</v>
      </c>
      <c r="CO143" s="228">
        <v>234</v>
      </c>
      <c r="CP143" s="228">
        <v>232</v>
      </c>
      <c r="CQ143" s="228">
        <v>2</v>
      </c>
      <c r="CR143" s="229">
        <v>7.0000000000000001E-3</v>
      </c>
      <c r="CS143" s="228">
        <v>97</v>
      </c>
      <c r="CT143" s="228">
        <v>94</v>
      </c>
      <c r="CU143" s="228">
        <v>2</v>
      </c>
      <c r="CV143" s="229">
        <v>2.3099999999999999E-2</v>
      </c>
      <c r="CW143" s="228">
        <v>800</v>
      </c>
      <c r="CX143" s="228">
        <v>799</v>
      </c>
      <c r="CY143" s="228">
        <v>0</v>
      </c>
      <c r="CZ143" s="229">
        <v>5.0000000000000001E-4</v>
      </c>
      <c r="DA143" s="228">
        <v>29.47</v>
      </c>
      <c r="DB143" s="228">
        <v>29.33</v>
      </c>
      <c r="DC143" s="228">
        <v>0.14000000000000001</v>
      </c>
      <c r="DD143" s="228">
        <v>0.14000000000000001</v>
      </c>
      <c r="DE143" s="228">
        <v>39.17</v>
      </c>
      <c r="DF143" s="228">
        <v>39.270000000000003</v>
      </c>
      <c r="DG143" s="228">
        <v>-9.6999999999999993</v>
      </c>
      <c r="DH143" s="228">
        <v>-0.1</v>
      </c>
      <c r="DI143" s="228">
        <v>29.86</v>
      </c>
      <c r="DJ143" s="228">
        <v>29.78</v>
      </c>
      <c r="DK143" s="228">
        <v>0.08</v>
      </c>
      <c r="DL143" s="228">
        <v>0.08</v>
      </c>
      <c r="DM143" s="228">
        <v>28.56</v>
      </c>
      <c r="DN143" s="228">
        <v>28.34</v>
      </c>
      <c r="DO143" s="228">
        <v>0.22</v>
      </c>
      <c r="DP143" s="228">
        <v>0.22</v>
      </c>
      <c r="DQ143" s="228">
        <v>0.41</v>
      </c>
      <c r="DR143" s="228">
        <v>0.41</v>
      </c>
      <c r="DS143" s="228">
        <v>0</v>
      </c>
      <c r="DT143" s="229">
        <v>0</v>
      </c>
      <c r="DU143" s="228">
        <v>90</v>
      </c>
      <c r="DV143" s="228">
        <v>85</v>
      </c>
      <c r="DW143" s="228">
        <v>0.37</v>
      </c>
      <c r="DX143" s="228">
        <v>0.5</v>
      </c>
      <c r="DY143" s="228">
        <v>-0.13</v>
      </c>
      <c r="DZ143" s="229">
        <v>-0.26</v>
      </c>
      <c r="EA143" s="229">
        <v>0.86450000000000005</v>
      </c>
      <c r="EB143" s="230">
        <v>35276800</v>
      </c>
      <c r="EC143" s="229">
        <v>5.4999999999999997E-3</v>
      </c>
      <c r="ED143" s="229">
        <v>0.86450000000000005</v>
      </c>
      <c r="EE143" s="228">
        <v>0.45</v>
      </c>
      <c r="EF143" s="229">
        <v>5.3E-3</v>
      </c>
      <c r="EG143" s="230">
        <v>4161289</v>
      </c>
      <c r="EH143" s="230">
        <v>10944632</v>
      </c>
      <c r="EI143" s="229">
        <v>-0.61980000000000002</v>
      </c>
      <c r="EJ143" s="229">
        <v>0.55610000000000004</v>
      </c>
      <c r="EK143" s="228">
        <v>80.64</v>
      </c>
      <c r="EL143" s="228">
        <v>28.78</v>
      </c>
      <c r="EM143" s="228">
        <v>305.29000000000002</v>
      </c>
      <c r="EN143" s="228">
        <v>39.4</v>
      </c>
      <c r="EO143" s="228">
        <v>414.71</v>
      </c>
      <c r="EP143" s="228">
        <v>746.13</v>
      </c>
      <c r="EQ143" s="228">
        <v>-331.42</v>
      </c>
      <c r="ER143" s="229">
        <v>-0.44419999999999998</v>
      </c>
      <c r="ES143" s="228">
        <v>249.62</v>
      </c>
      <c r="ET143" s="228">
        <v>94.96</v>
      </c>
      <c r="EU143" s="228">
        <v>471.51</v>
      </c>
      <c r="EV143" s="231">
        <v>398201603</v>
      </c>
      <c r="EW143" s="228">
        <v>816.09</v>
      </c>
      <c r="EX143" s="228">
        <v>813.64</v>
      </c>
      <c r="EY143" s="228">
        <v>2.4500000000000002</v>
      </c>
      <c r="EZ143" s="229">
        <v>3.0000000000000001E-3</v>
      </c>
      <c r="FA143" s="229">
        <v>0.23599999999999999</v>
      </c>
      <c r="FB143" s="227" t="s">
        <v>556</v>
      </c>
      <c r="FC143">
        <f t="shared" si="2"/>
        <v>405</v>
      </c>
    </row>
    <row r="144" spans="1:159" ht="17.25" thickBot="1" x14ac:dyDescent="0.3">
      <c r="A144" s="226">
        <v>45957</v>
      </c>
      <c r="B144" s="227" t="s">
        <v>181</v>
      </c>
      <c r="C144" s="227" t="s">
        <v>266</v>
      </c>
      <c r="D144" s="228">
        <v>75</v>
      </c>
      <c r="E144" s="228">
        <v>1</v>
      </c>
      <c r="F144" s="231">
        <v>26013.5</v>
      </c>
      <c r="G144" s="231">
        <v>25814.799999999999</v>
      </c>
      <c r="H144" s="228">
        <v>198.7</v>
      </c>
      <c r="I144" s="229">
        <v>7.7000000000000002E-3</v>
      </c>
      <c r="J144" s="231">
        <v>25966.05</v>
      </c>
      <c r="K144" s="231">
        <v>25795.15</v>
      </c>
      <c r="L144" s="228">
        <v>170.9</v>
      </c>
      <c r="M144" s="229">
        <v>6.6E-3</v>
      </c>
      <c r="N144" s="231">
        <v>26013.5</v>
      </c>
      <c r="O144" s="231">
        <v>25814.799999999999</v>
      </c>
      <c r="P144" s="228">
        <v>198.7</v>
      </c>
      <c r="Q144" s="229">
        <v>7.7000000000000002E-3</v>
      </c>
      <c r="R144" s="231">
        <v>26168.400000000001</v>
      </c>
      <c r="S144" s="231">
        <v>25952</v>
      </c>
      <c r="T144" s="228">
        <v>216.4</v>
      </c>
      <c r="U144" s="229">
        <v>8.3000000000000001E-3</v>
      </c>
      <c r="V144" s="231">
        <v>26347.3</v>
      </c>
      <c r="W144" s="231">
        <v>26130.2</v>
      </c>
      <c r="X144" s="228">
        <v>217.1</v>
      </c>
      <c r="Y144" s="229">
        <v>8.3000000000000001E-3</v>
      </c>
      <c r="Z144" s="228">
        <v>47.45</v>
      </c>
      <c r="AA144" s="228">
        <v>19.649999999999999</v>
      </c>
      <c r="AB144" s="228">
        <v>27.8</v>
      </c>
      <c r="AC144" s="229">
        <v>1.8E-3</v>
      </c>
      <c r="AD144" s="228">
        <v>47.45</v>
      </c>
      <c r="AE144" s="228">
        <v>19.649999999999999</v>
      </c>
      <c r="AF144" s="228">
        <v>27.8</v>
      </c>
      <c r="AG144" s="229">
        <v>1.8E-3</v>
      </c>
      <c r="AH144" s="228">
        <v>202.35</v>
      </c>
      <c r="AI144" s="228">
        <v>156.85</v>
      </c>
      <c r="AJ144" s="228">
        <v>45.5</v>
      </c>
      <c r="AK144" s="229">
        <v>7.7999999999999996E-3</v>
      </c>
      <c r="AL144" s="228">
        <v>381.25</v>
      </c>
      <c r="AM144" s="228">
        <v>335.05</v>
      </c>
      <c r="AN144" s="228">
        <v>46.2</v>
      </c>
      <c r="AO144" s="229">
        <v>1.47E-2</v>
      </c>
      <c r="AP144" s="231">
        <v>26005.58</v>
      </c>
      <c r="AQ144" s="231">
        <v>26151.65</v>
      </c>
      <c r="AR144" s="228">
        <v>0</v>
      </c>
      <c r="AS144" s="230">
        <v>39101</v>
      </c>
      <c r="AT144" s="230">
        <v>27665</v>
      </c>
      <c r="AU144" s="230">
        <v>11437</v>
      </c>
      <c r="AV144" s="229">
        <v>0.41339999999999999</v>
      </c>
      <c r="AW144" s="230">
        <v>19908</v>
      </c>
      <c r="AX144" s="230">
        <v>17883</v>
      </c>
      <c r="AY144" s="230">
        <v>2025</v>
      </c>
      <c r="AZ144" s="229">
        <v>0.1132</v>
      </c>
      <c r="BA144" s="230">
        <v>18217</v>
      </c>
      <c r="BB144" s="230">
        <v>8961</v>
      </c>
      <c r="BC144" s="230">
        <v>9257</v>
      </c>
      <c r="BD144" s="229">
        <v>1.0329999999999999</v>
      </c>
      <c r="BE144" s="228">
        <v>976</v>
      </c>
      <c r="BF144" s="228">
        <v>821</v>
      </c>
      <c r="BG144" s="228">
        <v>155</v>
      </c>
      <c r="BH144" s="229">
        <v>0.189</v>
      </c>
      <c r="BI144" s="230">
        <v>13007411</v>
      </c>
      <c r="BJ144" s="230">
        <v>11359451</v>
      </c>
      <c r="BK144" s="230">
        <v>1647960</v>
      </c>
      <c r="BL144" s="229">
        <v>0.14510000000000001</v>
      </c>
      <c r="BM144" s="230">
        <v>12533491</v>
      </c>
      <c r="BN144" s="230">
        <v>12314717</v>
      </c>
      <c r="BO144" s="230">
        <v>218774</v>
      </c>
      <c r="BP144" s="229">
        <v>1.78E-2</v>
      </c>
      <c r="BQ144" s="230">
        <v>25580003</v>
      </c>
      <c r="BR144" s="230">
        <v>23701832</v>
      </c>
      <c r="BS144" s="230">
        <v>1878171</v>
      </c>
      <c r="BT144" s="229">
        <v>7.9200000000000007E-2</v>
      </c>
      <c r="BU144" s="228">
        <v>0</v>
      </c>
      <c r="BV144" s="228">
        <v>0</v>
      </c>
      <c r="BW144" s="228">
        <v>0</v>
      </c>
      <c r="BX144" s="229">
        <v>0</v>
      </c>
      <c r="BY144" s="230">
        <v>50122</v>
      </c>
      <c r="BZ144" s="230">
        <v>49988</v>
      </c>
      <c r="CA144" s="228">
        <v>134</v>
      </c>
      <c r="CB144" s="229">
        <v>2.7000000000000001E-3</v>
      </c>
      <c r="CC144" s="230">
        <v>21789</v>
      </c>
      <c r="CD144" s="230">
        <v>33413</v>
      </c>
      <c r="CE144" s="230">
        <v>-11625</v>
      </c>
      <c r="CF144" s="229">
        <v>-0.34789999999999999</v>
      </c>
      <c r="CG144" s="230">
        <v>26211</v>
      </c>
      <c r="CH144" s="230">
        <v>14656</v>
      </c>
      <c r="CI144" s="230">
        <v>11555</v>
      </c>
      <c r="CJ144" s="229">
        <v>0.78839999999999999</v>
      </c>
      <c r="CK144" s="230">
        <v>2122</v>
      </c>
      <c r="CL144" s="230">
        <v>1919</v>
      </c>
      <c r="CM144" s="228">
        <v>204</v>
      </c>
      <c r="CN144" s="229">
        <v>0.1062</v>
      </c>
      <c r="CO144" s="230">
        <v>759404</v>
      </c>
      <c r="CP144" s="230">
        <v>858472</v>
      </c>
      <c r="CQ144" s="230">
        <v>-99068</v>
      </c>
      <c r="CR144" s="229">
        <v>-0.1154</v>
      </c>
      <c r="CS144" s="230">
        <v>813828</v>
      </c>
      <c r="CT144" s="230">
        <v>648439</v>
      </c>
      <c r="CU144" s="230">
        <v>165388</v>
      </c>
      <c r="CV144" s="229">
        <v>0.25509999999999999</v>
      </c>
      <c r="CW144" s="230">
        <v>1623353</v>
      </c>
      <c r="CX144" s="230">
        <v>1556900</v>
      </c>
      <c r="CY144" s="230">
        <v>66454</v>
      </c>
      <c r="CZ144" s="229">
        <v>4.2700000000000002E-2</v>
      </c>
      <c r="DA144" s="228">
        <v>12.46</v>
      </c>
      <c r="DB144" s="228">
        <v>11.34</v>
      </c>
      <c r="DC144" s="228">
        <v>1.1200000000000001</v>
      </c>
      <c r="DD144" s="228">
        <v>1.1200000000000001</v>
      </c>
      <c r="DE144" s="228">
        <v>14.93</v>
      </c>
      <c r="DF144" s="228">
        <v>14.94</v>
      </c>
      <c r="DG144" s="228">
        <v>-2.4700000000000002</v>
      </c>
      <c r="DH144" s="228">
        <v>-0.01</v>
      </c>
      <c r="DI144" s="228">
        <v>11.71</v>
      </c>
      <c r="DJ144" s="228">
        <v>11.09</v>
      </c>
      <c r="DK144" s="228">
        <v>0.62</v>
      </c>
      <c r="DL144" s="228">
        <v>0.62</v>
      </c>
      <c r="DM144" s="228">
        <v>13.42</v>
      </c>
      <c r="DN144" s="228">
        <v>11.62</v>
      </c>
      <c r="DO144" s="228">
        <v>1.8</v>
      </c>
      <c r="DP144" s="228">
        <v>1.8</v>
      </c>
      <c r="DQ144" s="228">
        <v>1.07</v>
      </c>
      <c r="DR144" s="228">
        <v>0.76</v>
      </c>
      <c r="DS144" s="228">
        <v>0.31</v>
      </c>
      <c r="DT144" s="229">
        <v>0.40789999999999998</v>
      </c>
      <c r="DU144" s="231">
        <v>26500</v>
      </c>
      <c r="DV144" s="231">
        <v>25900</v>
      </c>
      <c r="DW144" s="228">
        <v>0.96</v>
      </c>
      <c r="DX144" s="228">
        <v>1.08</v>
      </c>
      <c r="DY144" s="228">
        <v>-0.12</v>
      </c>
      <c r="DZ144" s="229">
        <v>-0.1111</v>
      </c>
      <c r="EA144" s="229">
        <v>0.56530000000000002</v>
      </c>
      <c r="EB144" s="230">
        <v>6371700</v>
      </c>
      <c r="EC144" s="229">
        <v>6.0000000000000001E-3</v>
      </c>
      <c r="ED144" s="229">
        <v>0.56530000000000002</v>
      </c>
      <c r="EE144" s="228">
        <v>146.07</v>
      </c>
      <c r="EF144" s="229">
        <v>5.5999999999999999E-3</v>
      </c>
      <c r="EG144" s="228">
        <v>0</v>
      </c>
      <c r="EH144" s="228">
        <v>0</v>
      </c>
      <c r="EI144" s="229">
        <v>0</v>
      </c>
      <c r="EJ144" s="229">
        <v>0</v>
      </c>
      <c r="EK144" s="231">
        <v>13130332.02</v>
      </c>
      <c r="EL144" s="231">
        <v>12367922.140000001</v>
      </c>
      <c r="EM144" s="231">
        <v>39203.61</v>
      </c>
      <c r="EN144" s="231">
        <v>1020.67</v>
      </c>
      <c r="EO144" s="231">
        <v>25537457.760000002</v>
      </c>
      <c r="EP144" s="231">
        <v>23620984.129999999</v>
      </c>
      <c r="EQ144" s="231">
        <v>1916473.63</v>
      </c>
      <c r="ER144" s="229">
        <v>8.1100000000000005E-2</v>
      </c>
      <c r="ES144" s="231">
        <v>770223.06</v>
      </c>
      <c r="ET144" s="231">
        <v>785588.89</v>
      </c>
      <c r="EU144" s="231">
        <v>50305.41</v>
      </c>
      <c r="EV144" s="228">
        <v>0</v>
      </c>
      <c r="EW144" s="231">
        <v>1606117.36</v>
      </c>
      <c r="EX144" s="231">
        <v>1541221.05</v>
      </c>
      <c r="EY144" s="231">
        <v>64896.31</v>
      </c>
      <c r="EZ144" s="229">
        <v>4.2099999999999999E-2</v>
      </c>
      <c r="FA144" s="229">
        <v>0</v>
      </c>
      <c r="FB144" s="227" t="s">
        <v>555</v>
      </c>
      <c r="FC144">
        <f t="shared" si="2"/>
        <v>28333</v>
      </c>
    </row>
    <row r="145" spans="1:159" ht="17.25" thickBot="1" x14ac:dyDescent="0.3">
      <c r="A145" s="226">
        <v>45957</v>
      </c>
      <c r="B145" s="227" t="s">
        <v>181</v>
      </c>
      <c r="C145" s="227" t="s">
        <v>566</v>
      </c>
      <c r="D145" s="228">
        <v>25</v>
      </c>
      <c r="E145" s="228">
        <v>1</v>
      </c>
      <c r="F145" s="231">
        <v>69571</v>
      </c>
      <c r="G145" s="231">
        <v>69273.2</v>
      </c>
      <c r="H145" s="228">
        <v>297.8</v>
      </c>
      <c r="I145" s="229">
        <v>4.3E-3</v>
      </c>
      <c r="J145" s="231">
        <v>69612.2</v>
      </c>
      <c r="K145" s="231">
        <v>69355.899999999994</v>
      </c>
      <c r="L145" s="228">
        <v>256.3</v>
      </c>
      <c r="M145" s="229">
        <v>3.7000000000000002E-3</v>
      </c>
      <c r="N145" s="231">
        <v>69571</v>
      </c>
      <c r="O145" s="231">
        <v>69273.2</v>
      </c>
      <c r="P145" s="228">
        <v>297.8</v>
      </c>
      <c r="Q145" s="229">
        <v>4.3E-3</v>
      </c>
      <c r="R145" s="231">
        <v>69889.600000000006</v>
      </c>
      <c r="S145" s="231">
        <v>69611.199999999997</v>
      </c>
      <c r="T145" s="228">
        <v>278.39999999999998</v>
      </c>
      <c r="U145" s="229">
        <v>4.0000000000000001E-3</v>
      </c>
      <c r="V145" s="231">
        <v>70400</v>
      </c>
      <c r="W145" s="231">
        <v>70400</v>
      </c>
      <c r="X145" s="228">
        <v>0</v>
      </c>
      <c r="Y145" s="229">
        <v>0</v>
      </c>
      <c r="Z145" s="228">
        <v>-41.2</v>
      </c>
      <c r="AA145" s="228">
        <v>-82.7</v>
      </c>
      <c r="AB145" s="228">
        <v>41.5</v>
      </c>
      <c r="AC145" s="229">
        <v>-5.9999999999999995E-4</v>
      </c>
      <c r="AD145" s="228">
        <v>-41.2</v>
      </c>
      <c r="AE145" s="228">
        <v>-82.7</v>
      </c>
      <c r="AF145" s="228">
        <v>41.5</v>
      </c>
      <c r="AG145" s="229">
        <v>-5.9999999999999995E-4</v>
      </c>
      <c r="AH145" s="228">
        <v>277.39999999999998</v>
      </c>
      <c r="AI145" s="228">
        <v>255.3</v>
      </c>
      <c r="AJ145" s="228">
        <v>22.1</v>
      </c>
      <c r="AK145" s="229">
        <v>4.0000000000000001E-3</v>
      </c>
      <c r="AL145" s="228">
        <v>787.8</v>
      </c>
      <c r="AM145" s="231">
        <v>1044.0999999999999</v>
      </c>
      <c r="AN145" s="228">
        <v>-256.3</v>
      </c>
      <c r="AO145" s="229">
        <v>1.1299999999999999E-2</v>
      </c>
      <c r="AP145" s="231">
        <v>69536.86</v>
      </c>
      <c r="AQ145" s="231">
        <v>69858.86</v>
      </c>
      <c r="AR145" s="228">
        <v>0</v>
      </c>
      <c r="AS145" s="228">
        <v>123</v>
      </c>
      <c r="AT145" s="228">
        <v>90</v>
      </c>
      <c r="AU145" s="228">
        <v>33</v>
      </c>
      <c r="AV145" s="229">
        <v>0.3649</v>
      </c>
      <c r="AW145" s="228">
        <v>66</v>
      </c>
      <c r="AX145" s="228">
        <v>56</v>
      </c>
      <c r="AY145" s="228">
        <v>11</v>
      </c>
      <c r="AZ145" s="229">
        <v>0.19</v>
      </c>
      <c r="BA145" s="228">
        <v>55</v>
      </c>
      <c r="BB145" s="228">
        <v>34</v>
      </c>
      <c r="BC145" s="228">
        <v>21</v>
      </c>
      <c r="BD145" s="229">
        <v>0.60409999999999997</v>
      </c>
      <c r="BE145" s="228">
        <v>2</v>
      </c>
      <c r="BF145" s="228">
        <v>0</v>
      </c>
      <c r="BG145" s="228">
        <v>2</v>
      </c>
      <c r="BH145" s="229">
        <v>0</v>
      </c>
      <c r="BI145" s="228">
        <v>260</v>
      </c>
      <c r="BJ145" s="228">
        <v>157</v>
      </c>
      <c r="BK145" s="228">
        <v>102</v>
      </c>
      <c r="BL145" s="229">
        <v>0.65080000000000005</v>
      </c>
      <c r="BM145" s="228">
        <v>174</v>
      </c>
      <c r="BN145" s="228">
        <v>142</v>
      </c>
      <c r="BO145" s="228">
        <v>32</v>
      </c>
      <c r="BP145" s="229">
        <v>0.2258</v>
      </c>
      <c r="BQ145" s="228">
        <v>557</v>
      </c>
      <c r="BR145" s="228">
        <v>389</v>
      </c>
      <c r="BS145" s="228">
        <v>167</v>
      </c>
      <c r="BT145" s="229">
        <v>0.42980000000000002</v>
      </c>
      <c r="BU145" s="228">
        <v>0</v>
      </c>
      <c r="BV145" s="228">
        <v>0</v>
      </c>
      <c r="BW145" s="228">
        <v>0</v>
      </c>
      <c r="BX145" s="229">
        <v>0</v>
      </c>
      <c r="BY145" s="228">
        <v>154</v>
      </c>
      <c r="BZ145" s="228">
        <v>149</v>
      </c>
      <c r="CA145" s="228">
        <v>4</v>
      </c>
      <c r="CB145" s="229">
        <v>2.7900000000000001E-2</v>
      </c>
      <c r="CC145" s="228">
        <v>70</v>
      </c>
      <c r="CD145" s="228">
        <v>94</v>
      </c>
      <c r="CE145" s="228">
        <v>-24</v>
      </c>
      <c r="CF145" s="229">
        <v>-0.25790000000000002</v>
      </c>
      <c r="CG145" s="228">
        <v>82</v>
      </c>
      <c r="CH145" s="228">
        <v>54</v>
      </c>
      <c r="CI145" s="228">
        <v>28</v>
      </c>
      <c r="CJ145" s="229">
        <v>0.51439999999999997</v>
      </c>
      <c r="CK145" s="228">
        <v>2</v>
      </c>
      <c r="CL145" s="228">
        <v>1</v>
      </c>
      <c r="CM145" s="228">
        <v>0</v>
      </c>
      <c r="CN145" s="229">
        <v>0.28570000000000001</v>
      </c>
      <c r="CO145" s="228">
        <v>108</v>
      </c>
      <c r="CP145" s="228">
        <v>78</v>
      </c>
      <c r="CQ145" s="228">
        <v>30</v>
      </c>
      <c r="CR145" s="229">
        <v>0.37690000000000001</v>
      </c>
      <c r="CS145" s="228">
        <v>177</v>
      </c>
      <c r="CT145" s="228">
        <v>111</v>
      </c>
      <c r="CU145" s="228">
        <v>65</v>
      </c>
      <c r="CV145" s="229">
        <v>0.58660000000000001</v>
      </c>
      <c r="CW145" s="228">
        <v>438</v>
      </c>
      <c r="CX145" s="228">
        <v>339</v>
      </c>
      <c r="CY145" s="228">
        <v>99</v>
      </c>
      <c r="CZ145" s="229">
        <v>0.29220000000000002</v>
      </c>
      <c r="DA145" s="228">
        <v>24.16</v>
      </c>
      <c r="DB145" s="228">
        <v>21.01</v>
      </c>
      <c r="DC145" s="228">
        <v>3.15</v>
      </c>
      <c r="DD145" s="228">
        <v>3.15</v>
      </c>
      <c r="DE145" s="228">
        <v>20.96</v>
      </c>
      <c r="DF145" s="228">
        <v>21.01</v>
      </c>
      <c r="DG145" s="228">
        <v>3.2</v>
      </c>
      <c r="DH145" s="228">
        <v>-0.05</v>
      </c>
      <c r="DI145" s="228">
        <v>25.06</v>
      </c>
      <c r="DJ145" s="228">
        <v>21.01</v>
      </c>
      <c r="DK145" s="228">
        <v>4.05</v>
      </c>
      <c r="DL145" s="228">
        <v>4.05</v>
      </c>
      <c r="DM145" s="228">
        <v>23.26</v>
      </c>
      <c r="DN145" s="228">
        <v>21.01</v>
      </c>
      <c r="DO145" s="228">
        <v>2.25</v>
      </c>
      <c r="DP145" s="228">
        <v>2.25</v>
      </c>
      <c r="DQ145" s="228">
        <v>1.64</v>
      </c>
      <c r="DR145" s="228">
        <v>1.42</v>
      </c>
      <c r="DS145" s="228">
        <v>0.22</v>
      </c>
      <c r="DT145" s="229">
        <v>0.15490000000000001</v>
      </c>
      <c r="DU145" s="231">
        <v>70000</v>
      </c>
      <c r="DV145" s="231">
        <v>67500</v>
      </c>
      <c r="DW145" s="228">
        <v>0.67</v>
      </c>
      <c r="DX145" s="228">
        <v>0.9</v>
      </c>
      <c r="DY145" s="228">
        <v>-0.23</v>
      </c>
      <c r="DZ145" s="229">
        <v>-0.25559999999999999</v>
      </c>
      <c r="EA145" s="229">
        <v>0.54700000000000004</v>
      </c>
      <c r="EB145" s="230">
        <v>8000</v>
      </c>
      <c r="EC145" s="229">
        <v>4.5999999999999999E-3</v>
      </c>
      <c r="ED145" s="229">
        <v>0.54700000000000004</v>
      </c>
      <c r="EE145" s="228">
        <v>322</v>
      </c>
      <c r="EF145" s="229">
        <v>4.5999999999999999E-3</v>
      </c>
      <c r="EG145" s="228">
        <v>0</v>
      </c>
      <c r="EH145" s="228">
        <v>0</v>
      </c>
      <c r="EI145" s="229">
        <v>0</v>
      </c>
      <c r="EJ145" s="229">
        <v>0</v>
      </c>
      <c r="EK145" s="228">
        <v>261.02</v>
      </c>
      <c r="EL145" s="228">
        <v>171.61</v>
      </c>
      <c r="EM145" s="228">
        <v>123.18</v>
      </c>
      <c r="EN145" s="228">
        <v>0</v>
      </c>
      <c r="EO145" s="228">
        <v>555.80999999999995</v>
      </c>
      <c r="EP145" s="228">
        <v>387.19</v>
      </c>
      <c r="EQ145" s="228">
        <v>168.62</v>
      </c>
      <c r="ER145" s="229">
        <v>0.4355</v>
      </c>
      <c r="ES145" s="228">
        <v>107.52</v>
      </c>
      <c r="ET145" s="228">
        <v>172.54</v>
      </c>
      <c r="EU145" s="228">
        <v>153.97</v>
      </c>
      <c r="EV145" s="228">
        <v>0</v>
      </c>
      <c r="EW145" s="228">
        <v>434.03</v>
      </c>
      <c r="EX145" s="228">
        <v>334.99</v>
      </c>
      <c r="EY145" s="228">
        <v>99.04</v>
      </c>
      <c r="EZ145" s="229">
        <v>0.29570000000000002</v>
      </c>
      <c r="FA145" s="229">
        <v>0</v>
      </c>
      <c r="FB145" s="227" t="s">
        <v>555</v>
      </c>
      <c r="FC145">
        <f t="shared" si="2"/>
        <v>84</v>
      </c>
    </row>
    <row r="146" spans="1:159" ht="17.25" thickBot="1" x14ac:dyDescent="0.3">
      <c r="A146" s="226">
        <v>45957</v>
      </c>
      <c r="B146" s="227" t="s">
        <v>227</v>
      </c>
      <c r="C146" s="227" t="s">
        <v>267</v>
      </c>
      <c r="D146" s="228">
        <v>13500</v>
      </c>
      <c r="E146" s="228">
        <v>1</v>
      </c>
      <c r="F146" s="228">
        <v>74.430000000000007</v>
      </c>
      <c r="G146" s="228">
        <v>74.28</v>
      </c>
      <c r="H146" s="228">
        <v>0.15</v>
      </c>
      <c r="I146" s="229">
        <v>2E-3</v>
      </c>
      <c r="J146" s="228">
        <v>74.37</v>
      </c>
      <c r="K146" s="228">
        <v>74.19</v>
      </c>
      <c r="L146" s="228">
        <v>0.18</v>
      </c>
      <c r="M146" s="229">
        <v>2.3999999999999998E-3</v>
      </c>
      <c r="N146" s="228">
        <v>74.430000000000007</v>
      </c>
      <c r="O146" s="228">
        <v>74.28</v>
      </c>
      <c r="P146" s="228">
        <v>0.15</v>
      </c>
      <c r="Q146" s="229">
        <v>2E-3</v>
      </c>
      <c r="R146" s="228">
        <v>74.86</v>
      </c>
      <c r="S146" s="228">
        <v>74.680000000000007</v>
      </c>
      <c r="T146" s="228">
        <v>0.18</v>
      </c>
      <c r="U146" s="229">
        <v>2.3999999999999998E-3</v>
      </c>
      <c r="V146" s="228">
        <v>75.38</v>
      </c>
      <c r="W146" s="228">
        <v>75.14</v>
      </c>
      <c r="X146" s="228">
        <v>0.24</v>
      </c>
      <c r="Y146" s="229">
        <v>3.2000000000000002E-3</v>
      </c>
      <c r="Z146" s="228">
        <v>0.06</v>
      </c>
      <c r="AA146" s="228">
        <v>0.09</v>
      </c>
      <c r="AB146" s="228">
        <v>-0.03</v>
      </c>
      <c r="AC146" s="229">
        <v>8.0000000000000004E-4</v>
      </c>
      <c r="AD146" s="228">
        <v>0.06</v>
      </c>
      <c r="AE146" s="228">
        <v>0.09</v>
      </c>
      <c r="AF146" s="228">
        <v>-0.03</v>
      </c>
      <c r="AG146" s="229">
        <v>8.0000000000000004E-4</v>
      </c>
      <c r="AH146" s="228">
        <v>0.49</v>
      </c>
      <c r="AI146" s="228">
        <v>0.49</v>
      </c>
      <c r="AJ146" s="228">
        <v>0</v>
      </c>
      <c r="AK146" s="229">
        <v>6.6E-3</v>
      </c>
      <c r="AL146" s="228">
        <v>1.01</v>
      </c>
      <c r="AM146" s="228">
        <v>0.95</v>
      </c>
      <c r="AN146" s="228">
        <v>0.06</v>
      </c>
      <c r="AO146" s="229">
        <v>1.3599999999999999E-2</v>
      </c>
      <c r="AP146" s="228">
        <v>74.39</v>
      </c>
      <c r="AQ146" s="228">
        <v>74.8</v>
      </c>
      <c r="AR146" s="228">
        <v>0</v>
      </c>
      <c r="AS146" s="230">
        <v>1789</v>
      </c>
      <c r="AT146" s="230">
        <v>1158</v>
      </c>
      <c r="AU146" s="228">
        <v>632</v>
      </c>
      <c r="AV146" s="229">
        <v>0.54579999999999995</v>
      </c>
      <c r="AW146" s="228">
        <v>872</v>
      </c>
      <c r="AX146" s="228">
        <v>572</v>
      </c>
      <c r="AY146" s="228">
        <v>300</v>
      </c>
      <c r="AZ146" s="229">
        <v>0.52439999999999998</v>
      </c>
      <c r="BA146" s="228">
        <v>902</v>
      </c>
      <c r="BB146" s="228">
        <v>576</v>
      </c>
      <c r="BC146" s="228">
        <v>325</v>
      </c>
      <c r="BD146" s="229">
        <v>0.56410000000000005</v>
      </c>
      <c r="BE146" s="228">
        <v>15</v>
      </c>
      <c r="BF146" s="228">
        <v>9</v>
      </c>
      <c r="BG146" s="228">
        <v>7</v>
      </c>
      <c r="BH146" s="229">
        <v>0.73860000000000003</v>
      </c>
      <c r="BI146" s="228">
        <v>409</v>
      </c>
      <c r="BJ146" s="228">
        <v>642</v>
      </c>
      <c r="BK146" s="228">
        <v>-233</v>
      </c>
      <c r="BL146" s="229">
        <v>-0.36230000000000001</v>
      </c>
      <c r="BM146" s="228">
        <v>304</v>
      </c>
      <c r="BN146" s="228">
        <v>336</v>
      </c>
      <c r="BO146" s="228">
        <v>-31</v>
      </c>
      <c r="BP146" s="229">
        <v>-9.3100000000000002E-2</v>
      </c>
      <c r="BQ146" s="230">
        <v>2503</v>
      </c>
      <c r="BR146" s="230">
        <v>2135</v>
      </c>
      <c r="BS146" s="228">
        <v>368</v>
      </c>
      <c r="BT146" s="229">
        <v>0.1724</v>
      </c>
      <c r="BU146" s="230">
        <v>14197108</v>
      </c>
      <c r="BV146" s="230">
        <v>18203027</v>
      </c>
      <c r="BW146" s="230">
        <v>-4005919</v>
      </c>
      <c r="BX146" s="229">
        <v>-0.22009999999999999</v>
      </c>
      <c r="BY146" s="230">
        <v>2262</v>
      </c>
      <c r="BZ146" s="230">
        <v>2249</v>
      </c>
      <c r="CA146" s="228">
        <v>13</v>
      </c>
      <c r="CB146" s="229">
        <v>5.5999999999999999E-3</v>
      </c>
      <c r="CC146" s="228">
        <v>365</v>
      </c>
      <c r="CD146" s="230">
        <v>1126</v>
      </c>
      <c r="CE146" s="228">
        <v>-761</v>
      </c>
      <c r="CF146" s="229">
        <v>-0.67569999999999997</v>
      </c>
      <c r="CG146" s="230">
        <v>1851</v>
      </c>
      <c r="CH146" s="230">
        <v>1084</v>
      </c>
      <c r="CI146" s="228">
        <v>766</v>
      </c>
      <c r="CJ146" s="229">
        <v>0.70650000000000002</v>
      </c>
      <c r="CK146" s="228">
        <v>46</v>
      </c>
      <c r="CL146" s="228">
        <v>39</v>
      </c>
      <c r="CM146" s="228">
        <v>7</v>
      </c>
      <c r="CN146" s="229">
        <v>0.1835</v>
      </c>
      <c r="CO146" s="230">
        <v>1201</v>
      </c>
      <c r="CP146" s="230">
        <v>1194</v>
      </c>
      <c r="CQ146" s="228">
        <v>8</v>
      </c>
      <c r="CR146" s="229">
        <v>6.4000000000000003E-3</v>
      </c>
      <c r="CS146" s="228">
        <v>752</v>
      </c>
      <c r="CT146" s="228">
        <v>717</v>
      </c>
      <c r="CU146" s="228">
        <v>35</v>
      </c>
      <c r="CV146" s="229">
        <v>4.8800000000000003E-2</v>
      </c>
      <c r="CW146" s="230">
        <v>4215</v>
      </c>
      <c r="CX146" s="230">
        <v>4160</v>
      </c>
      <c r="CY146" s="228">
        <v>55</v>
      </c>
      <c r="CZ146" s="229">
        <v>1.3299999999999999E-2</v>
      </c>
      <c r="DA146" s="228">
        <v>29.11</v>
      </c>
      <c r="DB146" s="228">
        <v>28.83</v>
      </c>
      <c r="DC146" s="228">
        <v>0.28000000000000003</v>
      </c>
      <c r="DD146" s="228">
        <v>0.28000000000000003</v>
      </c>
      <c r="DE146" s="228">
        <v>39.090000000000003</v>
      </c>
      <c r="DF146" s="228">
        <v>39.18</v>
      </c>
      <c r="DG146" s="228">
        <v>-9.98</v>
      </c>
      <c r="DH146" s="228">
        <v>-0.09</v>
      </c>
      <c r="DI146" s="228">
        <v>29.69</v>
      </c>
      <c r="DJ146" s="228">
        <v>29.12</v>
      </c>
      <c r="DK146" s="228">
        <v>0.56999999999999995</v>
      </c>
      <c r="DL146" s="228">
        <v>0.56999999999999995</v>
      </c>
      <c r="DM146" s="228">
        <v>28.43</v>
      </c>
      <c r="DN146" s="228">
        <v>28.3</v>
      </c>
      <c r="DO146" s="228">
        <v>0.13</v>
      </c>
      <c r="DP146" s="228">
        <v>0.13</v>
      </c>
      <c r="DQ146" s="228">
        <v>0.63</v>
      </c>
      <c r="DR146" s="228">
        <v>0.6</v>
      </c>
      <c r="DS146" s="228">
        <v>0.03</v>
      </c>
      <c r="DT146" s="229">
        <v>0.05</v>
      </c>
      <c r="DU146" s="228">
        <v>80</v>
      </c>
      <c r="DV146" s="228">
        <v>84</v>
      </c>
      <c r="DW146" s="228">
        <v>0.74</v>
      </c>
      <c r="DX146" s="228">
        <v>0.52</v>
      </c>
      <c r="DY146" s="228">
        <v>0.22</v>
      </c>
      <c r="DZ146" s="229">
        <v>0.42309999999999998</v>
      </c>
      <c r="EA146" s="229">
        <v>0.83860000000000001</v>
      </c>
      <c r="EB146" s="230">
        <v>150930000</v>
      </c>
      <c r="EC146" s="229">
        <v>5.7999999999999996E-3</v>
      </c>
      <c r="ED146" s="229">
        <v>0.83860000000000001</v>
      </c>
      <c r="EE146" s="228">
        <v>0.41</v>
      </c>
      <c r="EF146" s="229">
        <v>5.4999999999999997E-3</v>
      </c>
      <c r="EG146" s="230">
        <v>6360670</v>
      </c>
      <c r="EH146" s="230">
        <v>7555490</v>
      </c>
      <c r="EI146" s="229">
        <v>-0.15809999999999999</v>
      </c>
      <c r="EJ146" s="229">
        <v>0.44800000000000001</v>
      </c>
      <c r="EK146" s="228">
        <v>426.2</v>
      </c>
      <c r="EL146" s="228">
        <v>311.41000000000003</v>
      </c>
      <c r="EM146" s="231">
        <v>1793.72</v>
      </c>
      <c r="EN146" s="228">
        <v>66.52</v>
      </c>
      <c r="EO146" s="231">
        <v>2531.3200000000002</v>
      </c>
      <c r="EP146" s="231">
        <v>2172.88</v>
      </c>
      <c r="EQ146" s="228">
        <v>358.44</v>
      </c>
      <c r="ER146" s="229">
        <v>0.16500000000000001</v>
      </c>
      <c r="ES146" s="231">
        <v>1291.96</v>
      </c>
      <c r="ET146" s="228">
        <v>744.39</v>
      </c>
      <c r="EU146" s="231">
        <v>2272.9899999999998</v>
      </c>
      <c r="EV146" s="231">
        <v>517037525</v>
      </c>
      <c r="EW146" s="231">
        <v>4309.3500000000004</v>
      </c>
      <c r="EX146" s="231">
        <v>4244.9399999999996</v>
      </c>
      <c r="EY146" s="228">
        <v>64.41</v>
      </c>
      <c r="EZ146" s="229">
        <v>1.52E-2</v>
      </c>
      <c r="FA146" s="229">
        <v>1.0952999999999999</v>
      </c>
      <c r="FB146" s="227" t="s">
        <v>555</v>
      </c>
      <c r="FC146">
        <f t="shared" si="2"/>
        <v>1897</v>
      </c>
    </row>
    <row r="147" spans="1:159" ht="17.25" thickBot="1" x14ac:dyDescent="0.3">
      <c r="A147" s="226">
        <v>45957</v>
      </c>
      <c r="B147" s="227" t="s">
        <v>161</v>
      </c>
      <c r="C147" s="227" t="s">
        <v>268</v>
      </c>
      <c r="D147" s="228">
        <v>1500</v>
      </c>
      <c r="E147" s="228">
        <v>1</v>
      </c>
      <c r="F147" s="228">
        <v>341.75</v>
      </c>
      <c r="G147" s="228">
        <v>340.05</v>
      </c>
      <c r="H147" s="228">
        <v>1.7</v>
      </c>
      <c r="I147" s="229">
        <v>5.0000000000000001E-3</v>
      </c>
      <c r="J147" s="228">
        <v>341.75</v>
      </c>
      <c r="K147" s="228">
        <v>339.6</v>
      </c>
      <c r="L147" s="228">
        <v>2.15</v>
      </c>
      <c r="M147" s="229">
        <v>6.3E-3</v>
      </c>
      <c r="N147" s="228">
        <v>341.75</v>
      </c>
      <c r="O147" s="228">
        <v>340.05</v>
      </c>
      <c r="P147" s="228">
        <v>1.7</v>
      </c>
      <c r="Q147" s="229">
        <v>5.0000000000000001E-3</v>
      </c>
      <c r="R147" s="228">
        <v>341.1</v>
      </c>
      <c r="S147" s="228">
        <v>339.6</v>
      </c>
      <c r="T147" s="228">
        <v>1.5</v>
      </c>
      <c r="U147" s="229">
        <v>4.4000000000000003E-3</v>
      </c>
      <c r="V147" s="228">
        <v>343.5</v>
      </c>
      <c r="W147" s="228">
        <v>341.65</v>
      </c>
      <c r="X147" s="228">
        <v>1.85</v>
      </c>
      <c r="Y147" s="229">
        <v>5.4000000000000003E-3</v>
      </c>
      <c r="Z147" s="228">
        <v>0</v>
      </c>
      <c r="AA147" s="228">
        <v>0.45</v>
      </c>
      <c r="AB147" s="228">
        <v>-0.45</v>
      </c>
      <c r="AC147" s="229">
        <v>0</v>
      </c>
      <c r="AD147" s="228">
        <v>0</v>
      </c>
      <c r="AE147" s="228">
        <v>0.45</v>
      </c>
      <c r="AF147" s="228">
        <v>-0.45</v>
      </c>
      <c r="AG147" s="229">
        <v>0</v>
      </c>
      <c r="AH147" s="228">
        <v>-0.65</v>
      </c>
      <c r="AI147" s="228">
        <v>0</v>
      </c>
      <c r="AJ147" s="228">
        <v>-0.65</v>
      </c>
      <c r="AK147" s="229">
        <v>-1.9E-3</v>
      </c>
      <c r="AL147" s="228">
        <v>1.75</v>
      </c>
      <c r="AM147" s="228">
        <v>2.0499999999999998</v>
      </c>
      <c r="AN147" s="228">
        <v>-0.3</v>
      </c>
      <c r="AO147" s="229">
        <v>5.1000000000000004E-3</v>
      </c>
      <c r="AP147" s="228">
        <v>342.04</v>
      </c>
      <c r="AQ147" s="228">
        <v>341.4</v>
      </c>
      <c r="AR147" s="228">
        <v>0</v>
      </c>
      <c r="AS147" s="230">
        <v>2464</v>
      </c>
      <c r="AT147" s="230">
        <v>2029</v>
      </c>
      <c r="AU147" s="228">
        <v>435</v>
      </c>
      <c r="AV147" s="229">
        <v>0.21429999999999999</v>
      </c>
      <c r="AW147" s="230">
        <v>1150</v>
      </c>
      <c r="AX147" s="230">
        <v>1021</v>
      </c>
      <c r="AY147" s="228">
        <v>130</v>
      </c>
      <c r="AZ147" s="229">
        <v>0.127</v>
      </c>
      <c r="BA147" s="230">
        <v>1304</v>
      </c>
      <c r="BB147" s="228">
        <v>998</v>
      </c>
      <c r="BC147" s="228">
        <v>306</v>
      </c>
      <c r="BD147" s="229">
        <v>0.30690000000000001</v>
      </c>
      <c r="BE147" s="228">
        <v>10</v>
      </c>
      <c r="BF147" s="228">
        <v>11</v>
      </c>
      <c r="BG147" s="228">
        <v>-1</v>
      </c>
      <c r="BH147" s="229">
        <v>-0.10100000000000001</v>
      </c>
      <c r="BI147" s="230">
        <v>1258</v>
      </c>
      <c r="BJ147" s="230">
        <v>1672</v>
      </c>
      <c r="BK147" s="228">
        <v>-414</v>
      </c>
      <c r="BL147" s="229">
        <v>-0.24740000000000001</v>
      </c>
      <c r="BM147" s="228">
        <v>768</v>
      </c>
      <c r="BN147" s="228">
        <v>857</v>
      </c>
      <c r="BO147" s="228">
        <v>-89</v>
      </c>
      <c r="BP147" s="229">
        <v>-0.10349999999999999</v>
      </c>
      <c r="BQ147" s="230">
        <v>4491</v>
      </c>
      <c r="BR147" s="230">
        <v>4558</v>
      </c>
      <c r="BS147" s="228">
        <v>-67</v>
      </c>
      <c r="BT147" s="229">
        <v>-1.4800000000000001E-2</v>
      </c>
      <c r="BU147" s="230">
        <v>7221728</v>
      </c>
      <c r="BV147" s="230">
        <v>7921003</v>
      </c>
      <c r="BW147" s="230">
        <v>-699275</v>
      </c>
      <c r="BX147" s="229">
        <v>-8.8300000000000003E-2</v>
      </c>
      <c r="BY147" s="230">
        <v>3556</v>
      </c>
      <c r="BZ147" s="230">
        <v>3538</v>
      </c>
      <c r="CA147" s="228">
        <v>19</v>
      </c>
      <c r="CB147" s="229">
        <v>5.1999999999999998E-3</v>
      </c>
      <c r="CC147" s="228">
        <v>803</v>
      </c>
      <c r="CD147" s="230">
        <v>1778</v>
      </c>
      <c r="CE147" s="228">
        <v>-975</v>
      </c>
      <c r="CF147" s="229">
        <v>-0.5484</v>
      </c>
      <c r="CG147" s="230">
        <v>2727</v>
      </c>
      <c r="CH147" s="230">
        <v>1739</v>
      </c>
      <c r="CI147" s="228">
        <v>988</v>
      </c>
      <c r="CJ147" s="229">
        <v>0.56820000000000004</v>
      </c>
      <c r="CK147" s="228">
        <v>26</v>
      </c>
      <c r="CL147" s="228">
        <v>21</v>
      </c>
      <c r="CM147" s="228">
        <v>5</v>
      </c>
      <c r="CN147" s="229">
        <v>0.24940000000000001</v>
      </c>
      <c r="CO147" s="230">
        <v>1612</v>
      </c>
      <c r="CP147" s="230">
        <v>1645</v>
      </c>
      <c r="CQ147" s="228">
        <v>-33</v>
      </c>
      <c r="CR147" s="229">
        <v>-1.9800000000000002E-2</v>
      </c>
      <c r="CS147" s="228">
        <v>710</v>
      </c>
      <c r="CT147" s="228">
        <v>642</v>
      </c>
      <c r="CU147" s="228">
        <v>68</v>
      </c>
      <c r="CV147" s="229">
        <v>0.1057</v>
      </c>
      <c r="CW147" s="230">
        <v>5878</v>
      </c>
      <c r="CX147" s="230">
        <v>5824</v>
      </c>
      <c r="CY147" s="228">
        <v>54</v>
      </c>
      <c r="CZ147" s="229">
        <v>9.1999999999999998E-3</v>
      </c>
      <c r="DA147" s="228">
        <v>20.47</v>
      </c>
      <c r="DB147" s="228">
        <v>20.21</v>
      </c>
      <c r="DC147" s="228">
        <v>0.26</v>
      </c>
      <c r="DD147" s="228">
        <v>0.26</v>
      </c>
      <c r="DE147" s="228">
        <v>28.33</v>
      </c>
      <c r="DF147" s="228">
        <v>28.39</v>
      </c>
      <c r="DG147" s="228">
        <v>-7.86</v>
      </c>
      <c r="DH147" s="228">
        <v>-0.06</v>
      </c>
      <c r="DI147" s="228">
        <v>20.63</v>
      </c>
      <c r="DJ147" s="228">
        <v>20.55</v>
      </c>
      <c r="DK147" s="228">
        <v>0.08</v>
      </c>
      <c r="DL147" s="228">
        <v>0.08</v>
      </c>
      <c r="DM147" s="228">
        <v>20.27</v>
      </c>
      <c r="DN147" s="228">
        <v>19.68</v>
      </c>
      <c r="DO147" s="228">
        <v>0.59</v>
      </c>
      <c r="DP147" s="228">
        <v>0.59</v>
      </c>
      <c r="DQ147" s="228">
        <v>0.44</v>
      </c>
      <c r="DR147" s="228">
        <v>0.39</v>
      </c>
      <c r="DS147" s="228">
        <v>0.05</v>
      </c>
      <c r="DT147" s="229">
        <v>0.12820000000000001</v>
      </c>
      <c r="DU147" s="228">
        <v>345</v>
      </c>
      <c r="DV147" s="228">
        <v>340</v>
      </c>
      <c r="DW147" s="228">
        <v>0.61</v>
      </c>
      <c r="DX147" s="228">
        <v>0.51</v>
      </c>
      <c r="DY147" s="228">
        <v>0.1</v>
      </c>
      <c r="DZ147" s="229">
        <v>0.1961</v>
      </c>
      <c r="EA147" s="229">
        <v>0.77429999999999999</v>
      </c>
      <c r="EB147" s="230">
        <v>51499500</v>
      </c>
      <c r="EC147" s="229">
        <v>-1.9E-3</v>
      </c>
      <c r="ED147" s="229">
        <v>0.77429999999999999</v>
      </c>
      <c r="EE147" s="228">
        <v>-0.64</v>
      </c>
      <c r="EF147" s="229">
        <v>-1.9E-3</v>
      </c>
      <c r="EG147" s="230">
        <v>4531864</v>
      </c>
      <c r="EH147" s="230">
        <v>5436703</v>
      </c>
      <c r="EI147" s="229">
        <v>-0.16639999999999999</v>
      </c>
      <c r="EJ147" s="229">
        <v>0.62749999999999995</v>
      </c>
      <c r="EK147" s="231">
        <v>1275.22</v>
      </c>
      <c r="EL147" s="228">
        <v>771.72</v>
      </c>
      <c r="EM147" s="231">
        <v>2463.87</v>
      </c>
      <c r="EN147" s="228">
        <v>196.59</v>
      </c>
      <c r="EO147" s="231">
        <v>4510.82</v>
      </c>
      <c r="EP147" s="231">
        <v>4585.8500000000004</v>
      </c>
      <c r="EQ147" s="228">
        <v>-75.03</v>
      </c>
      <c r="ER147" s="229">
        <v>-1.6400000000000001E-2</v>
      </c>
      <c r="ES147" s="231">
        <v>1656.16</v>
      </c>
      <c r="ET147" s="228">
        <v>704.59</v>
      </c>
      <c r="EU147" s="231">
        <v>3551.03</v>
      </c>
      <c r="EV147" s="231">
        <v>572782298</v>
      </c>
      <c r="EW147" s="231">
        <v>5911.78</v>
      </c>
      <c r="EX147" s="231">
        <v>5844.46</v>
      </c>
      <c r="EY147" s="228">
        <v>67.319999999999993</v>
      </c>
      <c r="EZ147" s="229">
        <v>1.15E-2</v>
      </c>
      <c r="FA147" s="229">
        <v>0.30030000000000001</v>
      </c>
      <c r="FB147" s="227" t="s">
        <v>555</v>
      </c>
      <c r="FC147">
        <f t="shared" si="2"/>
        <v>2753</v>
      </c>
    </row>
    <row r="148" spans="1:159" ht="17.25" thickBot="1" x14ac:dyDescent="0.3">
      <c r="A148" s="226">
        <v>45957</v>
      </c>
      <c r="B148" s="227" t="s">
        <v>175</v>
      </c>
      <c r="C148" s="227" t="s">
        <v>686</v>
      </c>
      <c r="D148" s="228">
        <v>75</v>
      </c>
      <c r="E148" s="228">
        <v>1</v>
      </c>
      <c r="F148" s="231">
        <v>7417</v>
      </c>
      <c r="G148" s="231">
        <v>7188</v>
      </c>
      <c r="H148" s="228">
        <v>229</v>
      </c>
      <c r="I148" s="229">
        <v>3.1899999999999998E-2</v>
      </c>
      <c r="J148" s="231">
        <v>7420.5</v>
      </c>
      <c r="K148" s="231">
        <v>7176</v>
      </c>
      <c r="L148" s="228">
        <v>244.5</v>
      </c>
      <c r="M148" s="229">
        <v>3.4099999999999998E-2</v>
      </c>
      <c r="N148" s="231">
        <v>7417</v>
      </c>
      <c r="O148" s="231">
        <v>7188</v>
      </c>
      <c r="P148" s="228">
        <v>229</v>
      </c>
      <c r="Q148" s="229">
        <v>3.1899999999999998E-2</v>
      </c>
      <c r="R148" s="231">
        <v>7439.5</v>
      </c>
      <c r="S148" s="231">
        <v>7201</v>
      </c>
      <c r="T148" s="228">
        <v>238.5</v>
      </c>
      <c r="U148" s="229">
        <v>3.3099999999999997E-2</v>
      </c>
      <c r="V148" s="231">
        <v>7454.5</v>
      </c>
      <c r="W148" s="231">
        <v>7220.5</v>
      </c>
      <c r="X148" s="228">
        <v>234</v>
      </c>
      <c r="Y148" s="229">
        <v>3.2399999999999998E-2</v>
      </c>
      <c r="Z148" s="228">
        <v>-3.5</v>
      </c>
      <c r="AA148" s="228">
        <v>12</v>
      </c>
      <c r="AB148" s="228">
        <v>-15.5</v>
      </c>
      <c r="AC148" s="229">
        <v>-5.0000000000000001E-4</v>
      </c>
      <c r="AD148" s="228">
        <v>-3.5</v>
      </c>
      <c r="AE148" s="228">
        <v>12</v>
      </c>
      <c r="AF148" s="228">
        <v>-15.5</v>
      </c>
      <c r="AG148" s="229">
        <v>-5.0000000000000001E-4</v>
      </c>
      <c r="AH148" s="228">
        <v>19</v>
      </c>
      <c r="AI148" s="228">
        <v>25</v>
      </c>
      <c r="AJ148" s="228">
        <v>-6</v>
      </c>
      <c r="AK148" s="229">
        <v>2.5999999999999999E-3</v>
      </c>
      <c r="AL148" s="228">
        <v>34</v>
      </c>
      <c r="AM148" s="228">
        <v>44.5</v>
      </c>
      <c r="AN148" s="228">
        <v>-10.5</v>
      </c>
      <c r="AO148" s="229">
        <v>4.5999999999999999E-3</v>
      </c>
      <c r="AP148" s="231">
        <v>7357.73</v>
      </c>
      <c r="AQ148" s="231">
        <v>7379.57</v>
      </c>
      <c r="AR148" s="228">
        <v>0</v>
      </c>
      <c r="AS148" s="228">
        <v>361</v>
      </c>
      <c r="AT148" s="228">
        <v>272</v>
      </c>
      <c r="AU148" s="228">
        <v>90</v>
      </c>
      <c r="AV148" s="229">
        <v>0.32950000000000002</v>
      </c>
      <c r="AW148" s="228">
        <v>168</v>
      </c>
      <c r="AX148" s="228">
        <v>157</v>
      </c>
      <c r="AY148" s="228">
        <v>11</v>
      </c>
      <c r="AZ148" s="229">
        <v>7.0400000000000004E-2</v>
      </c>
      <c r="BA148" s="228">
        <v>192</v>
      </c>
      <c r="BB148" s="228">
        <v>114</v>
      </c>
      <c r="BC148" s="228">
        <v>78</v>
      </c>
      <c r="BD148" s="229">
        <v>0.68179999999999996</v>
      </c>
      <c r="BE148" s="228">
        <v>1</v>
      </c>
      <c r="BF148" s="228">
        <v>0</v>
      </c>
      <c r="BG148" s="228">
        <v>1</v>
      </c>
      <c r="BH148" s="229">
        <v>1.5</v>
      </c>
      <c r="BI148" s="230">
        <v>1661</v>
      </c>
      <c r="BJ148" s="230">
        <v>1248</v>
      </c>
      <c r="BK148" s="228">
        <v>413</v>
      </c>
      <c r="BL148" s="229">
        <v>0.33119999999999999</v>
      </c>
      <c r="BM148" s="228">
        <v>761</v>
      </c>
      <c r="BN148" s="228">
        <v>408</v>
      </c>
      <c r="BO148" s="228">
        <v>353</v>
      </c>
      <c r="BP148" s="229">
        <v>0.86529999999999996</v>
      </c>
      <c r="BQ148" s="230">
        <v>2784</v>
      </c>
      <c r="BR148" s="230">
        <v>1928</v>
      </c>
      <c r="BS148" s="228">
        <v>856</v>
      </c>
      <c r="BT148" s="229">
        <v>0.44400000000000001</v>
      </c>
      <c r="BU148" s="230">
        <v>142556</v>
      </c>
      <c r="BV148" s="230">
        <v>87010</v>
      </c>
      <c r="BW148" s="230">
        <v>55546</v>
      </c>
      <c r="BX148" s="229">
        <v>0.63839999999999997</v>
      </c>
      <c r="BY148" s="228">
        <v>388</v>
      </c>
      <c r="BZ148" s="228">
        <v>357</v>
      </c>
      <c r="CA148" s="228">
        <v>31</v>
      </c>
      <c r="CB148" s="229">
        <v>8.7800000000000003E-2</v>
      </c>
      <c r="CC148" s="228">
        <v>133</v>
      </c>
      <c r="CD148" s="228">
        <v>186</v>
      </c>
      <c r="CE148" s="228">
        <v>-53</v>
      </c>
      <c r="CF148" s="229">
        <v>-0.28520000000000001</v>
      </c>
      <c r="CG148" s="228">
        <v>253</v>
      </c>
      <c r="CH148" s="228">
        <v>169</v>
      </c>
      <c r="CI148" s="228">
        <v>85</v>
      </c>
      <c r="CJ148" s="229">
        <v>0.502</v>
      </c>
      <c r="CK148" s="228">
        <v>2</v>
      </c>
      <c r="CL148" s="228">
        <v>2</v>
      </c>
      <c r="CM148" s="228">
        <v>0</v>
      </c>
      <c r="CN148" s="229">
        <v>-0.11899999999999999</v>
      </c>
      <c r="CO148" s="228">
        <v>247</v>
      </c>
      <c r="CP148" s="228">
        <v>299</v>
      </c>
      <c r="CQ148" s="228">
        <v>-52</v>
      </c>
      <c r="CR148" s="229">
        <v>-0.17419999999999999</v>
      </c>
      <c r="CS148" s="228">
        <v>188</v>
      </c>
      <c r="CT148" s="228">
        <v>209</v>
      </c>
      <c r="CU148" s="228">
        <v>-21</v>
      </c>
      <c r="CV148" s="229">
        <v>-0.1019</v>
      </c>
      <c r="CW148" s="228">
        <v>822</v>
      </c>
      <c r="CX148" s="228">
        <v>864</v>
      </c>
      <c r="CY148" s="228">
        <v>-42</v>
      </c>
      <c r="CZ148" s="229">
        <v>-4.8599999999999997E-2</v>
      </c>
      <c r="DA148" s="228">
        <v>38.869999999999997</v>
      </c>
      <c r="DB148" s="228">
        <v>37.86</v>
      </c>
      <c r="DC148" s="228">
        <v>1.01</v>
      </c>
      <c r="DD148" s="228">
        <v>1.01</v>
      </c>
      <c r="DE148" s="228">
        <v>51.79</v>
      </c>
      <c r="DF148" s="228">
        <v>51.75</v>
      </c>
      <c r="DG148" s="228">
        <v>-12.92</v>
      </c>
      <c r="DH148" s="228">
        <v>0.04</v>
      </c>
      <c r="DI148" s="228">
        <v>38.83</v>
      </c>
      <c r="DJ148" s="228">
        <v>37.93</v>
      </c>
      <c r="DK148" s="228">
        <v>0.9</v>
      </c>
      <c r="DL148" s="228">
        <v>0.9</v>
      </c>
      <c r="DM148" s="228">
        <v>39.090000000000003</v>
      </c>
      <c r="DN148" s="228">
        <v>37.51</v>
      </c>
      <c r="DO148" s="228">
        <v>1.58</v>
      </c>
      <c r="DP148" s="228">
        <v>1.58</v>
      </c>
      <c r="DQ148" s="228">
        <v>0.76</v>
      </c>
      <c r="DR148" s="228">
        <v>0.7</v>
      </c>
      <c r="DS148" s="228">
        <v>0.06</v>
      </c>
      <c r="DT148" s="229">
        <v>8.5699999999999998E-2</v>
      </c>
      <c r="DU148" s="231">
        <v>7800</v>
      </c>
      <c r="DV148" s="231">
        <v>7000</v>
      </c>
      <c r="DW148" s="228">
        <v>0.46</v>
      </c>
      <c r="DX148" s="228">
        <v>0.33</v>
      </c>
      <c r="DY148" s="228">
        <v>0.13</v>
      </c>
      <c r="DZ148" s="229">
        <v>0.39389999999999997</v>
      </c>
      <c r="EA148" s="229">
        <v>0.65769999999999995</v>
      </c>
      <c r="EB148" s="230">
        <v>230400</v>
      </c>
      <c r="EC148" s="229">
        <v>3.0000000000000001E-3</v>
      </c>
      <c r="ED148" s="229">
        <v>0.65769999999999995</v>
      </c>
      <c r="EE148" s="228">
        <v>21.84</v>
      </c>
      <c r="EF148" s="229">
        <v>3.0000000000000001E-3</v>
      </c>
      <c r="EG148" s="230">
        <v>61717</v>
      </c>
      <c r="EH148" s="230">
        <v>26948</v>
      </c>
      <c r="EI148" s="229">
        <v>1.2902</v>
      </c>
      <c r="EJ148" s="229">
        <v>0.43290000000000001</v>
      </c>
      <c r="EK148" s="231">
        <v>1706.8</v>
      </c>
      <c r="EL148" s="228">
        <v>717.57</v>
      </c>
      <c r="EM148" s="228">
        <v>359.04</v>
      </c>
      <c r="EN148" s="228">
        <v>33.99</v>
      </c>
      <c r="EO148" s="231">
        <v>2783.41</v>
      </c>
      <c r="EP148" s="231">
        <v>1919.67</v>
      </c>
      <c r="EQ148" s="228">
        <v>863.73</v>
      </c>
      <c r="ER148" s="229">
        <v>0.44990000000000002</v>
      </c>
      <c r="ES148" s="228">
        <v>244.58</v>
      </c>
      <c r="ET148" s="228">
        <v>171.65</v>
      </c>
      <c r="EU148" s="228">
        <v>388.84</v>
      </c>
      <c r="EV148" s="231">
        <v>2444664</v>
      </c>
      <c r="EW148" s="228">
        <v>805.06</v>
      </c>
      <c r="EX148" s="228">
        <v>830.52</v>
      </c>
      <c r="EY148" s="228">
        <v>-25.46</v>
      </c>
      <c r="EZ148" s="229">
        <v>-3.0700000000000002E-2</v>
      </c>
      <c r="FA148" s="229">
        <v>0.4536</v>
      </c>
      <c r="FB148" s="227" t="s">
        <v>555</v>
      </c>
      <c r="FC148">
        <f>BY217-CC217</f>
        <v>0</v>
      </c>
    </row>
    <row r="149" spans="1:159" ht="17.25" thickBot="1" x14ac:dyDescent="0.3">
      <c r="A149" s="226">
        <v>45957</v>
      </c>
      <c r="B149" s="227" t="s">
        <v>615</v>
      </c>
      <c r="C149" s="227" t="s">
        <v>613</v>
      </c>
      <c r="D149" s="228">
        <v>3125</v>
      </c>
      <c r="E149" s="228">
        <v>1</v>
      </c>
      <c r="F149" s="228">
        <v>255.8</v>
      </c>
      <c r="G149" s="228">
        <v>251.32</v>
      </c>
      <c r="H149" s="228">
        <v>4.4800000000000004</v>
      </c>
      <c r="I149" s="229">
        <v>1.78E-2</v>
      </c>
      <c r="J149" s="228">
        <v>255.14</v>
      </c>
      <c r="K149" s="228">
        <v>250.59</v>
      </c>
      <c r="L149" s="228">
        <v>4.55</v>
      </c>
      <c r="M149" s="229">
        <v>1.8200000000000001E-2</v>
      </c>
      <c r="N149" s="228">
        <v>255.8</v>
      </c>
      <c r="O149" s="228">
        <v>251.32</v>
      </c>
      <c r="P149" s="228">
        <v>4.4800000000000004</v>
      </c>
      <c r="Q149" s="229">
        <v>1.78E-2</v>
      </c>
      <c r="R149" s="228">
        <v>254.33</v>
      </c>
      <c r="S149" s="228">
        <v>248.89</v>
      </c>
      <c r="T149" s="228">
        <v>5.44</v>
      </c>
      <c r="U149" s="229">
        <v>2.1899999999999999E-2</v>
      </c>
      <c r="V149" s="228">
        <v>253.4</v>
      </c>
      <c r="W149" s="228">
        <v>247.68</v>
      </c>
      <c r="X149" s="228">
        <v>5.72</v>
      </c>
      <c r="Y149" s="229">
        <v>2.3099999999999999E-2</v>
      </c>
      <c r="Z149" s="228">
        <v>0.66</v>
      </c>
      <c r="AA149" s="228">
        <v>0.73</v>
      </c>
      <c r="AB149" s="228">
        <v>-7.0000000000000007E-2</v>
      </c>
      <c r="AC149" s="229">
        <v>2.5999999999999999E-3</v>
      </c>
      <c r="AD149" s="228">
        <v>0.66</v>
      </c>
      <c r="AE149" s="228">
        <v>0.73</v>
      </c>
      <c r="AF149" s="228">
        <v>-7.0000000000000007E-2</v>
      </c>
      <c r="AG149" s="229">
        <v>2.5999999999999999E-3</v>
      </c>
      <c r="AH149" s="228">
        <v>-0.81</v>
      </c>
      <c r="AI149" s="228">
        <v>-1.7</v>
      </c>
      <c r="AJ149" s="228">
        <v>0.89</v>
      </c>
      <c r="AK149" s="229">
        <v>-3.2000000000000002E-3</v>
      </c>
      <c r="AL149" s="228">
        <v>-1.74</v>
      </c>
      <c r="AM149" s="228">
        <v>-2.91</v>
      </c>
      <c r="AN149" s="228">
        <v>1.17</v>
      </c>
      <c r="AO149" s="229">
        <v>-6.7999999999999996E-3</v>
      </c>
      <c r="AP149" s="228">
        <v>254.37</v>
      </c>
      <c r="AQ149" s="228">
        <v>252.41</v>
      </c>
      <c r="AR149" s="228">
        <v>0</v>
      </c>
      <c r="AS149" s="230">
        <v>1315</v>
      </c>
      <c r="AT149" s="230">
        <v>1303</v>
      </c>
      <c r="AU149" s="228">
        <v>12</v>
      </c>
      <c r="AV149" s="229">
        <v>8.9999999999999993E-3</v>
      </c>
      <c r="AW149" s="228">
        <v>647</v>
      </c>
      <c r="AX149" s="228">
        <v>674</v>
      </c>
      <c r="AY149" s="228">
        <v>-27</v>
      </c>
      <c r="AZ149" s="229">
        <v>-3.9899999999999998E-2</v>
      </c>
      <c r="BA149" s="228">
        <v>663</v>
      </c>
      <c r="BB149" s="228">
        <v>623</v>
      </c>
      <c r="BC149" s="228">
        <v>40</v>
      </c>
      <c r="BD149" s="229">
        <v>6.3899999999999998E-2</v>
      </c>
      <c r="BE149" s="228">
        <v>5</v>
      </c>
      <c r="BF149" s="228">
        <v>7</v>
      </c>
      <c r="BG149" s="228">
        <v>-1</v>
      </c>
      <c r="BH149" s="229">
        <v>-0.1951</v>
      </c>
      <c r="BI149" s="228">
        <v>395</v>
      </c>
      <c r="BJ149" s="228">
        <v>418</v>
      </c>
      <c r="BK149" s="228">
        <v>-23</v>
      </c>
      <c r="BL149" s="229">
        <v>-5.5100000000000003E-2</v>
      </c>
      <c r="BM149" s="228">
        <v>299</v>
      </c>
      <c r="BN149" s="228">
        <v>402</v>
      </c>
      <c r="BO149" s="228">
        <v>-103</v>
      </c>
      <c r="BP149" s="229">
        <v>-0.25590000000000002</v>
      </c>
      <c r="BQ149" s="230">
        <v>2009</v>
      </c>
      <c r="BR149" s="230">
        <v>2123</v>
      </c>
      <c r="BS149" s="228">
        <v>-114</v>
      </c>
      <c r="BT149" s="229">
        <v>-5.3800000000000001E-2</v>
      </c>
      <c r="BU149" s="230">
        <v>4380226</v>
      </c>
      <c r="BV149" s="230">
        <v>2872176</v>
      </c>
      <c r="BW149" s="230">
        <v>1508050</v>
      </c>
      <c r="BX149" s="229">
        <v>0.52510000000000001</v>
      </c>
      <c r="BY149" s="230">
        <v>1686</v>
      </c>
      <c r="BZ149" s="230">
        <v>1794</v>
      </c>
      <c r="CA149" s="228">
        <v>-108</v>
      </c>
      <c r="CB149" s="229">
        <v>-6.0199999999999997E-2</v>
      </c>
      <c r="CC149" s="228">
        <v>244</v>
      </c>
      <c r="CD149" s="228">
        <v>618</v>
      </c>
      <c r="CE149" s="228">
        <v>-374</v>
      </c>
      <c r="CF149" s="229">
        <v>-0.60550000000000004</v>
      </c>
      <c r="CG149" s="230">
        <v>1431</v>
      </c>
      <c r="CH149" s="230">
        <v>1166</v>
      </c>
      <c r="CI149" s="228">
        <v>264</v>
      </c>
      <c r="CJ149" s="229">
        <v>0.22670000000000001</v>
      </c>
      <c r="CK149" s="228">
        <v>12</v>
      </c>
      <c r="CL149" s="228">
        <v>10</v>
      </c>
      <c r="CM149" s="228">
        <v>2</v>
      </c>
      <c r="CN149" s="229">
        <v>0.14499999999999999</v>
      </c>
      <c r="CO149" s="228">
        <v>348</v>
      </c>
      <c r="CP149" s="228">
        <v>361</v>
      </c>
      <c r="CQ149" s="228">
        <v>-14</v>
      </c>
      <c r="CR149" s="229">
        <v>-3.8100000000000002E-2</v>
      </c>
      <c r="CS149" s="228">
        <v>269</v>
      </c>
      <c r="CT149" s="228">
        <v>266</v>
      </c>
      <c r="CU149" s="228">
        <v>3</v>
      </c>
      <c r="CV149" s="229">
        <v>1.29E-2</v>
      </c>
      <c r="CW149" s="230">
        <v>2303</v>
      </c>
      <c r="CX149" s="230">
        <v>2422</v>
      </c>
      <c r="CY149" s="228">
        <v>-118</v>
      </c>
      <c r="CZ149" s="229">
        <v>-4.8899999999999999E-2</v>
      </c>
      <c r="DA149" s="228">
        <v>32.49</v>
      </c>
      <c r="DB149" s="228">
        <v>32.49</v>
      </c>
      <c r="DC149" s="228">
        <v>0</v>
      </c>
      <c r="DD149" s="228">
        <v>0</v>
      </c>
      <c r="DE149" s="228">
        <v>37.130000000000003</v>
      </c>
      <c r="DF149" s="228">
        <v>37.14</v>
      </c>
      <c r="DG149" s="228">
        <v>-4.6399999999999997</v>
      </c>
      <c r="DH149" s="228">
        <v>-0.01</v>
      </c>
      <c r="DI149" s="228">
        <v>31.73</v>
      </c>
      <c r="DJ149" s="228">
        <v>32.25</v>
      </c>
      <c r="DK149" s="228">
        <v>-0.52</v>
      </c>
      <c r="DL149" s="228">
        <v>-0.52</v>
      </c>
      <c r="DM149" s="228">
        <v>33.43</v>
      </c>
      <c r="DN149" s="228">
        <v>32.64</v>
      </c>
      <c r="DO149" s="228">
        <v>0.79</v>
      </c>
      <c r="DP149" s="228">
        <v>0.79</v>
      </c>
      <c r="DQ149" s="228">
        <v>0.78</v>
      </c>
      <c r="DR149" s="228">
        <v>0.74</v>
      </c>
      <c r="DS149" s="228">
        <v>0.04</v>
      </c>
      <c r="DT149" s="229">
        <v>5.4100000000000002E-2</v>
      </c>
      <c r="DU149" s="228">
        <v>260</v>
      </c>
      <c r="DV149" s="228">
        <v>220</v>
      </c>
      <c r="DW149" s="228">
        <v>0.76</v>
      </c>
      <c r="DX149" s="228">
        <v>0.96</v>
      </c>
      <c r="DY149" s="228">
        <v>-0.2</v>
      </c>
      <c r="DZ149" s="229">
        <v>-0.20830000000000001</v>
      </c>
      <c r="EA149" s="229">
        <v>0.85550000000000004</v>
      </c>
      <c r="EB149" s="230">
        <v>46003125</v>
      </c>
      <c r="EC149" s="229">
        <v>-5.7000000000000002E-3</v>
      </c>
      <c r="ED149" s="229">
        <v>0.85550000000000004</v>
      </c>
      <c r="EE149" s="228">
        <v>-1.96</v>
      </c>
      <c r="EF149" s="229">
        <v>-7.7000000000000002E-3</v>
      </c>
      <c r="EG149" s="230">
        <v>2147521</v>
      </c>
      <c r="EH149" s="230">
        <v>1530657</v>
      </c>
      <c r="EI149" s="229">
        <v>0.40300000000000002</v>
      </c>
      <c r="EJ149" s="229">
        <v>0.49030000000000001</v>
      </c>
      <c r="EK149" s="228">
        <v>404.12</v>
      </c>
      <c r="EL149" s="228">
        <v>291.12</v>
      </c>
      <c r="EM149" s="231">
        <v>1302.48</v>
      </c>
      <c r="EN149" s="228">
        <v>96.54</v>
      </c>
      <c r="EO149" s="231">
        <v>1997.71</v>
      </c>
      <c r="EP149" s="231">
        <v>2096.35</v>
      </c>
      <c r="EQ149" s="228">
        <v>-98.64</v>
      </c>
      <c r="ER149" s="229">
        <v>-4.7100000000000003E-2</v>
      </c>
      <c r="ES149" s="228">
        <v>358.12</v>
      </c>
      <c r="ET149" s="228">
        <v>256.01</v>
      </c>
      <c r="EU149" s="231">
        <v>1677.95</v>
      </c>
      <c r="EV149" s="231">
        <v>205324177</v>
      </c>
      <c r="EW149" s="231">
        <v>2292.08</v>
      </c>
      <c r="EX149" s="231">
        <v>2377.94</v>
      </c>
      <c r="EY149" s="228">
        <v>-85.86</v>
      </c>
      <c r="EZ149" s="229">
        <v>-3.61E-2</v>
      </c>
      <c r="FA149" s="229">
        <v>0.4385</v>
      </c>
      <c r="FB149" s="227" t="s">
        <v>556</v>
      </c>
      <c r="FC149">
        <f t="shared" ref="FC149:FC194" si="3">BY216-CC216</f>
        <v>700</v>
      </c>
    </row>
    <row r="150" spans="1:159" ht="17.25" thickBot="1" x14ac:dyDescent="0.3">
      <c r="A150" s="226">
        <v>45957</v>
      </c>
      <c r="B150" s="227" t="s">
        <v>206</v>
      </c>
      <c r="C150" s="227" t="s">
        <v>528</v>
      </c>
      <c r="D150" s="228">
        <v>350</v>
      </c>
      <c r="E150" s="228">
        <v>1</v>
      </c>
      <c r="F150" s="231">
        <v>1733.6</v>
      </c>
      <c r="G150" s="231">
        <v>1699.1</v>
      </c>
      <c r="H150" s="228">
        <v>34.5</v>
      </c>
      <c r="I150" s="229">
        <v>2.0299999999999999E-2</v>
      </c>
      <c r="J150" s="231">
        <v>1736</v>
      </c>
      <c r="K150" s="231">
        <v>1699.9</v>
      </c>
      <c r="L150" s="228">
        <v>36.1</v>
      </c>
      <c r="M150" s="229">
        <v>2.12E-2</v>
      </c>
      <c r="N150" s="231">
        <v>1733.6</v>
      </c>
      <c r="O150" s="231">
        <v>1699.1</v>
      </c>
      <c r="P150" s="228">
        <v>34.5</v>
      </c>
      <c r="Q150" s="229">
        <v>2.0299999999999999E-2</v>
      </c>
      <c r="R150" s="231">
        <v>1742.2</v>
      </c>
      <c r="S150" s="231">
        <v>1707.4</v>
      </c>
      <c r="T150" s="228">
        <v>34.799999999999997</v>
      </c>
      <c r="U150" s="229">
        <v>2.0400000000000001E-2</v>
      </c>
      <c r="V150" s="231">
        <v>1751.1</v>
      </c>
      <c r="W150" s="231">
        <v>1714.6</v>
      </c>
      <c r="X150" s="228">
        <v>36.5</v>
      </c>
      <c r="Y150" s="229">
        <v>2.1299999999999999E-2</v>
      </c>
      <c r="Z150" s="228">
        <v>-2.4</v>
      </c>
      <c r="AA150" s="228">
        <v>-0.8</v>
      </c>
      <c r="AB150" s="228">
        <v>-1.6</v>
      </c>
      <c r="AC150" s="229">
        <v>-1.4E-3</v>
      </c>
      <c r="AD150" s="228">
        <v>-2.4</v>
      </c>
      <c r="AE150" s="228">
        <v>-0.8</v>
      </c>
      <c r="AF150" s="228">
        <v>-1.6</v>
      </c>
      <c r="AG150" s="229">
        <v>-1.4E-3</v>
      </c>
      <c r="AH150" s="228">
        <v>6.2</v>
      </c>
      <c r="AI150" s="228">
        <v>7.5</v>
      </c>
      <c r="AJ150" s="228">
        <v>-1.3</v>
      </c>
      <c r="AK150" s="229">
        <v>3.5999999999999999E-3</v>
      </c>
      <c r="AL150" s="228">
        <v>15.1</v>
      </c>
      <c r="AM150" s="228">
        <v>14.7</v>
      </c>
      <c r="AN150" s="228">
        <v>0.4</v>
      </c>
      <c r="AO150" s="229">
        <v>8.6999999999999994E-3</v>
      </c>
      <c r="AP150" s="231">
        <v>1733.52</v>
      </c>
      <c r="AQ150" s="231">
        <v>1742.38</v>
      </c>
      <c r="AR150" s="228">
        <v>0</v>
      </c>
      <c r="AS150" s="228">
        <v>725</v>
      </c>
      <c r="AT150" s="228">
        <v>633</v>
      </c>
      <c r="AU150" s="228">
        <v>92</v>
      </c>
      <c r="AV150" s="229">
        <v>0.14499999999999999</v>
      </c>
      <c r="AW150" s="228">
        <v>343</v>
      </c>
      <c r="AX150" s="228">
        <v>324</v>
      </c>
      <c r="AY150" s="228">
        <v>20</v>
      </c>
      <c r="AZ150" s="229">
        <v>6.0600000000000001E-2</v>
      </c>
      <c r="BA150" s="228">
        <v>377</v>
      </c>
      <c r="BB150" s="228">
        <v>308</v>
      </c>
      <c r="BC150" s="228">
        <v>69</v>
      </c>
      <c r="BD150" s="229">
        <v>0.2235</v>
      </c>
      <c r="BE150" s="228">
        <v>4</v>
      </c>
      <c r="BF150" s="228">
        <v>1</v>
      </c>
      <c r="BG150" s="228">
        <v>3</v>
      </c>
      <c r="BH150" s="229">
        <v>2.8420999999999998</v>
      </c>
      <c r="BI150" s="230">
        <v>1498</v>
      </c>
      <c r="BJ150" s="228">
        <v>742</v>
      </c>
      <c r="BK150" s="228">
        <v>756</v>
      </c>
      <c r="BL150" s="229">
        <v>1.0185999999999999</v>
      </c>
      <c r="BM150" s="228">
        <v>490</v>
      </c>
      <c r="BN150" s="228">
        <v>260</v>
      </c>
      <c r="BO150" s="228">
        <v>230</v>
      </c>
      <c r="BP150" s="229">
        <v>0.88329999999999997</v>
      </c>
      <c r="BQ150" s="230">
        <v>2712</v>
      </c>
      <c r="BR150" s="230">
        <v>1635</v>
      </c>
      <c r="BS150" s="230">
        <v>1077</v>
      </c>
      <c r="BT150" s="229">
        <v>0.65890000000000004</v>
      </c>
      <c r="BU150" s="230">
        <v>1028254</v>
      </c>
      <c r="BV150" s="230">
        <v>456048</v>
      </c>
      <c r="BW150" s="230">
        <v>572206</v>
      </c>
      <c r="BX150" s="229">
        <v>1.2546999999999999</v>
      </c>
      <c r="BY150" s="228">
        <v>870</v>
      </c>
      <c r="BZ150" s="228">
        <v>884</v>
      </c>
      <c r="CA150" s="228">
        <v>-14</v>
      </c>
      <c r="CB150" s="229">
        <v>-1.5800000000000002E-2</v>
      </c>
      <c r="CC150" s="228">
        <v>157</v>
      </c>
      <c r="CD150" s="228">
        <v>364</v>
      </c>
      <c r="CE150" s="228">
        <v>-207</v>
      </c>
      <c r="CF150" s="229">
        <v>-0.56820000000000004</v>
      </c>
      <c r="CG150" s="228">
        <v>709</v>
      </c>
      <c r="CH150" s="228">
        <v>518</v>
      </c>
      <c r="CI150" s="228">
        <v>191</v>
      </c>
      <c r="CJ150" s="229">
        <v>0.36870000000000003</v>
      </c>
      <c r="CK150" s="228">
        <v>4</v>
      </c>
      <c r="CL150" s="228">
        <v>3</v>
      </c>
      <c r="CM150" s="228">
        <v>2</v>
      </c>
      <c r="CN150" s="229">
        <v>0.59089999999999998</v>
      </c>
      <c r="CO150" s="228">
        <v>349</v>
      </c>
      <c r="CP150" s="228">
        <v>373</v>
      </c>
      <c r="CQ150" s="228">
        <v>-24</v>
      </c>
      <c r="CR150" s="229">
        <v>-6.3299999999999995E-2</v>
      </c>
      <c r="CS150" s="228">
        <v>243</v>
      </c>
      <c r="CT150" s="228">
        <v>242</v>
      </c>
      <c r="CU150" s="228">
        <v>1</v>
      </c>
      <c r="CV150" s="229">
        <v>4.0000000000000001E-3</v>
      </c>
      <c r="CW150" s="230">
        <v>1463</v>
      </c>
      <c r="CX150" s="230">
        <v>1499</v>
      </c>
      <c r="CY150" s="228">
        <v>-37</v>
      </c>
      <c r="CZ150" s="229">
        <v>-2.4400000000000002E-2</v>
      </c>
      <c r="DA150" s="228">
        <v>29.26</v>
      </c>
      <c r="DB150" s="228">
        <v>28.55</v>
      </c>
      <c r="DC150" s="228">
        <v>0.71</v>
      </c>
      <c r="DD150" s="228">
        <v>0.71</v>
      </c>
      <c r="DE150" s="228">
        <v>38.450000000000003</v>
      </c>
      <c r="DF150" s="228">
        <v>38.450000000000003</v>
      </c>
      <c r="DG150" s="228">
        <v>-9.19</v>
      </c>
      <c r="DH150" s="228">
        <v>0</v>
      </c>
      <c r="DI150" s="228">
        <v>29.31</v>
      </c>
      <c r="DJ150" s="228">
        <v>28.57</v>
      </c>
      <c r="DK150" s="228">
        <v>0.74</v>
      </c>
      <c r="DL150" s="228">
        <v>0.74</v>
      </c>
      <c r="DM150" s="228">
        <v>29.01</v>
      </c>
      <c r="DN150" s="228">
        <v>28.46</v>
      </c>
      <c r="DO150" s="228">
        <v>0.55000000000000004</v>
      </c>
      <c r="DP150" s="228">
        <v>0.55000000000000004</v>
      </c>
      <c r="DQ150" s="228">
        <v>0.7</v>
      </c>
      <c r="DR150" s="228">
        <v>0.65</v>
      </c>
      <c r="DS150" s="228">
        <v>0.05</v>
      </c>
      <c r="DT150" s="229">
        <v>7.6899999999999996E-2</v>
      </c>
      <c r="DU150" s="231">
        <v>1780</v>
      </c>
      <c r="DV150" s="231">
        <v>1640</v>
      </c>
      <c r="DW150" s="228">
        <v>0.33</v>
      </c>
      <c r="DX150" s="228">
        <v>0.35</v>
      </c>
      <c r="DY150" s="228">
        <v>-0.02</v>
      </c>
      <c r="DZ150" s="229">
        <v>-5.7099999999999998E-2</v>
      </c>
      <c r="EA150" s="229">
        <v>0.8196</v>
      </c>
      <c r="EB150" s="230">
        <v>3003700</v>
      </c>
      <c r="EC150" s="229">
        <v>5.0000000000000001E-3</v>
      </c>
      <c r="ED150" s="229">
        <v>0.8196</v>
      </c>
      <c r="EE150" s="228">
        <v>8.86</v>
      </c>
      <c r="EF150" s="229">
        <v>5.1000000000000004E-3</v>
      </c>
      <c r="EG150" s="230">
        <v>482308</v>
      </c>
      <c r="EH150" s="230">
        <v>230600</v>
      </c>
      <c r="EI150" s="229">
        <v>1.0914999999999999</v>
      </c>
      <c r="EJ150" s="229">
        <v>0.46910000000000002</v>
      </c>
      <c r="EK150" s="231">
        <v>1530.18</v>
      </c>
      <c r="EL150" s="228">
        <v>478.17</v>
      </c>
      <c r="EM150" s="228">
        <v>726.53</v>
      </c>
      <c r="EN150" s="228">
        <v>62.6</v>
      </c>
      <c r="EO150" s="231">
        <v>2734.89</v>
      </c>
      <c r="EP150" s="231">
        <v>1612.22</v>
      </c>
      <c r="EQ150" s="231">
        <v>1122.67</v>
      </c>
      <c r="ER150" s="229">
        <v>0.69640000000000002</v>
      </c>
      <c r="ES150" s="228">
        <v>349.76</v>
      </c>
      <c r="ET150" s="228">
        <v>228.52</v>
      </c>
      <c r="EU150" s="228">
        <v>873.84</v>
      </c>
      <c r="EV150" s="231">
        <v>17614093</v>
      </c>
      <c r="EW150" s="231">
        <v>1452.13</v>
      </c>
      <c r="EX150" s="231">
        <v>1466.21</v>
      </c>
      <c r="EY150" s="228">
        <v>-14.08</v>
      </c>
      <c r="EZ150" s="229">
        <v>-9.5999999999999992E-3</v>
      </c>
      <c r="FA150" s="229">
        <v>0.47910000000000003</v>
      </c>
      <c r="FB150" s="227" t="s">
        <v>556</v>
      </c>
      <c r="FC150">
        <f t="shared" si="3"/>
        <v>0</v>
      </c>
    </row>
    <row r="151" spans="1:159" ht="17.25" thickBot="1" x14ac:dyDescent="0.3">
      <c r="A151" s="226">
        <v>45957</v>
      </c>
      <c r="B151" s="227" t="s">
        <v>221</v>
      </c>
      <c r="C151" s="227" t="s">
        <v>518</v>
      </c>
      <c r="D151" s="228">
        <v>75</v>
      </c>
      <c r="E151" s="228">
        <v>1</v>
      </c>
      <c r="F151" s="231">
        <v>8721</v>
      </c>
      <c r="G151" s="231">
        <v>8564.5</v>
      </c>
      <c r="H151" s="228">
        <v>156.5</v>
      </c>
      <c r="I151" s="229">
        <v>1.83E-2</v>
      </c>
      <c r="J151" s="231">
        <v>8695.5</v>
      </c>
      <c r="K151" s="231">
        <v>8565</v>
      </c>
      <c r="L151" s="228">
        <v>130.5</v>
      </c>
      <c r="M151" s="229">
        <v>1.52E-2</v>
      </c>
      <c r="N151" s="231">
        <v>8721</v>
      </c>
      <c r="O151" s="231">
        <v>8564.5</v>
      </c>
      <c r="P151" s="228">
        <v>156.5</v>
      </c>
      <c r="Q151" s="229">
        <v>1.83E-2</v>
      </c>
      <c r="R151" s="231">
        <v>8625.5</v>
      </c>
      <c r="S151" s="231">
        <v>8445</v>
      </c>
      <c r="T151" s="228">
        <v>180.5</v>
      </c>
      <c r="U151" s="229">
        <v>2.1399999999999999E-2</v>
      </c>
      <c r="V151" s="231">
        <v>8660</v>
      </c>
      <c r="W151" s="231">
        <v>8485</v>
      </c>
      <c r="X151" s="228">
        <v>175</v>
      </c>
      <c r="Y151" s="229">
        <v>2.06E-2</v>
      </c>
      <c r="Z151" s="228">
        <v>25.5</v>
      </c>
      <c r="AA151" s="228">
        <v>-0.5</v>
      </c>
      <c r="AB151" s="228">
        <v>26</v>
      </c>
      <c r="AC151" s="229">
        <v>2.8999999999999998E-3</v>
      </c>
      <c r="AD151" s="228">
        <v>25.5</v>
      </c>
      <c r="AE151" s="228">
        <v>-0.5</v>
      </c>
      <c r="AF151" s="228">
        <v>26</v>
      </c>
      <c r="AG151" s="229">
        <v>2.8999999999999998E-3</v>
      </c>
      <c r="AH151" s="228">
        <v>-70</v>
      </c>
      <c r="AI151" s="228">
        <v>-120</v>
      </c>
      <c r="AJ151" s="228">
        <v>50</v>
      </c>
      <c r="AK151" s="229">
        <v>-8.0999999999999996E-3</v>
      </c>
      <c r="AL151" s="228">
        <v>-35.5</v>
      </c>
      <c r="AM151" s="228">
        <v>-80</v>
      </c>
      <c r="AN151" s="228">
        <v>44.5</v>
      </c>
      <c r="AO151" s="229">
        <v>-4.1000000000000003E-3</v>
      </c>
      <c r="AP151" s="231">
        <v>8698.58</v>
      </c>
      <c r="AQ151" s="231">
        <v>8590.27</v>
      </c>
      <c r="AR151" s="228">
        <v>0</v>
      </c>
      <c r="AS151" s="230">
        <v>1093</v>
      </c>
      <c r="AT151" s="228">
        <v>746</v>
      </c>
      <c r="AU151" s="228">
        <v>347</v>
      </c>
      <c r="AV151" s="229">
        <v>0.46579999999999999</v>
      </c>
      <c r="AW151" s="228">
        <v>523</v>
      </c>
      <c r="AX151" s="228">
        <v>356</v>
      </c>
      <c r="AY151" s="228">
        <v>167</v>
      </c>
      <c r="AZ151" s="229">
        <v>0.46910000000000002</v>
      </c>
      <c r="BA151" s="228">
        <v>564</v>
      </c>
      <c r="BB151" s="228">
        <v>382</v>
      </c>
      <c r="BC151" s="228">
        <v>182</v>
      </c>
      <c r="BD151" s="229">
        <v>0.47760000000000002</v>
      </c>
      <c r="BE151" s="228">
        <v>7</v>
      </c>
      <c r="BF151" s="228">
        <v>8</v>
      </c>
      <c r="BG151" s="228">
        <v>-2</v>
      </c>
      <c r="BH151" s="229">
        <v>-0.20930000000000001</v>
      </c>
      <c r="BI151" s="230">
        <v>1660</v>
      </c>
      <c r="BJ151" s="230">
        <v>1272</v>
      </c>
      <c r="BK151" s="228">
        <v>388</v>
      </c>
      <c r="BL151" s="229">
        <v>0.30470000000000003</v>
      </c>
      <c r="BM151" s="228">
        <v>604</v>
      </c>
      <c r="BN151" s="228">
        <v>545</v>
      </c>
      <c r="BO151" s="228">
        <v>60</v>
      </c>
      <c r="BP151" s="229">
        <v>0.1095</v>
      </c>
      <c r="BQ151" s="230">
        <v>3358</v>
      </c>
      <c r="BR151" s="230">
        <v>2563</v>
      </c>
      <c r="BS151" s="228">
        <v>795</v>
      </c>
      <c r="BT151" s="229">
        <v>0.31009999999999999</v>
      </c>
      <c r="BU151" s="230">
        <v>208505</v>
      </c>
      <c r="BV151" s="230">
        <v>113114</v>
      </c>
      <c r="BW151" s="230">
        <v>95391</v>
      </c>
      <c r="BX151" s="229">
        <v>0.84330000000000005</v>
      </c>
      <c r="BY151" s="230">
        <v>1180</v>
      </c>
      <c r="BZ151" s="230">
        <v>1315</v>
      </c>
      <c r="CA151" s="228">
        <v>-135</v>
      </c>
      <c r="CB151" s="229">
        <v>-0.10249999999999999</v>
      </c>
      <c r="CC151" s="228">
        <v>313</v>
      </c>
      <c r="CD151" s="228">
        <v>632</v>
      </c>
      <c r="CE151" s="228">
        <v>-320</v>
      </c>
      <c r="CF151" s="229">
        <v>-0.50539999999999996</v>
      </c>
      <c r="CG151" s="228">
        <v>843</v>
      </c>
      <c r="CH151" s="228">
        <v>659</v>
      </c>
      <c r="CI151" s="228">
        <v>184</v>
      </c>
      <c r="CJ151" s="229">
        <v>0.27950000000000003</v>
      </c>
      <c r="CK151" s="228">
        <v>24</v>
      </c>
      <c r="CL151" s="228">
        <v>24</v>
      </c>
      <c r="CM151" s="228">
        <v>1</v>
      </c>
      <c r="CN151" s="229">
        <v>2.4899999999999999E-2</v>
      </c>
      <c r="CO151" s="228">
        <v>741</v>
      </c>
      <c r="CP151" s="228">
        <v>882</v>
      </c>
      <c r="CQ151" s="228">
        <v>-140</v>
      </c>
      <c r="CR151" s="229">
        <v>-0.1593</v>
      </c>
      <c r="CS151" s="228">
        <v>390</v>
      </c>
      <c r="CT151" s="228">
        <v>425</v>
      </c>
      <c r="CU151" s="228">
        <v>-35</v>
      </c>
      <c r="CV151" s="229">
        <v>-8.2100000000000006E-2</v>
      </c>
      <c r="CW151" s="230">
        <v>2312</v>
      </c>
      <c r="CX151" s="230">
        <v>2622</v>
      </c>
      <c r="CY151" s="228">
        <v>-310</v>
      </c>
      <c r="CZ151" s="229">
        <v>-0.1183</v>
      </c>
      <c r="DA151" s="228">
        <v>31.02</v>
      </c>
      <c r="DB151" s="228">
        <v>31.55</v>
      </c>
      <c r="DC151" s="228">
        <v>-0.53</v>
      </c>
      <c r="DD151" s="228">
        <v>-0.53</v>
      </c>
      <c r="DE151" s="228">
        <v>41.4</v>
      </c>
      <c r="DF151" s="228">
        <v>41.45</v>
      </c>
      <c r="DG151" s="228">
        <v>-10.38</v>
      </c>
      <c r="DH151" s="228">
        <v>-0.05</v>
      </c>
      <c r="DI151" s="228">
        <v>31.07</v>
      </c>
      <c r="DJ151" s="228">
        <v>31.72</v>
      </c>
      <c r="DK151" s="228">
        <v>-0.65</v>
      </c>
      <c r="DL151" s="228">
        <v>-0.65</v>
      </c>
      <c r="DM151" s="228">
        <v>30.88</v>
      </c>
      <c r="DN151" s="228">
        <v>31.09</v>
      </c>
      <c r="DO151" s="228">
        <v>-0.21</v>
      </c>
      <c r="DP151" s="228">
        <v>-0.21</v>
      </c>
      <c r="DQ151" s="228">
        <v>0.53</v>
      </c>
      <c r="DR151" s="228">
        <v>0.48</v>
      </c>
      <c r="DS151" s="228">
        <v>0.05</v>
      </c>
      <c r="DT151" s="229">
        <v>0.1042</v>
      </c>
      <c r="DU151" s="231">
        <v>9000</v>
      </c>
      <c r="DV151" s="231">
        <v>8500</v>
      </c>
      <c r="DW151" s="228">
        <v>0.36</v>
      </c>
      <c r="DX151" s="228">
        <v>0.43</v>
      </c>
      <c r="DY151" s="228">
        <v>-7.0000000000000007E-2</v>
      </c>
      <c r="DZ151" s="229">
        <v>-0.1628</v>
      </c>
      <c r="EA151" s="229">
        <v>0.73499999999999999</v>
      </c>
      <c r="EB151" s="230">
        <v>783000</v>
      </c>
      <c r="EC151" s="229">
        <v>-1.0999999999999999E-2</v>
      </c>
      <c r="ED151" s="229">
        <v>0.73499999999999999</v>
      </c>
      <c r="EE151" s="228">
        <v>-108.31</v>
      </c>
      <c r="EF151" s="229">
        <v>-1.2500000000000001E-2</v>
      </c>
      <c r="EG151" s="230">
        <v>114686</v>
      </c>
      <c r="EH151" s="230">
        <v>46459</v>
      </c>
      <c r="EI151" s="229">
        <v>1.4684999999999999</v>
      </c>
      <c r="EJ151" s="229">
        <v>0.55000000000000004</v>
      </c>
      <c r="EK151" s="231">
        <v>1726.23</v>
      </c>
      <c r="EL151" s="228">
        <v>590.66</v>
      </c>
      <c r="EM151" s="231">
        <v>1083.54</v>
      </c>
      <c r="EN151" s="228">
        <v>93.88</v>
      </c>
      <c r="EO151" s="231">
        <v>3400.43</v>
      </c>
      <c r="EP151" s="231">
        <v>2575.06</v>
      </c>
      <c r="EQ151" s="228">
        <v>825.37</v>
      </c>
      <c r="ER151" s="229">
        <v>0.32050000000000001</v>
      </c>
      <c r="ES151" s="228">
        <v>780.26</v>
      </c>
      <c r="ET151" s="228">
        <v>377.67</v>
      </c>
      <c r="EU151" s="231">
        <v>1171.07</v>
      </c>
      <c r="EV151" s="231">
        <v>3401732</v>
      </c>
      <c r="EW151" s="231">
        <v>2329</v>
      </c>
      <c r="EX151" s="231">
        <v>2623.99</v>
      </c>
      <c r="EY151" s="228">
        <v>-294.99</v>
      </c>
      <c r="EZ151" s="229">
        <v>-0.1124</v>
      </c>
      <c r="FA151" s="229">
        <v>0.7792</v>
      </c>
      <c r="FB151" s="227" t="s">
        <v>556</v>
      </c>
      <c r="FC151">
        <f t="shared" si="3"/>
        <v>0</v>
      </c>
    </row>
    <row r="152" spans="1:159" ht="17.25" thickBot="1" x14ac:dyDescent="0.3">
      <c r="A152" s="226">
        <v>45957</v>
      </c>
      <c r="B152" s="227" t="s">
        <v>193</v>
      </c>
      <c r="C152" s="227" t="s">
        <v>587</v>
      </c>
      <c r="D152" s="228">
        <v>1400</v>
      </c>
      <c r="E152" s="228">
        <v>1</v>
      </c>
      <c r="F152" s="228">
        <v>422.5</v>
      </c>
      <c r="G152" s="228">
        <v>420.7</v>
      </c>
      <c r="H152" s="228">
        <v>1.8</v>
      </c>
      <c r="I152" s="229">
        <v>4.3E-3</v>
      </c>
      <c r="J152" s="228">
        <v>422.35</v>
      </c>
      <c r="K152" s="228">
        <v>419.5</v>
      </c>
      <c r="L152" s="228">
        <v>2.85</v>
      </c>
      <c r="M152" s="229">
        <v>6.7999999999999996E-3</v>
      </c>
      <c r="N152" s="228">
        <v>422.5</v>
      </c>
      <c r="O152" s="228">
        <v>420.7</v>
      </c>
      <c r="P152" s="228">
        <v>1.8</v>
      </c>
      <c r="Q152" s="229">
        <v>4.3E-3</v>
      </c>
      <c r="R152" s="228">
        <v>421.65</v>
      </c>
      <c r="S152" s="228">
        <v>419.5</v>
      </c>
      <c r="T152" s="228">
        <v>2.15</v>
      </c>
      <c r="U152" s="229">
        <v>5.1000000000000004E-3</v>
      </c>
      <c r="V152" s="228">
        <v>423.65</v>
      </c>
      <c r="W152" s="228">
        <v>421.65</v>
      </c>
      <c r="X152" s="228">
        <v>2</v>
      </c>
      <c r="Y152" s="229">
        <v>4.7000000000000002E-3</v>
      </c>
      <c r="Z152" s="228">
        <v>0.15</v>
      </c>
      <c r="AA152" s="228">
        <v>1.2</v>
      </c>
      <c r="AB152" s="228">
        <v>-1.05</v>
      </c>
      <c r="AC152" s="229">
        <v>4.0000000000000002E-4</v>
      </c>
      <c r="AD152" s="228">
        <v>0.15</v>
      </c>
      <c r="AE152" s="228">
        <v>1.2</v>
      </c>
      <c r="AF152" s="228">
        <v>-1.05</v>
      </c>
      <c r="AG152" s="229">
        <v>4.0000000000000002E-4</v>
      </c>
      <c r="AH152" s="228">
        <v>-0.7</v>
      </c>
      <c r="AI152" s="228">
        <v>0</v>
      </c>
      <c r="AJ152" s="228">
        <v>-0.7</v>
      </c>
      <c r="AK152" s="229">
        <v>-1.6999999999999999E-3</v>
      </c>
      <c r="AL152" s="228">
        <v>1.3</v>
      </c>
      <c r="AM152" s="228">
        <v>2.15</v>
      </c>
      <c r="AN152" s="228">
        <v>-0.85</v>
      </c>
      <c r="AO152" s="229">
        <v>3.0999999999999999E-3</v>
      </c>
      <c r="AP152" s="228">
        <v>423.13</v>
      </c>
      <c r="AQ152" s="228">
        <v>422.83</v>
      </c>
      <c r="AR152" s="228">
        <v>0</v>
      </c>
      <c r="AS152" s="228">
        <v>348</v>
      </c>
      <c r="AT152" s="228">
        <v>480</v>
      </c>
      <c r="AU152" s="228">
        <v>-133</v>
      </c>
      <c r="AV152" s="229">
        <v>-0.27639999999999998</v>
      </c>
      <c r="AW152" s="228">
        <v>158</v>
      </c>
      <c r="AX152" s="228">
        <v>252</v>
      </c>
      <c r="AY152" s="228">
        <v>-94</v>
      </c>
      <c r="AZ152" s="229">
        <v>-0.37319999999999998</v>
      </c>
      <c r="BA152" s="228">
        <v>186</v>
      </c>
      <c r="BB152" s="228">
        <v>226</v>
      </c>
      <c r="BC152" s="228">
        <v>-39</v>
      </c>
      <c r="BD152" s="229">
        <v>-0.17330000000000001</v>
      </c>
      <c r="BE152" s="228">
        <v>3</v>
      </c>
      <c r="BF152" s="228">
        <v>3</v>
      </c>
      <c r="BG152" s="228">
        <v>0</v>
      </c>
      <c r="BH152" s="229">
        <v>0.1</v>
      </c>
      <c r="BI152" s="228">
        <v>342</v>
      </c>
      <c r="BJ152" s="228">
        <v>698</v>
      </c>
      <c r="BK152" s="228">
        <v>-356</v>
      </c>
      <c r="BL152" s="229">
        <v>-0.50960000000000005</v>
      </c>
      <c r="BM152" s="228">
        <v>102</v>
      </c>
      <c r="BN152" s="228">
        <v>173</v>
      </c>
      <c r="BO152" s="228">
        <v>-71</v>
      </c>
      <c r="BP152" s="229">
        <v>-0.41189999999999999</v>
      </c>
      <c r="BQ152" s="228">
        <v>792</v>
      </c>
      <c r="BR152" s="230">
        <v>1351</v>
      </c>
      <c r="BS152" s="228">
        <v>-560</v>
      </c>
      <c r="BT152" s="229">
        <v>-0.41420000000000001</v>
      </c>
      <c r="BU152" s="230">
        <v>1771174</v>
      </c>
      <c r="BV152" s="230">
        <v>2838368</v>
      </c>
      <c r="BW152" s="230">
        <v>-1067194</v>
      </c>
      <c r="BX152" s="229">
        <v>-0.376</v>
      </c>
      <c r="BY152" s="228">
        <v>462</v>
      </c>
      <c r="BZ152" s="228">
        <v>471</v>
      </c>
      <c r="CA152" s="228">
        <v>-8</v>
      </c>
      <c r="CB152" s="229">
        <v>-1.77E-2</v>
      </c>
      <c r="CC152" s="228">
        <v>108</v>
      </c>
      <c r="CD152" s="228">
        <v>190</v>
      </c>
      <c r="CE152" s="228">
        <v>-82</v>
      </c>
      <c r="CF152" s="229">
        <v>-0.43030000000000002</v>
      </c>
      <c r="CG152" s="228">
        <v>348</v>
      </c>
      <c r="CH152" s="228">
        <v>274</v>
      </c>
      <c r="CI152" s="228">
        <v>74</v>
      </c>
      <c r="CJ152" s="229">
        <v>0.2697</v>
      </c>
      <c r="CK152" s="228">
        <v>6</v>
      </c>
      <c r="CL152" s="228">
        <v>6</v>
      </c>
      <c r="CM152" s="228">
        <v>0</v>
      </c>
      <c r="CN152" s="229">
        <v>-5.8299999999999998E-2</v>
      </c>
      <c r="CO152" s="228">
        <v>216</v>
      </c>
      <c r="CP152" s="228">
        <v>278</v>
      </c>
      <c r="CQ152" s="228">
        <v>-62</v>
      </c>
      <c r="CR152" s="229">
        <v>-0.22159999999999999</v>
      </c>
      <c r="CS152" s="228">
        <v>140</v>
      </c>
      <c r="CT152" s="228">
        <v>142</v>
      </c>
      <c r="CU152" s="228">
        <v>-2</v>
      </c>
      <c r="CV152" s="229">
        <v>-1.4500000000000001E-2</v>
      </c>
      <c r="CW152" s="228">
        <v>819</v>
      </c>
      <c r="CX152" s="228">
        <v>891</v>
      </c>
      <c r="CY152" s="228">
        <v>-72</v>
      </c>
      <c r="CZ152" s="229">
        <v>-8.0799999999999997E-2</v>
      </c>
      <c r="DA152" s="228">
        <v>30.31</v>
      </c>
      <c r="DB152" s="228">
        <v>30.14</v>
      </c>
      <c r="DC152" s="228">
        <v>0.17</v>
      </c>
      <c r="DD152" s="228">
        <v>0.17</v>
      </c>
      <c r="DE152" s="228">
        <v>44.12</v>
      </c>
      <c r="DF152" s="228">
        <v>44.23</v>
      </c>
      <c r="DG152" s="228">
        <v>-13.81</v>
      </c>
      <c r="DH152" s="228">
        <v>-0.11</v>
      </c>
      <c r="DI152" s="228">
        <v>30.43</v>
      </c>
      <c r="DJ152" s="228">
        <v>30.17</v>
      </c>
      <c r="DK152" s="228">
        <v>0.26</v>
      </c>
      <c r="DL152" s="228">
        <v>0.26</v>
      </c>
      <c r="DM152" s="228">
        <v>29.98</v>
      </c>
      <c r="DN152" s="228">
        <v>30.02</v>
      </c>
      <c r="DO152" s="228">
        <v>-0.04</v>
      </c>
      <c r="DP152" s="228">
        <v>-0.04</v>
      </c>
      <c r="DQ152" s="228">
        <v>0.65</v>
      </c>
      <c r="DR152" s="228">
        <v>0.51</v>
      </c>
      <c r="DS152" s="228">
        <v>0.14000000000000001</v>
      </c>
      <c r="DT152" s="229">
        <v>0.27450000000000002</v>
      </c>
      <c r="DU152" s="228">
        <v>420</v>
      </c>
      <c r="DV152" s="228">
        <v>420</v>
      </c>
      <c r="DW152" s="228">
        <v>0.3</v>
      </c>
      <c r="DX152" s="228">
        <v>0.25</v>
      </c>
      <c r="DY152" s="228">
        <v>0.05</v>
      </c>
      <c r="DZ152" s="229">
        <v>0.2</v>
      </c>
      <c r="EA152" s="229">
        <v>0.76529999999999998</v>
      </c>
      <c r="EB152" s="230">
        <v>6631800</v>
      </c>
      <c r="EC152" s="229">
        <v>-2E-3</v>
      </c>
      <c r="ED152" s="229">
        <v>0.76529999999999998</v>
      </c>
      <c r="EE152" s="228">
        <v>-0.3</v>
      </c>
      <c r="EF152" s="229">
        <v>-6.9999999999999999E-4</v>
      </c>
      <c r="EG152" s="230">
        <v>654051</v>
      </c>
      <c r="EH152" s="230">
        <v>1045616</v>
      </c>
      <c r="EI152" s="229">
        <v>-0.3745</v>
      </c>
      <c r="EJ152" s="229">
        <v>0.36930000000000002</v>
      </c>
      <c r="EK152" s="228">
        <v>354.18</v>
      </c>
      <c r="EL152" s="228">
        <v>100.95</v>
      </c>
      <c r="EM152" s="228">
        <v>347.91</v>
      </c>
      <c r="EN152" s="228">
        <v>52.78</v>
      </c>
      <c r="EO152" s="228">
        <v>803.04</v>
      </c>
      <c r="EP152" s="231">
        <v>1365.58</v>
      </c>
      <c r="EQ152" s="228">
        <v>-562.54</v>
      </c>
      <c r="ER152" s="229">
        <v>-0.41189999999999999</v>
      </c>
      <c r="ES152" s="228">
        <v>222.81</v>
      </c>
      <c r="ET152" s="228">
        <v>133.72999999999999</v>
      </c>
      <c r="EU152" s="228">
        <v>461.57</v>
      </c>
      <c r="EV152" s="231">
        <v>94123587</v>
      </c>
      <c r="EW152" s="228">
        <v>818.12</v>
      </c>
      <c r="EX152" s="228">
        <v>889.38</v>
      </c>
      <c r="EY152" s="228">
        <v>-71.260000000000005</v>
      </c>
      <c r="EZ152" s="229">
        <v>-8.0100000000000005E-2</v>
      </c>
      <c r="FA152" s="229">
        <v>0.2059</v>
      </c>
      <c r="FB152" s="227" t="s">
        <v>556</v>
      </c>
      <c r="FC152">
        <f t="shared" si="3"/>
        <v>0</v>
      </c>
    </row>
    <row r="153" spans="1:159" ht="17.25" thickBot="1" x14ac:dyDescent="0.3">
      <c r="A153" s="226">
        <v>45957</v>
      </c>
      <c r="B153" s="227" t="s">
        <v>193</v>
      </c>
      <c r="C153" s="227" t="s">
        <v>269</v>
      </c>
      <c r="D153" s="228">
        <v>2250</v>
      </c>
      <c r="E153" s="228">
        <v>1</v>
      </c>
      <c r="F153" s="228">
        <v>252.92</v>
      </c>
      <c r="G153" s="228">
        <v>254.55</v>
      </c>
      <c r="H153" s="228">
        <v>-1.63</v>
      </c>
      <c r="I153" s="229">
        <v>-6.4000000000000003E-3</v>
      </c>
      <c r="J153" s="228">
        <v>253.27</v>
      </c>
      <c r="K153" s="228">
        <v>254.96</v>
      </c>
      <c r="L153" s="228">
        <v>-1.69</v>
      </c>
      <c r="M153" s="229">
        <v>-6.6E-3</v>
      </c>
      <c r="N153" s="228">
        <v>252.92</v>
      </c>
      <c r="O153" s="228">
        <v>254.55</v>
      </c>
      <c r="P153" s="228">
        <v>-1.63</v>
      </c>
      <c r="Q153" s="229">
        <v>-6.4000000000000003E-3</v>
      </c>
      <c r="R153" s="228">
        <v>254.02</v>
      </c>
      <c r="S153" s="228">
        <v>255.85</v>
      </c>
      <c r="T153" s="228">
        <v>-1.83</v>
      </c>
      <c r="U153" s="229">
        <v>-7.1999999999999998E-3</v>
      </c>
      <c r="V153" s="228">
        <v>255.8</v>
      </c>
      <c r="W153" s="228">
        <v>257.47000000000003</v>
      </c>
      <c r="X153" s="228">
        <v>-1.67</v>
      </c>
      <c r="Y153" s="229">
        <v>-6.4999999999999997E-3</v>
      </c>
      <c r="Z153" s="228">
        <v>-0.35</v>
      </c>
      <c r="AA153" s="228">
        <v>-0.41</v>
      </c>
      <c r="AB153" s="228">
        <v>0.06</v>
      </c>
      <c r="AC153" s="229">
        <v>-1.4E-3</v>
      </c>
      <c r="AD153" s="228">
        <v>-0.35</v>
      </c>
      <c r="AE153" s="228">
        <v>-0.41</v>
      </c>
      <c r="AF153" s="228">
        <v>0.06</v>
      </c>
      <c r="AG153" s="229">
        <v>-1.4E-3</v>
      </c>
      <c r="AH153" s="228">
        <v>0.75</v>
      </c>
      <c r="AI153" s="228">
        <v>0.89</v>
      </c>
      <c r="AJ153" s="228">
        <v>-0.14000000000000001</v>
      </c>
      <c r="AK153" s="229">
        <v>3.0000000000000001E-3</v>
      </c>
      <c r="AL153" s="228">
        <v>2.5299999999999998</v>
      </c>
      <c r="AM153" s="228">
        <v>2.5099999999999998</v>
      </c>
      <c r="AN153" s="228">
        <v>0.02</v>
      </c>
      <c r="AO153" s="229">
        <v>0.01</v>
      </c>
      <c r="AP153" s="228">
        <v>253.1</v>
      </c>
      <c r="AQ153" s="228">
        <v>254.18</v>
      </c>
      <c r="AR153" s="228">
        <v>0</v>
      </c>
      <c r="AS153" s="230">
        <v>1932</v>
      </c>
      <c r="AT153" s="230">
        <v>1571</v>
      </c>
      <c r="AU153" s="228">
        <v>361</v>
      </c>
      <c r="AV153" s="229">
        <v>0.2298</v>
      </c>
      <c r="AW153" s="228">
        <v>940</v>
      </c>
      <c r="AX153" s="228">
        <v>795</v>
      </c>
      <c r="AY153" s="228">
        <v>145</v>
      </c>
      <c r="AZ153" s="229">
        <v>0.18290000000000001</v>
      </c>
      <c r="BA153" s="228">
        <v>983</v>
      </c>
      <c r="BB153" s="228">
        <v>763</v>
      </c>
      <c r="BC153" s="228">
        <v>221</v>
      </c>
      <c r="BD153" s="229">
        <v>0.28910000000000002</v>
      </c>
      <c r="BE153" s="228">
        <v>9</v>
      </c>
      <c r="BF153" s="228">
        <v>14</v>
      </c>
      <c r="BG153" s="228">
        <v>-5</v>
      </c>
      <c r="BH153" s="229">
        <v>-0.34549999999999997</v>
      </c>
      <c r="BI153" s="230">
        <v>1574</v>
      </c>
      <c r="BJ153" s="230">
        <v>3111</v>
      </c>
      <c r="BK153" s="230">
        <v>-1537</v>
      </c>
      <c r="BL153" s="229">
        <v>-0.49409999999999998</v>
      </c>
      <c r="BM153" s="228">
        <v>902</v>
      </c>
      <c r="BN153" s="230">
        <v>1564</v>
      </c>
      <c r="BO153" s="228">
        <v>-661</v>
      </c>
      <c r="BP153" s="229">
        <v>-0.42280000000000001</v>
      </c>
      <c r="BQ153" s="230">
        <v>4408</v>
      </c>
      <c r="BR153" s="230">
        <v>6246</v>
      </c>
      <c r="BS153" s="230">
        <v>-1837</v>
      </c>
      <c r="BT153" s="229">
        <v>-0.29409999999999997</v>
      </c>
      <c r="BU153" s="230">
        <v>8131328</v>
      </c>
      <c r="BV153" s="230">
        <v>19978210</v>
      </c>
      <c r="BW153" s="230">
        <v>-11846882</v>
      </c>
      <c r="BX153" s="229">
        <v>-0.59299999999999997</v>
      </c>
      <c r="BY153" s="230">
        <v>2919</v>
      </c>
      <c r="BZ153" s="230">
        <v>2898</v>
      </c>
      <c r="CA153" s="228">
        <v>21</v>
      </c>
      <c r="CB153" s="229">
        <v>7.4000000000000003E-3</v>
      </c>
      <c r="CC153" s="228">
        <v>909</v>
      </c>
      <c r="CD153" s="230">
        <v>1620</v>
      </c>
      <c r="CE153" s="228">
        <v>-711</v>
      </c>
      <c r="CF153" s="229">
        <v>-0.43869999999999998</v>
      </c>
      <c r="CG153" s="230">
        <v>1990</v>
      </c>
      <c r="CH153" s="230">
        <v>1263</v>
      </c>
      <c r="CI153" s="228">
        <v>727</v>
      </c>
      <c r="CJ153" s="229">
        <v>0.57550000000000001</v>
      </c>
      <c r="CK153" s="228">
        <v>20</v>
      </c>
      <c r="CL153" s="228">
        <v>15</v>
      </c>
      <c r="CM153" s="228">
        <v>5</v>
      </c>
      <c r="CN153" s="229">
        <v>0.35089999999999999</v>
      </c>
      <c r="CO153" s="230">
        <v>1478</v>
      </c>
      <c r="CP153" s="230">
        <v>1583</v>
      </c>
      <c r="CQ153" s="228">
        <v>-106</v>
      </c>
      <c r="CR153" s="229">
        <v>-6.6699999999999995E-2</v>
      </c>
      <c r="CS153" s="230">
        <v>1021</v>
      </c>
      <c r="CT153" s="230">
        <v>1061</v>
      </c>
      <c r="CU153" s="228">
        <v>-40</v>
      </c>
      <c r="CV153" s="229">
        <v>-3.7400000000000003E-2</v>
      </c>
      <c r="CW153" s="230">
        <v>5418</v>
      </c>
      <c r="CX153" s="230">
        <v>5542</v>
      </c>
      <c r="CY153" s="228">
        <v>-124</v>
      </c>
      <c r="CZ153" s="229">
        <v>-2.24E-2</v>
      </c>
      <c r="DA153" s="228">
        <v>24.6</v>
      </c>
      <c r="DB153" s="228">
        <v>24.02</v>
      </c>
      <c r="DC153" s="228">
        <v>0.57999999999999996</v>
      </c>
      <c r="DD153" s="228">
        <v>0.57999999999999996</v>
      </c>
      <c r="DE153" s="228">
        <v>31.89</v>
      </c>
      <c r="DF153" s="228">
        <v>31.96</v>
      </c>
      <c r="DG153" s="228">
        <v>-7.29</v>
      </c>
      <c r="DH153" s="228">
        <v>-7.0000000000000007E-2</v>
      </c>
      <c r="DI153" s="228">
        <v>24.87</v>
      </c>
      <c r="DJ153" s="228">
        <v>24.17</v>
      </c>
      <c r="DK153" s="228">
        <v>0.7</v>
      </c>
      <c r="DL153" s="228">
        <v>0.7</v>
      </c>
      <c r="DM153" s="228">
        <v>24.12</v>
      </c>
      <c r="DN153" s="228">
        <v>23.64</v>
      </c>
      <c r="DO153" s="228">
        <v>0.48</v>
      </c>
      <c r="DP153" s="228">
        <v>0.48</v>
      </c>
      <c r="DQ153" s="228">
        <v>0.69</v>
      </c>
      <c r="DR153" s="228">
        <v>0.67</v>
      </c>
      <c r="DS153" s="228">
        <v>0.02</v>
      </c>
      <c r="DT153" s="229">
        <v>2.9899999999999999E-2</v>
      </c>
      <c r="DU153" s="228">
        <v>250</v>
      </c>
      <c r="DV153" s="228">
        <v>250</v>
      </c>
      <c r="DW153" s="228">
        <v>0.56999999999999995</v>
      </c>
      <c r="DX153" s="228">
        <v>0.5</v>
      </c>
      <c r="DY153" s="228">
        <v>7.0000000000000007E-2</v>
      </c>
      <c r="DZ153" s="229">
        <v>0.14000000000000001</v>
      </c>
      <c r="EA153" s="229">
        <v>0.68859999999999999</v>
      </c>
      <c r="EB153" s="230">
        <v>50528250</v>
      </c>
      <c r="EC153" s="229">
        <v>4.3E-3</v>
      </c>
      <c r="ED153" s="229">
        <v>0.68859999999999999</v>
      </c>
      <c r="EE153" s="228">
        <v>1.08</v>
      </c>
      <c r="EF153" s="229">
        <v>4.3E-3</v>
      </c>
      <c r="EG153" s="230">
        <v>4643842</v>
      </c>
      <c r="EH153" s="230">
        <v>11053941</v>
      </c>
      <c r="EI153" s="229">
        <v>-0.57989999999999997</v>
      </c>
      <c r="EJ153" s="229">
        <v>0.57110000000000005</v>
      </c>
      <c r="EK153" s="231">
        <v>1611.46</v>
      </c>
      <c r="EL153" s="228">
        <v>904.15</v>
      </c>
      <c r="EM153" s="231">
        <v>1938.01</v>
      </c>
      <c r="EN153" s="228">
        <v>169.69</v>
      </c>
      <c r="EO153" s="231">
        <v>4453.62</v>
      </c>
      <c r="EP153" s="231">
        <v>6368.67</v>
      </c>
      <c r="EQ153" s="231">
        <v>-1915.06</v>
      </c>
      <c r="ER153" s="229">
        <v>-0.30070000000000002</v>
      </c>
      <c r="ES153" s="231">
        <v>1482.84</v>
      </c>
      <c r="ET153" s="228">
        <v>993.5</v>
      </c>
      <c r="EU153" s="231">
        <v>2928.04</v>
      </c>
      <c r="EV153" s="231">
        <v>517141211</v>
      </c>
      <c r="EW153" s="231">
        <v>5404.39</v>
      </c>
      <c r="EX153" s="231">
        <v>5543.7</v>
      </c>
      <c r="EY153" s="228">
        <v>-139.31</v>
      </c>
      <c r="EZ153" s="229">
        <v>-2.5100000000000001E-2</v>
      </c>
      <c r="FA153" s="229">
        <v>0.4143</v>
      </c>
      <c r="FB153" s="227" t="s">
        <v>567</v>
      </c>
      <c r="FC153">
        <f t="shared" si="3"/>
        <v>0</v>
      </c>
    </row>
    <row r="154" spans="1:159" ht="17.25" thickBot="1" x14ac:dyDescent="0.3">
      <c r="A154" s="226">
        <v>45957</v>
      </c>
      <c r="B154" s="227" t="s">
        <v>197</v>
      </c>
      <c r="C154" s="227" t="s">
        <v>270</v>
      </c>
      <c r="D154" s="228">
        <v>15</v>
      </c>
      <c r="E154" s="228">
        <v>1</v>
      </c>
      <c r="F154" s="231">
        <v>41105</v>
      </c>
      <c r="G154" s="231">
        <v>41160</v>
      </c>
      <c r="H154" s="228">
        <v>-55</v>
      </c>
      <c r="I154" s="229">
        <v>-1.2999999999999999E-3</v>
      </c>
      <c r="J154" s="231">
        <v>40985</v>
      </c>
      <c r="K154" s="231">
        <v>41025</v>
      </c>
      <c r="L154" s="228">
        <v>-40</v>
      </c>
      <c r="M154" s="229">
        <v>-1E-3</v>
      </c>
      <c r="N154" s="231">
        <v>41105</v>
      </c>
      <c r="O154" s="231">
        <v>41160</v>
      </c>
      <c r="P154" s="228">
        <v>-55</v>
      </c>
      <c r="Q154" s="229">
        <v>-1.2999999999999999E-3</v>
      </c>
      <c r="R154" s="231">
        <v>40630</v>
      </c>
      <c r="S154" s="231">
        <v>40450</v>
      </c>
      <c r="T154" s="228">
        <v>180</v>
      </c>
      <c r="U154" s="229">
        <v>4.4000000000000003E-3</v>
      </c>
      <c r="V154" s="231">
        <v>40355</v>
      </c>
      <c r="W154" s="231">
        <v>40130</v>
      </c>
      <c r="X154" s="228">
        <v>225</v>
      </c>
      <c r="Y154" s="229">
        <v>5.5999999999999999E-3</v>
      </c>
      <c r="Z154" s="228">
        <v>120</v>
      </c>
      <c r="AA154" s="228">
        <v>135</v>
      </c>
      <c r="AB154" s="228">
        <v>-15</v>
      </c>
      <c r="AC154" s="229">
        <v>2.8999999999999998E-3</v>
      </c>
      <c r="AD154" s="228">
        <v>120</v>
      </c>
      <c r="AE154" s="228">
        <v>135</v>
      </c>
      <c r="AF154" s="228">
        <v>-15</v>
      </c>
      <c r="AG154" s="229">
        <v>2.8999999999999998E-3</v>
      </c>
      <c r="AH154" s="228">
        <v>-355</v>
      </c>
      <c r="AI154" s="228">
        <v>-575</v>
      </c>
      <c r="AJ154" s="228">
        <v>220</v>
      </c>
      <c r="AK154" s="229">
        <v>-8.6999999999999994E-3</v>
      </c>
      <c r="AL154" s="228">
        <v>-630</v>
      </c>
      <c r="AM154" s="228">
        <v>-895</v>
      </c>
      <c r="AN154" s="228">
        <v>265</v>
      </c>
      <c r="AO154" s="229">
        <v>-1.54E-2</v>
      </c>
      <c r="AP154" s="231">
        <v>41201.769999999997</v>
      </c>
      <c r="AQ154" s="231">
        <v>40562.379999999997</v>
      </c>
      <c r="AR154" s="228">
        <v>0</v>
      </c>
      <c r="AS154" s="228">
        <v>697</v>
      </c>
      <c r="AT154" s="228">
        <v>800</v>
      </c>
      <c r="AU154" s="228">
        <v>-102</v>
      </c>
      <c r="AV154" s="229">
        <v>-0.128</v>
      </c>
      <c r="AW154" s="228">
        <v>346</v>
      </c>
      <c r="AX154" s="228">
        <v>399</v>
      </c>
      <c r="AY154" s="228">
        <v>-54</v>
      </c>
      <c r="AZ154" s="229">
        <v>-0.1351</v>
      </c>
      <c r="BA154" s="228">
        <v>350</v>
      </c>
      <c r="BB154" s="228">
        <v>398</v>
      </c>
      <c r="BC154" s="228">
        <v>-48</v>
      </c>
      <c r="BD154" s="229">
        <v>-0.1206</v>
      </c>
      <c r="BE154" s="228">
        <v>2</v>
      </c>
      <c r="BF154" s="228">
        <v>2</v>
      </c>
      <c r="BG154" s="228">
        <v>0</v>
      </c>
      <c r="BH154" s="229">
        <v>-0.17499999999999999</v>
      </c>
      <c r="BI154" s="228">
        <v>594</v>
      </c>
      <c r="BJ154" s="228">
        <v>663</v>
      </c>
      <c r="BK154" s="228">
        <v>-69</v>
      </c>
      <c r="BL154" s="229">
        <v>-0.1043</v>
      </c>
      <c r="BM154" s="228">
        <v>447</v>
      </c>
      <c r="BN154" s="228">
        <v>484</v>
      </c>
      <c r="BO154" s="228">
        <v>-37</v>
      </c>
      <c r="BP154" s="229">
        <v>-7.7299999999999994E-2</v>
      </c>
      <c r="BQ154" s="230">
        <v>1738</v>
      </c>
      <c r="BR154" s="230">
        <v>1947</v>
      </c>
      <c r="BS154" s="228">
        <v>-209</v>
      </c>
      <c r="BT154" s="229">
        <v>-0.10730000000000001</v>
      </c>
      <c r="BU154" s="230">
        <v>10310</v>
      </c>
      <c r="BV154" s="230">
        <v>15955</v>
      </c>
      <c r="BW154" s="230">
        <v>-5645</v>
      </c>
      <c r="BX154" s="229">
        <v>-0.3538</v>
      </c>
      <c r="BY154" s="228">
        <v>933</v>
      </c>
      <c r="BZ154" s="228">
        <v>958</v>
      </c>
      <c r="CA154" s="228">
        <v>-25</v>
      </c>
      <c r="CB154" s="229">
        <v>-2.64E-2</v>
      </c>
      <c r="CC154" s="228">
        <v>117</v>
      </c>
      <c r="CD154" s="228">
        <v>341</v>
      </c>
      <c r="CE154" s="228">
        <v>-225</v>
      </c>
      <c r="CF154" s="229">
        <v>-0.65820000000000001</v>
      </c>
      <c r="CG154" s="228">
        <v>801</v>
      </c>
      <c r="CH154" s="228">
        <v>603</v>
      </c>
      <c r="CI154" s="228">
        <v>198</v>
      </c>
      <c r="CJ154" s="229">
        <v>0.3291</v>
      </c>
      <c r="CK154" s="228">
        <v>16</v>
      </c>
      <c r="CL154" s="228">
        <v>14</v>
      </c>
      <c r="CM154" s="228">
        <v>1</v>
      </c>
      <c r="CN154" s="229">
        <v>7.6600000000000001E-2</v>
      </c>
      <c r="CO154" s="228">
        <v>368</v>
      </c>
      <c r="CP154" s="228">
        <v>442</v>
      </c>
      <c r="CQ154" s="228">
        <v>-74</v>
      </c>
      <c r="CR154" s="229">
        <v>-0.1681</v>
      </c>
      <c r="CS154" s="228">
        <v>170</v>
      </c>
      <c r="CT154" s="228">
        <v>175</v>
      </c>
      <c r="CU154" s="228">
        <v>-4</v>
      </c>
      <c r="CV154" s="229">
        <v>-2.47E-2</v>
      </c>
      <c r="CW154" s="230">
        <v>1471</v>
      </c>
      <c r="CX154" s="230">
        <v>1575</v>
      </c>
      <c r="CY154" s="228">
        <v>-104</v>
      </c>
      <c r="CZ154" s="229">
        <v>-6.6000000000000003E-2</v>
      </c>
      <c r="DA154" s="228">
        <v>28.09</v>
      </c>
      <c r="DB154" s="228">
        <v>27.06</v>
      </c>
      <c r="DC154" s="228">
        <v>1.03</v>
      </c>
      <c r="DD154" s="228">
        <v>1.03</v>
      </c>
      <c r="DE154" s="228">
        <v>29.18</v>
      </c>
      <c r="DF154" s="228">
        <v>29.25</v>
      </c>
      <c r="DG154" s="228">
        <v>-1.0900000000000001</v>
      </c>
      <c r="DH154" s="228">
        <v>-7.0000000000000007E-2</v>
      </c>
      <c r="DI154" s="228">
        <v>27.76</v>
      </c>
      <c r="DJ154" s="228">
        <v>27.13</v>
      </c>
      <c r="DK154" s="228">
        <v>0.63</v>
      </c>
      <c r="DL154" s="228">
        <v>0.63</v>
      </c>
      <c r="DM154" s="228">
        <v>28.61</v>
      </c>
      <c r="DN154" s="228">
        <v>26.96</v>
      </c>
      <c r="DO154" s="228">
        <v>1.65</v>
      </c>
      <c r="DP154" s="228">
        <v>1.65</v>
      </c>
      <c r="DQ154" s="228">
        <v>0.46</v>
      </c>
      <c r="DR154" s="228">
        <v>0.4</v>
      </c>
      <c r="DS154" s="228">
        <v>0.06</v>
      </c>
      <c r="DT154" s="229">
        <v>0.15</v>
      </c>
      <c r="DU154" s="231">
        <v>45000</v>
      </c>
      <c r="DV154" s="231">
        <v>40000</v>
      </c>
      <c r="DW154" s="228">
        <v>0.75</v>
      </c>
      <c r="DX154" s="228">
        <v>0.73</v>
      </c>
      <c r="DY154" s="228">
        <v>0.02</v>
      </c>
      <c r="DZ154" s="229">
        <v>2.7400000000000001E-2</v>
      </c>
      <c r="EA154" s="229">
        <v>0.875</v>
      </c>
      <c r="EB154" s="230">
        <v>150120</v>
      </c>
      <c r="EC154" s="229">
        <v>-1.1599999999999999E-2</v>
      </c>
      <c r="ED154" s="229">
        <v>0.875</v>
      </c>
      <c r="EE154" s="228">
        <v>-639.39</v>
      </c>
      <c r="EF154" s="229">
        <v>-1.55E-2</v>
      </c>
      <c r="EG154" s="230">
        <v>6104</v>
      </c>
      <c r="EH154" s="230">
        <v>10076</v>
      </c>
      <c r="EI154" s="229">
        <v>-0.39419999999999999</v>
      </c>
      <c r="EJ154" s="229">
        <v>0.59199999999999997</v>
      </c>
      <c r="EK154" s="228">
        <v>643.24</v>
      </c>
      <c r="EL154" s="228">
        <v>428.84</v>
      </c>
      <c r="EM154" s="228">
        <v>693.62</v>
      </c>
      <c r="EN154" s="228">
        <v>72.66</v>
      </c>
      <c r="EO154" s="231">
        <v>1765.71</v>
      </c>
      <c r="EP154" s="231">
        <v>1970.88</v>
      </c>
      <c r="EQ154" s="228">
        <v>-205.17</v>
      </c>
      <c r="ER154" s="229">
        <v>-0.1041</v>
      </c>
      <c r="ES154" s="228">
        <v>390.69</v>
      </c>
      <c r="ET154" s="228">
        <v>167.14</v>
      </c>
      <c r="EU154" s="228">
        <v>923.59</v>
      </c>
      <c r="EV154" s="231">
        <v>955549</v>
      </c>
      <c r="EW154" s="231">
        <v>1481.41</v>
      </c>
      <c r="EX154" s="231">
        <v>1588.79</v>
      </c>
      <c r="EY154" s="228">
        <v>-107.38</v>
      </c>
      <c r="EZ154" s="229">
        <v>-6.7599999999999993E-2</v>
      </c>
      <c r="FA154" s="229">
        <v>0.3745</v>
      </c>
      <c r="FB154" s="227" t="s">
        <v>568</v>
      </c>
      <c r="FC154">
        <f t="shared" si="3"/>
        <v>0</v>
      </c>
    </row>
    <row r="155" spans="1:159" ht="17.25" thickBot="1" x14ac:dyDescent="0.3">
      <c r="A155" s="226">
        <v>45957</v>
      </c>
      <c r="B155" s="227" t="s">
        <v>168</v>
      </c>
      <c r="C155" s="227" t="s">
        <v>666</v>
      </c>
      <c r="D155" s="228">
        <v>900</v>
      </c>
      <c r="E155" s="228">
        <v>1</v>
      </c>
      <c r="F155" s="228">
        <v>591</v>
      </c>
      <c r="G155" s="228">
        <v>581.54999999999995</v>
      </c>
      <c r="H155" s="228">
        <v>9.4499999999999993</v>
      </c>
      <c r="I155" s="229">
        <v>1.6199999999999999E-2</v>
      </c>
      <c r="J155" s="228">
        <v>590.5</v>
      </c>
      <c r="K155" s="228">
        <v>580.95000000000005</v>
      </c>
      <c r="L155" s="228">
        <v>9.5500000000000007</v>
      </c>
      <c r="M155" s="229">
        <v>1.6400000000000001E-2</v>
      </c>
      <c r="N155" s="228">
        <v>591</v>
      </c>
      <c r="O155" s="228">
        <v>581.54999999999995</v>
      </c>
      <c r="P155" s="228">
        <v>9.4499999999999993</v>
      </c>
      <c r="Q155" s="229">
        <v>1.6199999999999999E-2</v>
      </c>
      <c r="R155" s="228">
        <v>593.45000000000005</v>
      </c>
      <c r="S155" s="228">
        <v>584.1</v>
      </c>
      <c r="T155" s="228">
        <v>9.35</v>
      </c>
      <c r="U155" s="229">
        <v>1.6E-2</v>
      </c>
      <c r="V155" s="228">
        <v>595.79999999999995</v>
      </c>
      <c r="W155" s="228">
        <v>586.29999999999995</v>
      </c>
      <c r="X155" s="228">
        <v>9.5</v>
      </c>
      <c r="Y155" s="229">
        <v>1.6199999999999999E-2</v>
      </c>
      <c r="Z155" s="228">
        <v>0.5</v>
      </c>
      <c r="AA155" s="228">
        <v>0.6</v>
      </c>
      <c r="AB155" s="228">
        <v>-0.1</v>
      </c>
      <c r="AC155" s="229">
        <v>8.0000000000000004E-4</v>
      </c>
      <c r="AD155" s="228">
        <v>0.5</v>
      </c>
      <c r="AE155" s="228">
        <v>0.6</v>
      </c>
      <c r="AF155" s="228">
        <v>-0.1</v>
      </c>
      <c r="AG155" s="229">
        <v>8.0000000000000004E-4</v>
      </c>
      <c r="AH155" s="228">
        <v>2.95</v>
      </c>
      <c r="AI155" s="228">
        <v>3.15</v>
      </c>
      <c r="AJ155" s="228">
        <v>-0.2</v>
      </c>
      <c r="AK155" s="229">
        <v>5.0000000000000001E-3</v>
      </c>
      <c r="AL155" s="228">
        <v>5.3</v>
      </c>
      <c r="AM155" s="228">
        <v>5.35</v>
      </c>
      <c r="AN155" s="228">
        <v>-0.05</v>
      </c>
      <c r="AO155" s="229">
        <v>8.9999999999999993E-3</v>
      </c>
      <c r="AP155" s="228">
        <v>588.44000000000005</v>
      </c>
      <c r="AQ155" s="228">
        <v>591.04</v>
      </c>
      <c r="AR155" s="228">
        <v>0</v>
      </c>
      <c r="AS155" s="230">
        <v>1624</v>
      </c>
      <c r="AT155" s="228">
        <v>985</v>
      </c>
      <c r="AU155" s="228">
        <v>639</v>
      </c>
      <c r="AV155" s="229">
        <v>0.64890000000000003</v>
      </c>
      <c r="AW155" s="228">
        <v>748</v>
      </c>
      <c r="AX155" s="228">
        <v>483</v>
      </c>
      <c r="AY155" s="228">
        <v>266</v>
      </c>
      <c r="AZ155" s="229">
        <v>0.5504</v>
      </c>
      <c r="BA155" s="228">
        <v>872</v>
      </c>
      <c r="BB155" s="228">
        <v>501</v>
      </c>
      <c r="BC155" s="228">
        <v>371</v>
      </c>
      <c r="BD155" s="229">
        <v>0.74050000000000005</v>
      </c>
      <c r="BE155" s="228">
        <v>4</v>
      </c>
      <c r="BF155" s="228">
        <v>1</v>
      </c>
      <c r="BG155" s="228">
        <v>2</v>
      </c>
      <c r="BH155" s="229">
        <v>2</v>
      </c>
      <c r="BI155" s="228">
        <v>322</v>
      </c>
      <c r="BJ155" s="228">
        <v>296</v>
      </c>
      <c r="BK155" s="228">
        <v>26</v>
      </c>
      <c r="BL155" s="229">
        <v>8.9200000000000002E-2</v>
      </c>
      <c r="BM155" s="228">
        <v>182</v>
      </c>
      <c r="BN155" s="228">
        <v>133</v>
      </c>
      <c r="BO155" s="228">
        <v>49</v>
      </c>
      <c r="BP155" s="229">
        <v>0.3715</v>
      </c>
      <c r="BQ155" s="230">
        <v>2128</v>
      </c>
      <c r="BR155" s="230">
        <v>1413</v>
      </c>
      <c r="BS155" s="228">
        <v>715</v>
      </c>
      <c r="BT155" s="229">
        <v>0.50580000000000003</v>
      </c>
      <c r="BU155" s="230">
        <v>685399</v>
      </c>
      <c r="BV155" s="230">
        <v>588103</v>
      </c>
      <c r="BW155" s="230">
        <v>97296</v>
      </c>
      <c r="BX155" s="229">
        <v>0.16539999999999999</v>
      </c>
      <c r="BY155" s="230">
        <v>1993</v>
      </c>
      <c r="BZ155" s="230">
        <v>1977</v>
      </c>
      <c r="CA155" s="228">
        <v>16</v>
      </c>
      <c r="CB155" s="229">
        <v>8.0000000000000002E-3</v>
      </c>
      <c r="CC155" s="228">
        <v>555</v>
      </c>
      <c r="CD155" s="230">
        <v>1176</v>
      </c>
      <c r="CE155" s="228">
        <v>-621</v>
      </c>
      <c r="CF155" s="229">
        <v>-0.52829999999999999</v>
      </c>
      <c r="CG155" s="230">
        <v>1434</v>
      </c>
      <c r="CH155" s="228">
        <v>799</v>
      </c>
      <c r="CI155" s="228">
        <v>636</v>
      </c>
      <c r="CJ155" s="229">
        <v>0.79600000000000004</v>
      </c>
      <c r="CK155" s="228">
        <v>4</v>
      </c>
      <c r="CL155" s="228">
        <v>2</v>
      </c>
      <c r="CM155" s="228">
        <v>1</v>
      </c>
      <c r="CN155" s="229">
        <v>0.56820000000000004</v>
      </c>
      <c r="CO155" s="228">
        <v>299</v>
      </c>
      <c r="CP155" s="228">
        <v>347</v>
      </c>
      <c r="CQ155" s="228">
        <v>-48</v>
      </c>
      <c r="CR155" s="229">
        <v>-0.1389</v>
      </c>
      <c r="CS155" s="228">
        <v>171</v>
      </c>
      <c r="CT155" s="228">
        <v>170</v>
      </c>
      <c r="CU155" s="228">
        <v>1</v>
      </c>
      <c r="CV155" s="229">
        <v>4.1000000000000003E-3</v>
      </c>
      <c r="CW155" s="230">
        <v>2462</v>
      </c>
      <c r="CX155" s="230">
        <v>2494</v>
      </c>
      <c r="CY155" s="228">
        <v>-32</v>
      </c>
      <c r="CZ155" s="229">
        <v>-1.2699999999999999E-2</v>
      </c>
      <c r="DA155" s="228">
        <v>28.57</v>
      </c>
      <c r="DB155" s="228">
        <v>27.99</v>
      </c>
      <c r="DC155" s="228">
        <v>0.57999999999999996</v>
      </c>
      <c r="DD155" s="228">
        <v>0.57999999999999996</v>
      </c>
      <c r="DE155" s="228">
        <v>33.99</v>
      </c>
      <c r="DF155" s="228">
        <v>34</v>
      </c>
      <c r="DG155" s="228">
        <v>-5.42</v>
      </c>
      <c r="DH155" s="228">
        <v>-0.01</v>
      </c>
      <c r="DI155" s="228">
        <v>28.4</v>
      </c>
      <c r="DJ155" s="228">
        <v>27.48</v>
      </c>
      <c r="DK155" s="228">
        <v>0.92</v>
      </c>
      <c r="DL155" s="228">
        <v>0.92</v>
      </c>
      <c r="DM155" s="228">
        <v>28.74</v>
      </c>
      <c r="DN155" s="228">
        <v>28.52</v>
      </c>
      <c r="DO155" s="228">
        <v>0.22</v>
      </c>
      <c r="DP155" s="228">
        <v>0.22</v>
      </c>
      <c r="DQ155" s="228">
        <v>0.56999999999999995</v>
      </c>
      <c r="DR155" s="228">
        <v>0.49</v>
      </c>
      <c r="DS155" s="228">
        <v>0.08</v>
      </c>
      <c r="DT155" s="229">
        <v>0.1633</v>
      </c>
      <c r="DU155" s="228">
        <v>600</v>
      </c>
      <c r="DV155" s="228">
        <v>570</v>
      </c>
      <c r="DW155" s="228">
        <v>0.56999999999999995</v>
      </c>
      <c r="DX155" s="228">
        <v>0.45</v>
      </c>
      <c r="DY155" s="228">
        <v>0.12</v>
      </c>
      <c r="DZ155" s="229">
        <v>0.26669999999999999</v>
      </c>
      <c r="EA155" s="229">
        <v>0.72170000000000001</v>
      </c>
      <c r="EB155" s="230">
        <v>13554000</v>
      </c>
      <c r="EC155" s="229">
        <v>4.1000000000000003E-3</v>
      </c>
      <c r="ED155" s="229">
        <v>0.72170000000000001</v>
      </c>
      <c r="EE155" s="228">
        <v>2.6</v>
      </c>
      <c r="EF155" s="229">
        <v>4.4000000000000003E-3</v>
      </c>
      <c r="EG155" s="230">
        <v>288187</v>
      </c>
      <c r="EH155" s="230">
        <v>275039</v>
      </c>
      <c r="EI155" s="229">
        <v>4.7800000000000002E-2</v>
      </c>
      <c r="EJ155" s="229">
        <v>0.42049999999999998</v>
      </c>
      <c r="EK155" s="228">
        <v>330.08</v>
      </c>
      <c r="EL155" s="228">
        <v>183</v>
      </c>
      <c r="EM155" s="231">
        <v>1620.63</v>
      </c>
      <c r="EN155" s="228">
        <v>96.57</v>
      </c>
      <c r="EO155" s="231">
        <v>2133.71</v>
      </c>
      <c r="EP155" s="231">
        <v>1411.27</v>
      </c>
      <c r="EQ155" s="228">
        <v>722.44</v>
      </c>
      <c r="ER155" s="229">
        <v>0.51190000000000002</v>
      </c>
      <c r="ES155" s="228">
        <v>309.77</v>
      </c>
      <c r="ET155" s="228">
        <v>168.55</v>
      </c>
      <c r="EU155" s="231">
        <v>1998.74</v>
      </c>
      <c r="EV155" s="231">
        <v>50840137</v>
      </c>
      <c r="EW155" s="231">
        <v>2477.0500000000002</v>
      </c>
      <c r="EX155" s="231">
        <v>2475.7199999999998</v>
      </c>
      <c r="EY155" s="228">
        <v>1.33</v>
      </c>
      <c r="EZ155" s="229">
        <v>5.0000000000000001E-4</v>
      </c>
      <c r="FA155" s="229">
        <v>0.81950000000000001</v>
      </c>
      <c r="FB155" s="227" t="s">
        <v>555</v>
      </c>
      <c r="FC155">
        <f t="shared" si="3"/>
        <v>0</v>
      </c>
    </row>
    <row r="156" spans="1:159" ht="17.25" thickBot="1" x14ac:dyDescent="0.3">
      <c r="A156" s="226">
        <v>45957</v>
      </c>
      <c r="B156" s="227" t="s">
        <v>615</v>
      </c>
      <c r="C156" s="227" t="s">
        <v>575</v>
      </c>
      <c r="D156" s="228">
        <v>725</v>
      </c>
      <c r="E156" s="228">
        <v>1</v>
      </c>
      <c r="F156" s="231">
        <v>1304.0999999999999</v>
      </c>
      <c r="G156" s="231">
        <v>1287.7</v>
      </c>
      <c r="H156" s="228">
        <v>16.399999999999999</v>
      </c>
      <c r="I156" s="229">
        <v>1.2699999999999999E-2</v>
      </c>
      <c r="J156" s="231">
        <v>1306.2</v>
      </c>
      <c r="K156" s="231">
        <v>1287</v>
      </c>
      <c r="L156" s="228">
        <v>19.2</v>
      </c>
      <c r="M156" s="229">
        <v>1.49E-2</v>
      </c>
      <c r="N156" s="231">
        <v>1304.0999999999999</v>
      </c>
      <c r="O156" s="231">
        <v>1287.7</v>
      </c>
      <c r="P156" s="228">
        <v>16.399999999999999</v>
      </c>
      <c r="Q156" s="229">
        <v>1.2699999999999999E-2</v>
      </c>
      <c r="R156" s="231">
        <v>1311.5</v>
      </c>
      <c r="S156" s="231">
        <v>1294.8</v>
      </c>
      <c r="T156" s="228">
        <v>16.7</v>
      </c>
      <c r="U156" s="229">
        <v>1.29E-2</v>
      </c>
      <c r="V156" s="231">
        <v>1317.5</v>
      </c>
      <c r="W156" s="231">
        <v>1303.5</v>
      </c>
      <c r="X156" s="228">
        <v>14</v>
      </c>
      <c r="Y156" s="229">
        <v>1.0699999999999999E-2</v>
      </c>
      <c r="Z156" s="228">
        <v>-2.1</v>
      </c>
      <c r="AA156" s="228">
        <v>0.7</v>
      </c>
      <c r="AB156" s="228">
        <v>-2.8</v>
      </c>
      <c r="AC156" s="229">
        <v>-1.6000000000000001E-3</v>
      </c>
      <c r="AD156" s="228">
        <v>-2.1</v>
      </c>
      <c r="AE156" s="228">
        <v>0.7</v>
      </c>
      <c r="AF156" s="228">
        <v>-2.8</v>
      </c>
      <c r="AG156" s="229">
        <v>-1.6000000000000001E-3</v>
      </c>
      <c r="AH156" s="228">
        <v>5.3</v>
      </c>
      <c r="AI156" s="228">
        <v>7.8</v>
      </c>
      <c r="AJ156" s="228">
        <v>-2.5</v>
      </c>
      <c r="AK156" s="229">
        <v>4.1000000000000003E-3</v>
      </c>
      <c r="AL156" s="228">
        <v>11.3</v>
      </c>
      <c r="AM156" s="228">
        <v>16.5</v>
      </c>
      <c r="AN156" s="228">
        <v>-5.2</v>
      </c>
      <c r="AO156" s="229">
        <v>8.6999999999999994E-3</v>
      </c>
      <c r="AP156" s="231">
        <v>1296.9000000000001</v>
      </c>
      <c r="AQ156" s="231">
        <v>1304.1500000000001</v>
      </c>
      <c r="AR156" s="228">
        <v>0</v>
      </c>
      <c r="AS156" s="230">
        <v>2178</v>
      </c>
      <c r="AT156" s="230">
        <v>1973</v>
      </c>
      <c r="AU156" s="228">
        <v>205</v>
      </c>
      <c r="AV156" s="229">
        <v>0.1041</v>
      </c>
      <c r="AW156" s="230">
        <v>1019</v>
      </c>
      <c r="AX156" s="228">
        <v>981</v>
      </c>
      <c r="AY156" s="228">
        <v>38</v>
      </c>
      <c r="AZ156" s="229">
        <v>3.8300000000000001E-2</v>
      </c>
      <c r="BA156" s="230">
        <v>1130</v>
      </c>
      <c r="BB156" s="228">
        <v>991</v>
      </c>
      <c r="BC156" s="228">
        <v>139</v>
      </c>
      <c r="BD156" s="229">
        <v>0.14080000000000001</v>
      </c>
      <c r="BE156" s="228">
        <v>30</v>
      </c>
      <c r="BF156" s="228">
        <v>1</v>
      </c>
      <c r="BG156" s="228">
        <v>28</v>
      </c>
      <c r="BH156" s="229">
        <v>20</v>
      </c>
      <c r="BI156" s="230">
        <v>1536</v>
      </c>
      <c r="BJ156" s="230">
        <v>1226</v>
      </c>
      <c r="BK156" s="228">
        <v>310</v>
      </c>
      <c r="BL156" s="229">
        <v>0.25280000000000002</v>
      </c>
      <c r="BM156" s="228">
        <v>986</v>
      </c>
      <c r="BN156" s="228">
        <v>773</v>
      </c>
      <c r="BO156" s="228">
        <v>214</v>
      </c>
      <c r="BP156" s="229">
        <v>0.2767</v>
      </c>
      <c r="BQ156" s="230">
        <v>4701</v>
      </c>
      <c r="BR156" s="230">
        <v>3972</v>
      </c>
      <c r="BS156" s="228">
        <v>729</v>
      </c>
      <c r="BT156" s="229">
        <v>0.18360000000000001</v>
      </c>
      <c r="BU156" s="230">
        <v>3508613</v>
      </c>
      <c r="BV156" s="230">
        <v>1612585</v>
      </c>
      <c r="BW156" s="230">
        <v>1896028</v>
      </c>
      <c r="BX156" s="229">
        <v>1.1758</v>
      </c>
      <c r="BY156" s="230">
        <v>3016</v>
      </c>
      <c r="BZ156" s="230">
        <v>3008</v>
      </c>
      <c r="CA156" s="228">
        <v>7</v>
      </c>
      <c r="CB156" s="229">
        <v>2.5000000000000001E-3</v>
      </c>
      <c r="CC156" s="228">
        <v>392</v>
      </c>
      <c r="CD156" s="230">
        <v>1190</v>
      </c>
      <c r="CE156" s="228">
        <v>-798</v>
      </c>
      <c r="CF156" s="229">
        <v>-0.6704</v>
      </c>
      <c r="CG156" s="230">
        <v>2594</v>
      </c>
      <c r="CH156" s="230">
        <v>1805</v>
      </c>
      <c r="CI156" s="228">
        <v>789</v>
      </c>
      <c r="CJ156" s="229">
        <v>0.43740000000000001</v>
      </c>
      <c r="CK156" s="228">
        <v>29</v>
      </c>
      <c r="CL156" s="228">
        <v>13</v>
      </c>
      <c r="CM156" s="228">
        <v>16</v>
      </c>
      <c r="CN156" s="229">
        <v>1.2128000000000001</v>
      </c>
      <c r="CO156" s="228">
        <v>967</v>
      </c>
      <c r="CP156" s="228">
        <v>979</v>
      </c>
      <c r="CQ156" s="228">
        <v>-12</v>
      </c>
      <c r="CR156" s="229">
        <v>-1.26E-2</v>
      </c>
      <c r="CS156" s="228">
        <v>814</v>
      </c>
      <c r="CT156" s="228">
        <v>863</v>
      </c>
      <c r="CU156" s="228">
        <v>-49</v>
      </c>
      <c r="CV156" s="229">
        <v>-5.6399999999999999E-2</v>
      </c>
      <c r="CW156" s="230">
        <v>4797</v>
      </c>
      <c r="CX156" s="230">
        <v>4851</v>
      </c>
      <c r="CY156" s="228">
        <v>-54</v>
      </c>
      <c r="CZ156" s="229">
        <v>-1.11E-2</v>
      </c>
      <c r="DA156" s="228">
        <v>40.35</v>
      </c>
      <c r="DB156" s="228">
        <v>39.33</v>
      </c>
      <c r="DC156" s="228">
        <v>1.02</v>
      </c>
      <c r="DD156" s="228">
        <v>1.02</v>
      </c>
      <c r="DE156" s="228">
        <v>55.27</v>
      </c>
      <c r="DF156" s="228">
        <v>55.38</v>
      </c>
      <c r="DG156" s="228">
        <v>-14.92</v>
      </c>
      <c r="DH156" s="228">
        <v>-0.11</v>
      </c>
      <c r="DI156" s="228">
        <v>40.06</v>
      </c>
      <c r="DJ156" s="228">
        <v>39.049999999999997</v>
      </c>
      <c r="DK156" s="228">
        <v>1.01</v>
      </c>
      <c r="DL156" s="228">
        <v>1.01</v>
      </c>
      <c r="DM156" s="228">
        <v>41.03</v>
      </c>
      <c r="DN156" s="228">
        <v>40.01</v>
      </c>
      <c r="DO156" s="228">
        <v>1.02</v>
      </c>
      <c r="DP156" s="228">
        <v>1.02</v>
      </c>
      <c r="DQ156" s="228">
        <v>0.84</v>
      </c>
      <c r="DR156" s="228">
        <v>0.88</v>
      </c>
      <c r="DS156" s="228">
        <v>-0.04</v>
      </c>
      <c r="DT156" s="229">
        <v>-4.5499999999999999E-2</v>
      </c>
      <c r="DU156" s="231">
        <v>1300</v>
      </c>
      <c r="DV156" s="231">
        <v>1100</v>
      </c>
      <c r="DW156" s="228">
        <v>0.64</v>
      </c>
      <c r="DX156" s="228">
        <v>0.63</v>
      </c>
      <c r="DY156" s="228">
        <v>0.01</v>
      </c>
      <c r="DZ156" s="229">
        <v>1.5900000000000001E-2</v>
      </c>
      <c r="EA156" s="229">
        <v>0.86990000000000001</v>
      </c>
      <c r="EB156" s="230">
        <v>13940300</v>
      </c>
      <c r="EC156" s="229">
        <v>5.7000000000000002E-3</v>
      </c>
      <c r="ED156" s="229">
        <v>0.86990000000000001</v>
      </c>
      <c r="EE156" s="228">
        <v>7.25</v>
      </c>
      <c r="EF156" s="229">
        <v>5.5999999999999999E-3</v>
      </c>
      <c r="EG156" s="230">
        <v>2066629</v>
      </c>
      <c r="EH156" s="230">
        <v>650977</v>
      </c>
      <c r="EI156" s="229">
        <v>2.1747000000000001</v>
      </c>
      <c r="EJ156" s="229">
        <v>0.58899999999999997</v>
      </c>
      <c r="EK156" s="231">
        <v>1580.96</v>
      </c>
      <c r="EL156" s="228">
        <v>946.79</v>
      </c>
      <c r="EM156" s="231">
        <v>2172.9699999999998</v>
      </c>
      <c r="EN156" s="228">
        <v>148.68</v>
      </c>
      <c r="EO156" s="231">
        <v>4700.72</v>
      </c>
      <c r="EP156" s="231">
        <v>3963.36</v>
      </c>
      <c r="EQ156" s="228">
        <v>737.36</v>
      </c>
      <c r="ER156" s="229">
        <v>0.186</v>
      </c>
      <c r="ES156" s="228">
        <v>970.93</v>
      </c>
      <c r="ET156" s="228">
        <v>750.89</v>
      </c>
      <c r="EU156" s="231">
        <v>3030.8</v>
      </c>
      <c r="EV156" s="231">
        <v>95715382</v>
      </c>
      <c r="EW156" s="231">
        <v>4752.6099999999997</v>
      </c>
      <c r="EX156" s="231">
        <v>4755.79</v>
      </c>
      <c r="EY156" s="228">
        <v>-3.18</v>
      </c>
      <c r="EZ156" s="229">
        <v>-6.9999999999999999E-4</v>
      </c>
      <c r="FA156" s="229">
        <v>0.38429999999999997</v>
      </c>
      <c r="FB156" s="227" t="s">
        <v>555</v>
      </c>
      <c r="FC156">
        <f t="shared" si="3"/>
        <v>0</v>
      </c>
    </row>
    <row r="157" spans="1:159" ht="17.25" thickBot="1" x14ac:dyDescent="0.3">
      <c r="A157" s="226">
        <v>45957</v>
      </c>
      <c r="B157" s="227" t="s">
        <v>221</v>
      </c>
      <c r="C157" s="227" t="s">
        <v>529</v>
      </c>
      <c r="D157" s="228">
        <v>100</v>
      </c>
      <c r="E157" s="228">
        <v>1</v>
      </c>
      <c r="F157" s="231">
        <v>5882.4</v>
      </c>
      <c r="G157" s="231">
        <v>5831.3</v>
      </c>
      <c r="H157" s="228">
        <v>51.1</v>
      </c>
      <c r="I157" s="229">
        <v>8.8000000000000005E-3</v>
      </c>
      <c r="J157" s="231">
        <v>5878.1</v>
      </c>
      <c r="K157" s="231">
        <v>5826</v>
      </c>
      <c r="L157" s="228">
        <v>52.1</v>
      </c>
      <c r="M157" s="229">
        <v>8.8999999999999999E-3</v>
      </c>
      <c r="N157" s="231">
        <v>5882.4</v>
      </c>
      <c r="O157" s="231">
        <v>5831.3</v>
      </c>
      <c r="P157" s="228">
        <v>51.1</v>
      </c>
      <c r="Q157" s="229">
        <v>8.8000000000000005E-3</v>
      </c>
      <c r="R157" s="231">
        <v>5914.6</v>
      </c>
      <c r="S157" s="231">
        <v>5862</v>
      </c>
      <c r="T157" s="228">
        <v>52.6</v>
      </c>
      <c r="U157" s="229">
        <v>8.9999999999999993E-3</v>
      </c>
      <c r="V157" s="231">
        <v>5949</v>
      </c>
      <c r="W157" s="231">
        <v>5898.6</v>
      </c>
      <c r="X157" s="228">
        <v>50.4</v>
      </c>
      <c r="Y157" s="229">
        <v>8.5000000000000006E-3</v>
      </c>
      <c r="Z157" s="228">
        <v>4.3</v>
      </c>
      <c r="AA157" s="228">
        <v>5.3</v>
      </c>
      <c r="AB157" s="228">
        <v>-1</v>
      </c>
      <c r="AC157" s="229">
        <v>6.9999999999999999E-4</v>
      </c>
      <c r="AD157" s="228">
        <v>4.3</v>
      </c>
      <c r="AE157" s="228">
        <v>5.3</v>
      </c>
      <c r="AF157" s="228">
        <v>-1</v>
      </c>
      <c r="AG157" s="229">
        <v>6.9999999999999999E-4</v>
      </c>
      <c r="AH157" s="228">
        <v>36.5</v>
      </c>
      <c r="AI157" s="228">
        <v>36</v>
      </c>
      <c r="AJ157" s="228">
        <v>0.5</v>
      </c>
      <c r="AK157" s="229">
        <v>6.1999999999999998E-3</v>
      </c>
      <c r="AL157" s="228">
        <v>70.900000000000006</v>
      </c>
      <c r="AM157" s="228">
        <v>72.599999999999994</v>
      </c>
      <c r="AN157" s="228">
        <v>-1.7</v>
      </c>
      <c r="AO157" s="229">
        <v>1.21E-2</v>
      </c>
      <c r="AP157" s="231">
        <v>5880.8</v>
      </c>
      <c r="AQ157" s="231">
        <v>5912.91</v>
      </c>
      <c r="AR157" s="228">
        <v>0</v>
      </c>
      <c r="AS157" s="230">
        <v>1126</v>
      </c>
      <c r="AT157" s="230">
        <v>1439</v>
      </c>
      <c r="AU157" s="228">
        <v>-313</v>
      </c>
      <c r="AV157" s="229">
        <v>-0.21729999999999999</v>
      </c>
      <c r="AW157" s="228">
        <v>552</v>
      </c>
      <c r="AX157" s="228">
        <v>752</v>
      </c>
      <c r="AY157" s="228">
        <v>-200</v>
      </c>
      <c r="AZ157" s="229">
        <v>-0.26619999999999999</v>
      </c>
      <c r="BA157" s="228">
        <v>565</v>
      </c>
      <c r="BB157" s="228">
        <v>681</v>
      </c>
      <c r="BC157" s="228">
        <v>-116</v>
      </c>
      <c r="BD157" s="229">
        <v>-0.17030000000000001</v>
      </c>
      <c r="BE157" s="228">
        <v>9</v>
      </c>
      <c r="BF157" s="228">
        <v>5</v>
      </c>
      <c r="BG157" s="228">
        <v>4</v>
      </c>
      <c r="BH157" s="229">
        <v>0.73260000000000003</v>
      </c>
      <c r="BI157" s="230">
        <v>1343</v>
      </c>
      <c r="BJ157" s="230">
        <v>2059</v>
      </c>
      <c r="BK157" s="228">
        <v>-716</v>
      </c>
      <c r="BL157" s="229">
        <v>-0.3478</v>
      </c>
      <c r="BM157" s="230">
        <v>1200</v>
      </c>
      <c r="BN157" s="230">
        <v>1307</v>
      </c>
      <c r="BO157" s="228">
        <v>-107</v>
      </c>
      <c r="BP157" s="229">
        <v>-8.1600000000000006E-2</v>
      </c>
      <c r="BQ157" s="230">
        <v>3669</v>
      </c>
      <c r="BR157" s="230">
        <v>4805</v>
      </c>
      <c r="BS157" s="230">
        <v>-1135</v>
      </c>
      <c r="BT157" s="229">
        <v>-0.23630000000000001</v>
      </c>
      <c r="BU157" s="230">
        <v>239922</v>
      </c>
      <c r="BV157" s="230">
        <v>401422</v>
      </c>
      <c r="BW157" s="230">
        <v>-161500</v>
      </c>
      <c r="BX157" s="229">
        <v>-0.40229999999999999</v>
      </c>
      <c r="BY157" s="230">
        <v>1765</v>
      </c>
      <c r="BZ157" s="230">
        <v>1803</v>
      </c>
      <c r="CA157" s="228">
        <v>-38</v>
      </c>
      <c r="CB157" s="229">
        <v>-2.1299999999999999E-2</v>
      </c>
      <c r="CC157" s="228">
        <v>398</v>
      </c>
      <c r="CD157" s="228">
        <v>819</v>
      </c>
      <c r="CE157" s="228">
        <v>-420</v>
      </c>
      <c r="CF157" s="229">
        <v>-0.51329999999999998</v>
      </c>
      <c r="CG157" s="230">
        <v>1354</v>
      </c>
      <c r="CH157" s="228">
        <v>975</v>
      </c>
      <c r="CI157" s="228">
        <v>379</v>
      </c>
      <c r="CJ157" s="229">
        <v>0.38929999999999998</v>
      </c>
      <c r="CK157" s="228">
        <v>12</v>
      </c>
      <c r="CL157" s="228">
        <v>10</v>
      </c>
      <c r="CM157" s="228">
        <v>2</v>
      </c>
      <c r="CN157" s="229">
        <v>0.21970000000000001</v>
      </c>
      <c r="CO157" s="228">
        <v>770</v>
      </c>
      <c r="CP157" s="228">
        <v>895</v>
      </c>
      <c r="CQ157" s="228">
        <v>-126</v>
      </c>
      <c r="CR157" s="229">
        <v>-0.1404</v>
      </c>
      <c r="CS157" s="228">
        <v>721</v>
      </c>
      <c r="CT157" s="228">
        <v>915</v>
      </c>
      <c r="CU157" s="228">
        <v>-194</v>
      </c>
      <c r="CV157" s="229">
        <v>-0.2117</v>
      </c>
      <c r="CW157" s="230">
        <v>3256</v>
      </c>
      <c r="CX157" s="230">
        <v>3614</v>
      </c>
      <c r="CY157" s="228">
        <v>-358</v>
      </c>
      <c r="CZ157" s="229">
        <v>-9.9000000000000005E-2</v>
      </c>
      <c r="DA157" s="228">
        <v>29.06</v>
      </c>
      <c r="DB157" s="228">
        <v>29.59</v>
      </c>
      <c r="DC157" s="228">
        <v>-0.53</v>
      </c>
      <c r="DD157" s="228">
        <v>-0.53</v>
      </c>
      <c r="DE157" s="228">
        <v>41.95</v>
      </c>
      <c r="DF157" s="228">
        <v>42.04</v>
      </c>
      <c r="DG157" s="228">
        <v>-12.89</v>
      </c>
      <c r="DH157" s="228">
        <v>-0.09</v>
      </c>
      <c r="DI157" s="228">
        <v>29.08</v>
      </c>
      <c r="DJ157" s="228">
        <v>29.71</v>
      </c>
      <c r="DK157" s="228">
        <v>-0.63</v>
      </c>
      <c r="DL157" s="228">
        <v>-0.63</v>
      </c>
      <c r="DM157" s="228">
        <v>29.03</v>
      </c>
      <c r="DN157" s="228">
        <v>29.34</v>
      </c>
      <c r="DO157" s="228">
        <v>-0.31</v>
      </c>
      <c r="DP157" s="228">
        <v>-0.31</v>
      </c>
      <c r="DQ157" s="228">
        <v>0.94</v>
      </c>
      <c r="DR157" s="228">
        <v>1.02</v>
      </c>
      <c r="DS157" s="228">
        <v>-0.08</v>
      </c>
      <c r="DT157" s="229">
        <v>-7.8399999999999997E-2</v>
      </c>
      <c r="DU157" s="231">
        <v>6000</v>
      </c>
      <c r="DV157" s="231">
        <v>5500</v>
      </c>
      <c r="DW157" s="228">
        <v>0.89</v>
      </c>
      <c r="DX157" s="228">
        <v>0.63</v>
      </c>
      <c r="DY157" s="228">
        <v>0.26</v>
      </c>
      <c r="DZ157" s="229">
        <v>0.41270000000000001</v>
      </c>
      <c r="EA157" s="229">
        <v>0.7742</v>
      </c>
      <c r="EB157" s="230">
        <v>1674100</v>
      </c>
      <c r="EC157" s="229">
        <v>5.4999999999999997E-3</v>
      </c>
      <c r="ED157" s="229">
        <v>0.7742</v>
      </c>
      <c r="EE157" s="228">
        <v>32.11</v>
      </c>
      <c r="EF157" s="229">
        <v>5.4999999999999997E-3</v>
      </c>
      <c r="EG157" s="230">
        <v>98951</v>
      </c>
      <c r="EH157" s="230">
        <v>184583</v>
      </c>
      <c r="EI157" s="229">
        <v>-0.46389999999999998</v>
      </c>
      <c r="EJ157" s="229">
        <v>0.41239999999999999</v>
      </c>
      <c r="EK157" s="231">
        <v>1381.72</v>
      </c>
      <c r="EL157" s="231">
        <v>1141.92</v>
      </c>
      <c r="EM157" s="231">
        <v>1129.1300000000001</v>
      </c>
      <c r="EN157" s="228">
        <v>128.12</v>
      </c>
      <c r="EO157" s="231">
        <v>3652.77</v>
      </c>
      <c r="EP157" s="231">
        <v>4819.82</v>
      </c>
      <c r="EQ157" s="231">
        <v>-1167.05</v>
      </c>
      <c r="ER157" s="229">
        <v>-0.24210000000000001</v>
      </c>
      <c r="ES157" s="228">
        <v>767.42</v>
      </c>
      <c r="ET157" s="228">
        <v>662.41</v>
      </c>
      <c r="EU157" s="231">
        <v>1772.39</v>
      </c>
      <c r="EV157" s="231">
        <v>16151851</v>
      </c>
      <c r="EW157" s="231">
        <v>3202.22</v>
      </c>
      <c r="EX157" s="231">
        <v>3517.56</v>
      </c>
      <c r="EY157" s="228">
        <v>-315.33999999999997</v>
      </c>
      <c r="EZ157" s="229">
        <v>-8.9599999999999999E-2</v>
      </c>
      <c r="FA157" s="229">
        <v>0.3427</v>
      </c>
      <c r="FB157" s="227" t="s">
        <v>556</v>
      </c>
      <c r="FC157">
        <f t="shared" si="3"/>
        <v>0</v>
      </c>
    </row>
    <row r="158" spans="1:159" ht="17.25" thickBot="1" x14ac:dyDescent="0.3">
      <c r="A158" s="226">
        <v>45957</v>
      </c>
      <c r="B158" s="227" t="s">
        <v>193</v>
      </c>
      <c r="C158" s="227" t="s">
        <v>272</v>
      </c>
      <c r="D158" s="228">
        <v>1800</v>
      </c>
      <c r="E158" s="228">
        <v>1</v>
      </c>
      <c r="F158" s="228">
        <v>280.3</v>
      </c>
      <c r="G158" s="228">
        <v>280.7</v>
      </c>
      <c r="H158" s="228">
        <v>-0.4</v>
      </c>
      <c r="I158" s="229">
        <v>-1.4E-3</v>
      </c>
      <c r="J158" s="228">
        <v>280.10000000000002</v>
      </c>
      <c r="K158" s="228">
        <v>281.05</v>
      </c>
      <c r="L158" s="228">
        <v>-0.95</v>
      </c>
      <c r="M158" s="229">
        <v>-3.3999999999999998E-3</v>
      </c>
      <c r="N158" s="228">
        <v>280.3</v>
      </c>
      <c r="O158" s="228">
        <v>280.7</v>
      </c>
      <c r="P158" s="228">
        <v>-0.4</v>
      </c>
      <c r="Q158" s="229">
        <v>-1.4E-3</v>
      </c>
      <c r="R158" s="228">
        <v>281.89999999999998</v>
      </c>
      <c r="S158" s="228">
        <v>282.2</v>
      </c>
      <c r="T158" s="228">
        <v>-0.3</v>
      </c>
      <c r="U158" s="229">
        <v>-1.1000000000000001E-3</v>
      </c>
      <c r="V158" s="228">
        <v>283.3</v>
      </c>
      <c r="W158" s="228">
        <v>283.85000000000002</v>
      </c>
      <c r="X158" s="228">
        <v>-0.55000000000000004</v>
      </c>
      <c r="Y158" s="229">
        <v>-1.9E-3</v>
      </c>
      <c r="Z158" s="228">
        <v>0.2</v>
      </c>
      <c r="AA158" s="228">
        <v>-0.35</v>
      </c>
      <c r="AB158" s="228">
        <v>0.55000000000000004</v>
      </c>
      <c r="AC158" s="229">
        <v>6.9999999999999999E-4</v>
      </c>
      <c r="AD158" s="228">
        <v>0.2</v>
      </c>
      <c r="AE158" s="228">
        <v>-0.35</v>
      </c>
      <c r="AF158" s="228">
        <v>0.55000000000000004</v>
      </c>
      <c r="AG158" s="229">
        <v>6.9999999999999999E-4</v>
      </c>
      <c r="AH158" s="228">
        <v>1.8</v>
      </c>
      <c r="AI158" s="228">
        <v>1.1499999999999999</v>
      </c>
      <c r="AJ158" s="228">
        <v>0.65</v>
      </c>
      <c r="AK158" s="229">
        <v>6.4000000000000003E-3</v>
      </c>
      <c r="AL158" s="228">
        <v>3.2</v>
      </c>
      <c r="AM158" s="228">
        <v>2.8</v>
      </c>
      <c r="AN158" s="228">
        <v>0.4</v>
      </c>
      <c r="AO158" s="229">
        <v>1.14E-2</v>
      </c>
      <c r="AP158" s="228">
        <v>280.27999999999997</v>
      </c>
      <c r="AQ158" s="228">
        <v>281.83999999999997</v>
      </c>
      <c r="AR158" s="228">
        <v>0</v>
      </c>
      <c r="AS158" s="228">
        <v>730</v>
      </c>
      <c r="AT158" s="228">
        <v>859</v>
      </c>
      <c r="AU158" s="228">
        <v>-129</v>
      </c>
      <c r="AV158" s="229">
        <v>-0.15040000000000001</v>
      </c>
      <c r="AW158" s="228">
        <v>359</v>
      </c>
      <c r="AX158" s="228">
        <v>440</v>
      </c>
      <c r="AY158" s="228">
        <v>-81</v>
      </c>
      <c r="AZ158" s="229">
        <v>-0.18379999999999999</v>
      </c>
      <c r="BA158" s="228">
        <v>369</v>
      </c>
      <c r="BB158" s="228">
        <v>417</v>
      </c>
      <c r="BC158" s="228">
        <v>-48</v>
      </c>
      <c r="BD158" s="229">
        <v>-0.1158</v>
      </c>
      <c r="BE158" s="228">
        <v>2</v>
      </c>
      <c r="BF158" s="228">
        <v>2</v>
      </c>
      <c r="BG158" s="228">
        <v>0</v>
      </c>
      <c r="BH158" s="229">
        <v>-4.5499999999999999E-2</v>
      </c>
      <c r="BI158" s="228">
        <v>326</v>
      </c>
      <c r="BJ158" s="228">
        <v>463</v>
      </c>
      <c r="BK158" s="228">
        <v>-138</v>
      </c>
      <c r="BL158" s="229">
        <v>-0.29730000000000001</v>
      </c>
      <c r="BM158" s="228">
        <v>256</v>
      </c>
      <c r="BN158" s="228">
        <v>223</v>
      </c>
      <c r="BO158" s="228">
        <v>33</v>
      </c>
      <c r="BP158" s="229">
        <v>0.1474</v>
      </c>
      <c r="BQ158" s="230">
        <v>1311</v>
      </c>
      <c r="BR158" s="230">
        <v>1546</v>
      </c>
      <c r="BS158" s="228">
        <v>-234</v>
      </c>
      <c r="BT158" s="229">
        <v>-0.1515</v>
      </c>
      <c r="BU158" s="230">
        <v>1076421</v>
      </c>
      <c r="BV158" s="230">
        <v>2601470</v>
      </c>
      <c r="BW158" s="230">
        <v>-1525049</v>
      </c>
      <c r="BX158" s="229">
        <v>-0.58620000000000005</v>
      </c>
      <c r="BY158" s="230">
        <v>1226</v>
      </c>
      <c r="BZ158" s="230">
        <v>1212</v>
      </c>
      <c r="CA158" s="228">
        <v>15</v>
      </c>
      <c r="CB158" s="229">
        <v>1.2200000000000001E-2</v>
      </c>
      <c r="CC158" s="228">
        <v>133</v>
      </c>
      <c r="CD158" s="228">
        <v>418</v>
      </c>
      <c r="CE158" s="228">
        <v>-285</v>
      </c>
      <c r="CF158" s="229">
        <v>-0.68159999999999998</v>
      </c>
      <c r="CG158" s="230">
        <v>1086</v>
      </c>
      <c r="CH158" s="228">
        <v>787</v>
      </c>
      <c r="CI158" s="228">
        <v>299</v>
      </c>
      <c r="CJ158" s="229">
        <v>0.37909999999999999</v>
      </c>
      <c r="CK158" s="228">
        <v>7</v>
      </c>
      <c r="CL158" s="228">
        <v>6</v>
      </c>
      <c r="CM158" s="228">
        <v>1</v>
      </c>
      <c r="CN158" s="229">
        <v>0.21740000000000001</v>
      </c>
      <c r="CO158" s="228">
        <v>434</v>
      </c>
      <c r="CP158" s="228">
        <v>414</v>
      </c>
      <c r="CQ158" s="228">
        <v>19</v>
      </c>
      <c r="CR158" s="229">
        <v>4.65E-2</v>
      </c>
      <c r="CS158" s="228">
        <v>474</v>
      </c>
      <c r="CT158" s="228">
        <v>451</v>
      </c>
      <c r="CU158" s="228">
        <v>23</v>
      </c>
      <c r="CV158" s="229">
        <v>5.0299999999999997E-2</v>
      </c>
      <c r="CW158" s="230">
        <v>2134</v>
      </c>
      <c r="CX158" s="230">
        <v>2077</v>
      </c>
      <c r="CY158" s="228">
        <v>57</v>
      </c>
      <c r="CZ158" s="229">
        <v>2.7300000000000001E-2</v>
      </c>
      <c r="DA158" s="228">
        <v>24.62</v>
      </c>
      <c r="DB158" s="228">
        <v>24.26</v>
      </c>
      <c r="DC158" s="228">
        <v>0.36</v>
      </c>
      <c r="DD158" s="228">
        <v>0.36</v>
      </c>
      <c r="DE158" s="228">
        <v>32.51</v>
      </c>
      <c r="DF158" s="228">
        <v>32.590000000000003</v>
      </c>
      <c r="DG158" s="228">
        <v>-7.89</v>
      </c>
      <c r="DH158" s="228">
        <v>-0.08</v>
      </c>
      <c r="DI158" s="228">
        <v>22.9</v>
      </c>
      <c r="DJ158" s="228">
        <v>24.08</v>
      </c>
      <c r="DK158" s="228">
        <v>-1.18</v>
      </c>
      <c r="DL158" s="228">
        <v>-1.18</v>
      </c>
      <c r="DM158" s="228">
        <v>27.02</v>
      </c>
      <c r="DN158" s="228">
        <v>24.6</v>
      </c>
      <c r="DO158" s="228">
        <v>2.42</v>
      </c>
      <c r="DP158" s="228">
        <v>2.42</v>
      </c>
      <c r="DQ158" s="228">
        <v>1.0900000000000001</v>
      </c>
      <c r="DR158" s="228">
        <v>1.0900000000000001</v>
      </c>
      <c r="DS158" s="228">
        <v>0</v>
      </c>
      <c r="DT158" s="229">
        <v>0</v>
      </c>
      <c r="DU158" s="228">
        <v>290</v>
      </c>
      <c r="DV158" s="228">
        <v>270</v>
      </c>
      <c r="DW158" s="228">
        <v>0.79</v>
      </c>
      <c r="DX158" s="228">
        <v>0.48</v>
      </c>
      <c r="DY158" s="228">
        <v>0.31</v>
      </c>
      <c r="DZ158" s="229">
        <v>0.64580000000000004</v>
      </c>
      <c r="EA158" s="229">
        <v>0.89139999999999997</v>
      </c>
      <c r="EB158" s="230">
        <v>28301400</v>
      </c>
      <c r="EC158" s="229">
        <v>5.7000000000000002E-3</v>
      </c>
      <c r="ED158" s="229">
        <v>0.89139999999999997</v>
      </c>
      <c r="EE158" s="228">
        <v>1.56</v>
      </c>
      <c r="EF158" s="229">
        <v>5.5999999999999999E-3</v>
      </c>
      <c r="EG158" s="230">
        <v>729316</v>
      </c>
      <c r="EH158" s="230">
        <v>1738217</v>
      </c>
      <c r="EI158" s="229">
        <v>-0.58040000000000003</v>
      </c>
      <c r="EJ158" s="229">
        <v>0.67749999999999999</v>
      </c>
      <c r="EK158" s="228">
        <v>346.66</v>
      </c>
      <c r="EL158" s="228">
        <v>280.20999999999998</v>
      </c>
      <c r="EM158" s="228">
        <v>731.69</v>
      </c>
      <c r="EN158" s="228">
        <v>86.99</v>
      </c>
      <c r="EO158" s="231">
        <v>1358.56</v>
      </c>
      <c r="EP158" s="231">
        <v>1565.64</v>
      </c>
      <c r="EQ158" s="228">
        <v>-207.07</v>
      </c>
      <c r="ER158" s="229">
        <v>-0.1323</v>
      </c>
      <c r="ES158" s="228">
        <v>454.91</v>
      </c>
      <c r="ET158" s="228">
        <v>475.04</v>
      </c>
      <c r="EU158" s="231">
        <v>1232.51</v>
      </c>
      <c r="EV158" s="231">
        <v>93668136</v>
      </c>
      <c r="EW158" s="231">
        <v>2162.46</v>
      </c>
      <c r="EX158" s="231">
        <v>2101.04</v>
      </c>
      <c r="EY158" s="228">
        <v>61.42</v>
      </c>
      <c r="EZ158" s="229">
        <v>2.92E-2</v>
      </c>
      <c r="FA158" s="229">
        <v>0.81269999999999998</v>
      </c>
      <c r="FB158" s="227" t="s">
        <v>567</v>
      </c>
      <c r="FC158">
        <f t="shared" si="3"/>
        <v>0</v>
      </c>
    </row>
    <row r="159" spans="1:159" ht="17.25" thickBot="1" x14ac:dyDescent="0.3">
      <c r="A159" s="226">
        <v>45957</v>
      </c>
      <c r="B159" s="227" t="s">
        <v>175</v>
      </c>
      <c r="C159" s="227" t="s">
        <v>273</v>
      </c>
      <c r="D159" s="228">
        <v>1300</v>
      </c>
      <c r="E159" s="228">
        <v>1</v>
      </c>
      <c r="F159" s="228">
        <v>397.2</v>
      </c>
      <c r="G159" s="228">
        <v>393.6</v>
      </c>
      <c r="H159" s="228">
        <v>3.6</v>
      </c>
      <c r="I159" s="229">
        <v>9.1000000000000004E-3</v>
      </c>
      <c r="J159" s="228">
        <v>396.9</v>
      </c>
      <c r="K159" s="228">
        <v>393.6</v>
      </c>
      <c r="L159" s="228">
        <v>3.3</v>
      </c>
      <c r="M159" s="229">
        <v>8.3999999999999995E-3</v>
      </c>
      <c r="N159" s="228">
        <v>397.2</v>
      </c>
      <c r="O159" s="228">
        <v>393.6</v>
      </c>
      <c r="P159" s="228">
        <v>3.6</v>
      </c>
      <c r="Q159" s="229">
        <v>9.1000000000000004E-3</v>
      </c>
      <c r="R159" s="228">
        <v>397.55</v>
      </c>
      <c r="S159" s="228">
        <v>393.25</v>
      </c>
      <c r="T159" s="228">
        <v>4.3</v>
      </c>
      <c r="U159" s="229">
        <v>1.09E-2</v>
      </c>
      <c r="V159" s="228">
        <v>398.35</v>
      </c>
      <c r="W159" s="228">
        <v>394.85</v>
      </c>
      <c r="X159" s="228">
        <v>3.5</v>
      </c>
      <c r="Y159" s="229">
        <v>8.8999999999999999E-3</v>
      </c>
      <c r="Z159" s="228">
        <v>0.3</v>
      </c>
      <c r="AA159" s="228">
        <v>0</v>
      </c>
      <c r="AB159" s="228">
        <v>0.3</v>
      </c>
      <c r="AC159" s="229">
        <v>8.0000000000000004E-4</v>
      </c>
      <c r="AD159" s="228">
        <v>0.3</v>
      </c>
      <c r="AE159" s="228">
        <v>0</v>
      </c>
      <c r="AF159" s="228">
        <v>0.3</v>
      </c>
      <c r="AG159" s="229">
        <v>8.0000000000000004E-4</v>
      </c>
      <c r="AH159" s="228">
        <v>0.65</v>
      </c>
      <c r="AI159" s="228">
        <v>-0.35</v>
      </c>
      <c r="AJ159" s="228">
        <v>1</v>
      </c>
      <c r="AK159" s="229">
        <v>1.6000000000000001E-3</v>
      </c>
      <c r="AL159" s="228">
        <v>1.45</v>
      </c>
      <c r="AM159" s="228">
        <v>1.25</v>
      </c>
      <c r="AN159" s="228">
        <v>0.2</v>
      </c>
      <c r="AO159" s="229">
        <v>3.7000000000000002E-3</v>
      </c>
      <c r="AP159" s="228">
        <v>395.56</v>
      </c>
      <c r="AQ159" s="228">
        <v>395.49</v>
      </c>
      <c r="AR159" s="228">
        <v>0</v>
      </c>
      <c r="AS159" s="230">
        <v>1414</v>
      </c>
      <c r="AT159" s="230">
        <v>1075</v>
      </c>
      <c r="AU159" s="228">
        <v>338</v>
      </c>
      <c r="AV159" s="229">
        <v>0.31459999999999999</v>
      </c>
      <c r="AW159" s="228">
        <v>670</v>
      </c>
      <c r="AX159" s="228">
        <v>505</v>
      </c>
      <c r="AY159" s="228">
        <v>165</v>
      </c>
      <c r="AZ159" s="229">
        <v>0.3266</v>
      </c>
      <c r="BA159" s="228">
        <v>719</v>
      </c>
      <c r="BB159" s="228">
        <v>549</v>
      </c>
      <c r="BC159" s="228">
        <v>170</v>
      </c>
      <c r="BD159" s="229">
        <v>0.30909999999999999</v>
      </c>
      <c r="BE159" s="228">
        <v>25</v>
      </c>
      <c r="BF159" s="228">
        <v>21</v>
      </c>
      <c r="BG159" s="228">
        <v>4</v>
      </c>
      <c r="BH159" s="229">
        <v>0.1691</v>
      </c>
      <c r="BI159" s="228">
        <v>973</v>
      </c>
      <c r="BJ159" s="228">
        <v>932</v>
      </c>
      <c r="BK159" s="228">
        <v>41</v>
      </c>
      <c r="BL159" s="229">
        <v>4.3799999999999999E-2</v>
      </c>
      <c r="BM159" s="228">
        <v>665</v>
      </c>
      <c r="BN159" s="228">
        <v>556</v>
      </c>
      <c r="BO159" s="228">
        <v>110</v>
      </c>
      <c r="BP159" s="229">
        <v>0.1971</v>
      </c>
      <c r="BQ159" s="230">
        <v>3052</v>
      </c>
      <c r="BR159" s="230">
        <v>2563</v>
      </c>
      <c r="BS159" s="228">
        <v>489</v>
      </c>
      <c r="BT159" s="229">
        <v>0.19070000000000001</v>
      </c>
      <c r="BU159" s="230">
        <v>3429233</v>
      </c>
      <c r="BV159" s="230">
        <v>3486741</v>
      </c>
      <c r="BW159" s="230">
        <v>-57508</v>
      </c>
      <c r="BX159" s="229">
        <v>-1.6500000000000001E-2</v>
      </c>
      <c r="BY159" s="230">
        <v>2494</v>
      </c>
      <c r="BZ159" s="230">
        <v>2487</v>
      </c>
      <c r="CA159" s="228">
        <v>7</v>
      </c>
      <c r="CB159" s="229">
        <v>2.7000000000000001E-3</v>
      </c>
      <c r="CC159" s="228">
        <v>738</v>
      </c>
      <c r="CD159" s="230">
        <v>1188</v>
      </c>
      <c r="CE159" s="228">
        <v>-450</v>
      </c>
      <c r="CF159" s="229">
        <v>-0.37859999999999999</v>
      </c>
      <c r="CG159" s="230">
        <v>1700</v>
      </c>
      <c r="CH159" s="230">
        <v>1252</v>
      </c>
      <c r="CI159" s="228">
        <v>448</v>
      </c>
      <c r="CJ159" s="229">
        <v>0.3574</v>
      </c>
      <c r="CK159" s="228">
        <v>56</v>
      </c>
      <c r="CL159" s="228">
        <v>47</v>
      </c>
      <c r="CM159" s="228">
        <v>9</v>
      </c>
      <c r="CN159" s="229">
        <v>0.1905</v>
      </c>
      <c r="CO159" s="230">
        <v>1075</v>
      </c>
      <c r="CP159" s="230">
        <v>1113</v>
      </c>
      <c r="CQ159" s="228">
        <v>-38</v>
      </c>
      <c r="CR159" s="229">
        <v>-3.4200000000000001E-2</v>
      </c>
      <c r="CS159" s="228">
        <v>897</v>
      </c>
      <c r="CT159" s="228">
        <v>901</v>
      </c>
      <c r="CU159" s="228">
        <v>-4</v>
      </c>
      <c r="CV159" s="229">
        <v>-4.8999999999999998E-3</v>
      </c>
      <c r="CW159" s="230">
        <v>4466</v>
      </c>
      <c r="CX159" s="230">
        <v>4502</v>
      </c>
      <c r="CY159" s="228">
        <v>-36</v>
      </c>
      <c r="CZ159" s="229">
        <v>-7.9000000000000008E-3</v>
      </c>
      <c r="DA159" s="228">
        <v>25.16</v>
      </c>
      <c r="DB159" s="228">
        <v>25.61</v>
      </c>
      <c r="DC159" s="228">
        <v>-0.45</v>
      </c>
      <c r="DD159" s="228">
        <v>-0.45</v>
      </c>
      <c r="DE159" s="228">
        <v>44.01</v>
      </c>
      <c r="DF159" s="228">
        <v>44.11</v>
      </c>
      <c r="DG159" s="228">
        <v>-18.850000000000001</v>
      </c>
      <c r="DH159" s="228">
        <v>-0.1</v>
      </c>
      <c r="DI159" s="228">
        <v>24.8</v>
      </c>
      <c r="DJ159" s="228">
        <v>25.86</v>
      </c>
      <c r="DK159" s="228">
        <v>-1.06</v>
      </c>
      <c r="DL159" s="228">
        <v>-1.06</v>
      </c>
      <c r="DM159" s="228">
        <v>25.67</v>
      </c>
      <c r="DN159" s="228">
        <v>25.29</v>
      </c>
      <c r="DO159" s="228">
        <v>0.38</v>
      </c>
      <c r="DP159" s="228">
        <v>0.38</v>
      </c>
      <c r="DQ159" s="228">
        <v>0.83</v>
      </c>
      <c r="DR159" s="228">
        <v>0.81</v>
      </c>
      <c r="DS159" s="228">
        <v>0.02</v>
      </c>
      <c r="DT159" s="229">
        <v>2.47E-2</v>
      </c>
      <c r="DU159" s="228">
        <v>400</v>
      </c>
      <c r="DV159" s="228">
        <v>400</v>
      </c>
      <c r="DW159" s="228">
        <v>0.68</v>
      </c>
      <c r="DX159" s="228">
        <v>0.6</v>
      </c>
      <c r="DY159" s="228">
        <v>0.08</v>
      </c>
      <c r="DZ159" s="229">
        <v>0.1333</v>
      </c>
      <c r="EA159" s="229">
        <v>0.70399999999999996</v>
      </c>
      <c r="EB159" s="230">
        <v>32713200</v>
      </c>
      <c r="EC159" s="229">
        <v>8.9999999999999998E-4</v>
      </c>
      <c r="ED159" s="229">
        <v>0.70399999999999996</v>
      </c>
      <c r="EE159" s="228">
        <v>-7.0000000000000007E-2</v>
      </c>
      <c r="EF159" s="229">
        <v>-2.0000000000000001E-4</v>
      </c>
      <c r="EG159" s="230">
        <v>2097445</v>
      </c>
      <c r="EH159" s="230">
        <v>2234042</v>
      </c>
      <c r="EI159" s="229">
        <v>-6.1100000000000002E-2</v>
      </c>
      <c r="EJ159" s="229">
        <v>0.61160000000000003</v>
      </c>
      <c r="EK159" s="231">
        <v>1006.97</v>
      </c>
      <c r="EL159" s="228">
        <v>682.03</v>
      </c>
      <c r="EM159" s="231">
        <v>1407.89</v>
      </c>
      <c r="EN159" s="228">
        <v>135.56</v>
      </c>
      <c r="EO159" s="231">
        <v>3096.9</v>
      </c>
      <c r="EP159" s="231">
        <v>2594.98</v>
      </c>
      <c r="EQ159" s="228">
        <v>501.92</v>
      </c>
      <c r="ER159" s="229">
        <v>0.19339999999999999</v>
      </c>
      <c r="ES159" s="231">
        <v>1123.8599999999999</v>
      </c>
      <c r="ET159" s="228">
        <v>900.87</v>
      </c>
      <c r="EU159" s="231">
        <v>2495.7800000000002</v>
      </c>
      <c r="EV159" s="231">
        <v>203602113</v>
      </c>
      <c r="EW159" s="231">
        <v>4520.51</v>
      </c>
      <c r="EX159" s="231">
        <v>4535.1400000000003</v>
      </c>
      <c r="EY159" s="228">
        <v>-14.63</v>
      </c>
      <c r="EZ159" s="229">
        <v>-3.2000000000000002E-3</v>
      </c>
      <c r="FA159" s="229">
        <v>0.55230000000000001</v>
      </c>
      <c r="FB159" s="227" t="s">
        <v>555</v>
      </c>
      <c r="FC159">
        <f t="shared" si="3"/>
        <v>0</v>
      </c>
    </row>
    <row r="160" spans="1:159" ht="17.25" thickBot="1" x14ac:dyDescent="0.3">
      <c r="A160" s="226">
        <v>45957</v>
      </c>
      <c r="B160" s="227" t="s">
        <v>184</v>
      </c>
      <c r="C160" s="227" t="s">
        <v>681</v>
      </c>
      <c r="D160" s="228">
        <v>700</v>
      </c>
      <c r="E160" s="228">
        <v>1</v>
      </c>
      <c r="F160" s="228">
        <v>571.35</v>
      </c>
      <c r="G160" s="228">
        <v>575.5</v>
      </c>
      <c r="H160" s="228">
        <v>-4.1500000000000004</v>
      </c>
      <c r="I160" s="229">
        <v>-7.1999999999999998E-3</v>
      </c>
      <c r="J160" s="228">
        <v>571.95000000000005</v>
      </c>
      <c r="K160" s="228">
        <v>575.95000000000005</v>
      </c>
      <c r="L160" s="228">
        <v>-4</v>
      </c>
      <c r="M160" s="229">
        <v>-6.8999999999999999E-3</v>
      </c>
      <c r="N160" s="228">
        <v>571.35</v>
      </c>
      <c r="O160" s="228">
        <v>575.5</v>
      </c>
      <c r="P160" s="228">
        <v>-4.1500000000000004</v>
      </c>
      <c r="Q160" s="229">
        <v>-7.1999999999999998E-3</v>
      </c>
      <c r="R160" s="228">
        <v>574.20000000000005</v>
      </c>
      <c r="S160" s="228">
        <v>577.79999999999995</v>
      </c>
      <c r="T160" s="228">
        <v>-3.6</v>
      </c>
      <c r="U160" s="229">
        <v>-6.1999999999999998E-3</v>
      </c>
      <c r="V160" s="228">
        <v>578.1</v>
      </c>
      <c r="W160" s="228">
        <v>580.65</v>
      </c>
      <c r="X160" s="228">
        <v>-2.5499999999999998</v>
      </c>
      <c r="Y160" s="229">
        <v>-4.4000000000000003E-3</v>
      </c>
      <c r="Z160" s="228">
        <v>-0.6</v>
      </c>
      <c r="AA160" s="228">
        <v>-0.45</v>
      </c>
      <c r="AB160" s="228">
        <v>-0.15</v>
      </c>
      <c r="AC160" s="229">
        <v>-1E-3</v>
      </c>
      <c r="AD160" s="228">
        <v>-0.6</v>
      </c>
      <c r="AE160" s="228">
        <v>-0.45</v>
      </c>
      <c r="AF160" s="228">
        <v>-0.15</v>
      </c>
      <c r="AG160" s="229">
        <v>-1E-3</v>
      </c>
      <c r="AH160" s="228">
        <v>2.25</v>
      </c>
      <c r="AI160" s="228">
        <v>1.85</v>
      </c>
      <c r="AJ160" s="228">
        <v>0.4</v>
      </c>
      <c r="AK160" s="229">
        <v>3.8999999999999998E-3</v>
      </c>
      <c r="AL160" s="228">
        <v>6.15</v>
      </c>
      <c r="AM160" s="228">
        <v>4.7</v>
      </c>
      <c r="AN160" s="228">
        <v>1.45</v>
      </c>
      <c r="AO160" s="229">
        <v>1.0800000000000001E-2</v>
      </c>
      <c r="AP160" s="228">
        <v>570.6</v>
      </c>
      <c r="AQ160" s="228">
        <v>572.9</v>
      </c>
      <c r="AR160" s="228">
        <v>0</v>
      </c>
      <c r="AS160" s="228">
        <v>406</v>
      </c>
      <c r="AT160" s="228">
        <v>342</v>
      </c>
      <c r="AU160" s="228">
        <v>65</v>
      </c>
      <c r="AV160" s="229">
        <v>0.18890000000000001</v>
      </c>
      <c r="AW160" s="228">
        <v>196</v>
      </c>
      <c r="AX160" s="228">
        <v>178</v>
      </c>
      <c r="AY160" s="228">
        <v>19</v>
      </c>
      <c r="AZ160" s="229">
        <v>0.105</v>
      </c>
      <c r="BA160" s="228">
        <v>208</v>
      </c>
      <c r="BB160" s="228">
        <v>163</v>
      </c>
      <c r="BC160" s="228">
        <v>44</v>
      </c>
      <c r="BD160" s="229">
        <v>0.26989999999999997</v>
      </c>
      <c r="BE160" s="228">
        <v>2</v>
      </c>
      <c r="BF160" s="228">
        <v>0</v>
      </c>
      <c r="BG160" s="228">
        <v>2</v>
      </c>
      <c r="BH160" s="229">
        <v>3.6667000000000001</v>
      </c>
      <c r="BI160" s="228">
        <v>232</v>
      </c>
      <c r="BJ160" s="228">
        <v>290</v>
      </c>
      <c r="BK160" s="228">
        <v>-58</v>
      </c>
      <c r="BL160" s="229">
        <v>-0.2016</v>
      </c>
      <c r="BM160" s="228">
        <v>126</v>
      </c>
      <c r="BN160" s="228">
        <v>180</v>
      </c>
      <c r="BO160" s="228">
        <v>-54</v>
      </c>
      <c r="BP160" s="229">
        <v>-0.30009999999999998</v>
      </c>
      <c r="BQ160" s="228">
        <v>764</v>
      </c>
      <c r="BR160" s="228">
        <v>812</v>
      </c>
      <c r="BS160" s="228">
        <v>-48</v>
      </c>
      <c r="BT160" s="229">
        <v>-5.91E-2</v>
      </c>
      <c r="BU160" s="230">
        <v>990106</v>
      </c>
      <c r="BV160" s="230">
        <v>881805</v>
      </c>
      <c r="BW160" s="230">
        <v>108301</v>
      </c>
      <c r="BX160" s="229">
        <v>0.12280000000000001</v>
      </c>
      <c r="BY160" s="228">
        <v>464</v>
      </c>
      <c r="BZ160" s="228">
        <v>475</v>
      </c>
      <c r="CA160" s="228">
        <v>-11</v>
      </c>
      <c r="CB160" s="229">
        <v>-2.2700000000000001E-2</v>
      </c>
      <c r="CC160" s="228">
        <v>125</v>
      </c>
      <c r="CD160" s="228">
        <v>257</v>
      </c>
      <c r="CE160" s="228">
        <v>-131</v>
      </c>
      <c r="CF160" s="229">
        <v>-0.51139999999999997</v>
      </c>
      <c r="CG160" s="228">
        <v>334</v>
      </c>
      <c r="CH160" s="228">
        <v>214</v>
      </c>
      <c r="CI160" s="228">
        <v>119</v>
      </c>
      <c r="CJ160" s="229">
        <v>0.55700000000000005</v>
      </c>
      <c r="CK160" s="228">
        <v>5</v>
      </c>
      <c r="CL160" s="228">
        <v>4</v>
      </c>
      <c r="CM160" s="228">
        <v>1</v>
      </c>
      <c r="CN160" s="229">
        <v>0.26800000000000002</v>
      </c>
      <c r="CO160" s="228">
        <v>334</v>
      </c>
      <c r="CP160" s="228">
        <v>371</v>
      </c>
      <c r="CQ160" s="228">
        <v>-37</v>
      </c>
      <c r="CR160" s="229">
        <v>-0.1004</v>
      </c>
      <c r="CS160" s="228">
        <v>228</v>
      </c>
      <c r="CT160" s="228">
        <v>253</v>
      </c>
      <c r="CU160" s="228">
        <v>-25</v>
      </c>
      <c r="CV160" s="229">
        <v>-9.7500000000000003E-2</v>
      </c>
      <c r="CW160" s="230">
        <v>1026</v>
      </c>
      <c r="CX160" s="230">
        <v>1099</v>
      </c>
      <c r="CY160" s="228">
        <v>-73</v>
      </c>
      <c r="CZ160" s="229">
        <v>-6.6100000000000006E-2</v>
      </c>
      <c r="DA160" s="228">
        <v>47.92</v>
      </c>
      <c r="DB160" s="228">
        <v>47.09</v>
      </c>
      <c r="DC160" s="228">
        <v>0.83</v>
      </c>
      <c r="DD160" s="228">
        <v>0.83</v>
      </c>
      <c r="DE160" s="228">
        <v>69.069999999999993</v>
      </c>
      <c r="DF160" s="228">
        <v>69.23</v>
      </c>
      <c r="DG160" s="228">
        <v>-21.15</v>
      </c>
      <c r="DH160" s="228">
        <v>-0.16</v>
      </c>
      <c r="DI160" s="228">
        <v>47.49</v>
      </c>
      <c r="DJ160" s="228">
        <v>47.08</v>
      </c>
      <c r="DK160" s="228">
        <v>0.41</v>
      </c>
      <c r="DL160" s="228">
        <v>0.41</v>
      </c>
      <c r="DM160" s="228">
        <v>48.89</v>
      </c>
      <c r="DN160" s="228">
        <v>47.1</v>
      </c>
      <c r="DO160" s="228">
        <v>1.79</v>
      </c>
      <c r="DP160" s="228">
        <v>1.79</v>
      </c>
      <c r="DQ160" s="228">
        <v>0.68</v>
      </c>
      <c r="DR160" s="228">
        <v>0.68</v>
      </c>
      <c r="DS160" s="228">
        <v>0</v>
      </c>
      <c r="DT160" s="229">
        <v>0</v>
      </c>
      <c r="DU160" s="228">
        <v>600</v>
      </c>
      <c r="DV160" s="228">
        <v>500</v>
      </c>
      <c r="DW160" s="228">
        <v>0.54</v>
      </c>
      <c r="DX160" s="228">
        <v>0.62</v>
      </c>
      <c r="DY160" s="228">
        <v>-0.08</v>
      </c>
      <c r="DZ160" s="229">
        <v>-0.129</v>
      </c>
      <c r="EA160" s="229">
        <v>0.72989999999999999</v>
      </c>
      <c r="EB160" s="230">
        <v>3819200</v>
      </c>
      <c r="EC160" s="229">
        <v>5.0000000000000001E-3</v>
      </c>
      <c r="ED160" s="229">
        <v>0.72989999999999999</v>
      </c>
      <c r="EE160" s="228">
        <v>2.2999999999999998</v>
      </c>
      <c r="EF160" s="229">
        <v>4.0000000000000001E-3</v>
      </c>
      <c r="EG160" s="230">
        <v>510965</v>
      </c>
      <c r="EH160" s="230">
        <v>350003</v>
      </c>
      <c r="EI160" s="229">
        <v>0.45989999999999998</v>
      </c>
      <c r="EJ160" s="229">
        <v>0.5161</v>
      </c>
      <c r="EK160" s="228">
        <v>244.28</v>
      </c>
      <c r="EL160" s="228">
        <v>124.45</v>
      </c>
      <c r="EM160" s="228">
        <v>406.59</v>
      </c>
      <c r="EN160" s="228">
        <v>52.97</v>
      </c>
      <c r="EO160" s="228">
        <v>775.31</v>
      </c>
      <c r="EP160" s="228">
        <v>826.17</v>
      </c>
      <c r="EQ160" s="228">
        <v>-50.86</v>
      </c>
      <c r="ER160" s="229">
        <v>-6.1600000000000002E-2</v>
      </c>
      <c r="ES160" s="228">
        <v>348.09</v>
      </c>
      <c r="ET160" s="228">
        <v>215.84</v>
      </c>
      <c r="EU160" s="228">
        <v>465.7</v>
      </c>
      <c r="EV160" s="231">
        <v>23897684</v>
      </c>
      <c r="EW160" s="231">
        <v>1029.6300000000001</v>
      </c>
      <c r="EX160" s="231">
        <v>1105.93</v>
      </c>
      <c r="EY160" s="228">
        <v>-76.3</v>
      </c>
      <c r="EZ160" s="229">
        <v>-6.9000000000000006E-2</v>
      </c>
      <c r="FA160" s="229">
        <v>0.75160000000000005</v>
      </c>
      <c r="FB160" s="227" t="s">
        <v>568</v>
      </c>
      <c r="FC160">
        <f t="shared" si="3"/>
        <v>0</v>
      </c>
    </row>
    <row r="161" spans="1:159" ht="17.25" thickBot="1" x14ac:dyDescent="0.3">
      <c r="A161" s="226">
        <v>45957</v>
      </c>
      <c r="B161" s="227" t="s">
        <v>206</v>
      </c>
      <c r="C161" s="227" t="s">
        <v>645</v>
      </c>
      <c r="D161" s="228">
        <v>350</v>
      </c>
      <c r="E161" s="228">
        <v>1</v>
      </c>
      <c r="F161" s="231">
        <v>1708.4</v>
      </c>
      <c r="G161" s="231">
        <v>1684.1</v>
      </c>
      <c r="H161" s="228">
        <v>24.3</v>
      </c>
      <c r="I161" s="229">
        <v>1.44E-2</v>
      </c>
      <c r="J161" s="231">
        <v>1711.1</v>
      </c>
      <c r="K161" s="231">
        <v>1680.7</v>
      </c>
      <c r="L161" s="228">
        <v>30.4</v>
      </c>
      <c r="M161" s="229">
        <v>1.8100000000000002E-2</v>
      </c>
      <c r="N161" s="231">
        <v>1708.4</v>
      </c>
      <c r="O161" s="231">
        <v>1684.1</v>
      </c>
      <c r="P161" s="228">
        <v>24.3</v>
      </c>
      <c r="Q161" s="229">
        <v>1.44E-2</v>
      </c>
      <c r="R161" s="231">
        <v>1718.2</v>
      </c>
      <c r="S161" s="231">
        <v>1693.5</v>
      </c>
      <c r="T161" s="228">
        <v>24.7</v>
      </c>
      <c r="U161" s="229">
        <v>1.46E-2</v>
      </c>
      <c r="V161" s="231">
        <v>1735</v>
      </c>
      <c r="W161" s="231">
        <v>1703.3</v>
      </c>
      <c r="X161" s="228">
        <v>31.7</v>
      </c>
      <c r="Y161" s="229">
        <v>1.8599999999999998E-2</v>
      </c>
      <c r="Z161" s="228">
        <v>-2.7</v>
      </c>
      <c r="AA161" s="228">
        <v>3.4</v>
      </c>
      <c r="AB161" s="228">
        <v>-6.1</v>
      </c>
      <c r="AC161" s="229">
        <v>-1.6000000000000001E-3</v>
      </c>
      <c r="AD161" s="228">
        <v>-2.7</v>
      </c>
      <c r="AE161" s="228">
        <v>3.4</v>
      </c>
      <c r="AF161" s="228">
        <v>-6.1</v>
      </c>
      <c r="AG161" s="229">
        <v>-1.6000000000000001E-3</v>
      </c>
      <c r="AH161" s="228">
        <v>7.1</v>
      </c>
      <c r="AI161" s="228">
        <v>12.8</v>
      </c>
      <c r="AJ161" s="228">
        <v>-5.7</v>
      </c>
      <c r="AK161" s="229">
        <v>4.1000000000000003E-3</v>
      </c>
      <c r="AL161" s="228">
        <v>23.9</v>
      </c>
      <c r="AM161" s="228">
        <v>22.6</v>
      </c>
      <c r="AN161" s="228">
        <v>1.3</v>
      </c>
      <c r="AO161" s="229">
        <v>1.4E-2</v>
      </c>
      <c r="AP161" s="231">
        <v>1700.34</v>
      </c>
      <c r="AQ161" s="231">
        <v>1710.83</v>
      </c>
      <c r="AR161" s="228">
        <v>0</v>
      </c>
      <c r="AS161" s="228">
        <v>700</v>
      </c>
      <c r="AT161" s="228">
        <v>501</v>
      </c>
      <c r="AU161" s="228">
        <v>199</v>
      </c>
      <c r="AV161" s="229">
        <v>0.39760000000000001</v>
      </c>
      <c r="AW161" s="228">
        <v>297</v>
      </c>
      <c r="AX161" s="228">
        <v>244</v>
      </c>
      <c r="AY161" s="228">
        <v>52</v>
      </c>
      <c r="AZ161" s="229">
        <v>0.21360000000000001</v>
      </c>
      <c r="BA161" s="228">
        <v>403</v>
      </c>
      <c r="BB161" s="228">
        <v>256</v>
      </c>
      <c r="BC161" s="228">
        <v>147</v>
      </c>
      <c r="BD161" s="229">
        <v>0.57330000000000003</v>
      </c>
      <c r="BE161" s="228">
        <v>1</v>
      </c>
      <c r="BF161" s="228">
        <v>1</v>
      </c>
      <c r="BG161" s="228">
        <v>0</v>
      </c>
      <c r="BH161" s="229">
        <v>0.3</v>
      </c>
      <c r="BI161" s="228">
        <v>404</v>
      </c>
      <c r="BJ161" s="228">
        <v>204</v>
      </c>
      <c r="BK161" s="228">
        <v>200</v>
      </c>
      <c r="BL161" s="229">
        <v>0.97919999999999996</v>
      </c>
      <c r="BM161" s="228">
        <v>108</v>
      </c>
      <c r="BN161" s="228">
        <v>104</v>
      </c>
      <c r="BO161" s="228">
        <v>5</v>
      </c>
      <c r="BP161" s="229">
        <v>4.3900000000000002E-2</v>
      </c>
      <c r="BQ161" s="230">
        <v>1213</v>
      </c>
      <c r="BR161" s="228">
        <v>809</v>
      </c>
      <c r="BS161" s="228">
        <v>404</v>
      </c>
      <c r="BT161" s="229">
        <v>0.49919999999999998</v>
      </c>
      <c r="BU161" s="230">
        <v>564632</v>
      </c>
      <c r="BV161" s="230">
        <v>426993</v>
      </c>
      <c r="BW161" s="230">
        <v>137639</v>
      </c>
      <c r="BX161" s="229">
        <v>0.32229999999999998</v>
      </c>
      <c r="BY161" s="228">
        <v>736</v>
      </c>
      <c r="BZ161" s="228">
        <v>694</v>
      </c>
      <c r="CA161" s="228">
        <v>42</v>
      </c>
      <c r="CB161" s="229">
        <v>6.0100000000000001E-2</v>
      </c>
      <c r="CC161" s="228">
        <v>77</v>
      </c>
      <c r="CD161" s="228">
        <v>288</v>
      </c>
      <c r="CE161" s="228">
        <v>-211</v>
      </c>
      <c r="CF161" s="229">
        <v>-0.73350000000000004</v>
      </c>
      <c r="CG161" s="228">
        <v>656</v>
      </c>
      <c r="CH161" s="228">
        <v>404</v>
      </c>
      <c r="CI161" s="228">
        <v>253</v>
      </c>
      <c r="CJ161" s="229">
        <v>0.62619999999999998</v>
      </c>
      <c r="CK161" s="228">
        <v>3</v>
      </c>
      <c r="CL161" s="228">
        <v>3</v>
      </c>
      <c r="CM161" s="228">
        <v>0</v>
      </c>
      <c r="CN161" s="229">
        <v>9.0899999999999995E-2</v>
      </c>
      <c r="CO161" s="228">
        <v>206</v>
      </c>
      <c r="CP161" s="228">
        <v>233</v>
      </c>
      <c r="CQ161" s="228">
        <v>-27</v>
      </c>
      <c r="CR161" s="229">
        <v>-0.1144</v>
      </c>
      <c r="CS161" s="228">
        <v>132</v>
      </c>
      <c r="CT161" s="228">
        <v>149</v>
      </c>
      <c r="CU161" s="228">
        <v>-17</v>
      </c>
      <c r="CV161" s="229">
        <v>-0.1133</v>
      </c>
      <c r="CW161" s="230">
        <v>1075</v>
      </c>
      <c r="CX161" s="230">
        <v>1076</v>
      </c>
      <c r="CY161" s="228">
        <v>-2</v>
      </c>
      <c r="CZ161" s="229">
        <v>-1.6999999999999999E-3</v>
      </c>
      <c r="DA161" s="228">
        <v>31.95</v>
      </c>
      <c r="DB161" s="228">
        <v>29.28</v>
      </c>
      <c r="DC161" s="228">
        <v>2.67</v>
      </c>
      <c r="DD161" s="228">
        <v>2.67</v>
      </c>
      <c r="DE161" s="228">
        <v>44.08</v>
      </c>
      <c r="DF161" s="228">
        <v>44.15</v>
      </c>
      <c r="DG161" s="228">
        <v>-12.13</v>
      </c>
      <c r="DH161" s="228">
        <v>-7.0000000000000007E-2</v>
      </c>
      <c r="DI161" s="228">
        <v>32.11</v>
      </c>
      <c r="DJ161" s="228">
        <v>28.97</v>
      </c>
      <c r="DK161" s="228">
        <v>3.14</v>
      </c>
      <c r="DL161" s="228">
        <v>3.14</v>
      </c>
      <c r="DM161" s="228">
        <v>31.44</v>
      </c>
      <c r="DN161" s="228">
        <v>29.59</v>
      </c>
      <c r="DO161" s="228">
        <v>1.85</v>
      </c>
      <c r="DP161" s="228">
        <v>1.85</v>
      </c>
      <c r="DQ161" s="228">
        <v>0.64</v>
      </c>
      <c r="DR161" s="228">
        <v>0.64</v>
      </c>
      <c r="DS161" s="228">
        <v>0</v>
      </c>
      <c r="DT161" s="229">
        <v>0</v>
      </c>
      <c r="DU161" s="231">
        <v>1700</v>
      </c>
      <c r="DV161" s="231">
        <v>1700</v>
      </c>
      <c r="DW161" s="228">
        <v>0.27</v>
      </c>
      <c r="DX161" s="228">
        <v>0.51</v>
      </c>
      <c r="DY161" s="228">
        <v>-0.24</v>
      </c>
      <c r="DZ161" s="229">
        <v>-0.47060000000000002</v>
      </c>
      <c r="EA161" s="229">
        <v>0.89570000000000005</v>
      </c>
      <c r="EB161" s="230">
        <v>2377550</v>
      </c>
      <c r="EC161" s="229">
        <v>5.7000000000000002E-3</v>
      </c>
      <c r="ED161" s="229">
        <v>0.89570000000000005</v>
      </c>
      <c r="EE161" s="228">
        <v>10.49</v>
      </c>
      <c r="EF161" s="229">
        <v>6.1999999999999998E-3</v>
      </c>
      <c r="EG161" s="230">
        <v>316134</v>
      </c>
      <c r="EH161" s="230">
        <v>241486</v>
      </c>
      <c r="EI161" s="229">
        <v>0.30909999999999999</v>
      </c>
      <c r="EJ161" s="229">
        <v>0.55989999999999995</v>
      </c>
      <c r="EK161" s="228">
        <v>412.42</v>
      </c>
      <c r="EL161" s="228">
        <v>104.84</v>
      </c>
      <c r="EM161" s="228">
        <v>699.55</v>
      </c>
      <c r="EN161" s="228">
        <v>49.33</v>
      </c>
      <c r="EO161" s="231">
        <v>1216.81</v>
      </c>
      <c r="EP161" s="228">
        <v>805.31</v>
      </c>
      <c r="EQ161" s="228">
        <v>411.5</v>
      </c>
      <c r="ER161" s="229">
        <v>0.51100000000000001</v>
      </c>
      <c r="ES161" s="228">
        <v>206.54</v>
      </c>
      <c r="ET161" s="228">
        <v>125.79</v>
      </c>
      <c r="EU161" s="228">
        <v>739.63</v>
      </c>
      <c r="EV161" s="231">
        <v>28283155</v>
      </c>
      <c r="EW161" s="231">
        <v>1071.97</v>
      </c>
      <c r="EX161" s="231">
        <v>1061.8399999999999</v>
      </c>
      <c r="EY161" s="228">
        <v>10.130000000000001</v>
      </c>
      <c r="EZ161" s="229">
        <v>9.4999999999999998E-3</v>
      </c>
      <c r="FA161" s="229">
        <v>0.22239999999999999</v>
      </c>
      <c r="FB161" s="227" t="s">
        <v>555</v>
      </c>
      <c r="FC161">
        <f t="shared" si="3"/>
        <v>0</v>
      </c>
    </row>
    <row r="162" spans="1:159" ht="17.25" thickBot="1" x14ac:dyDescent="0.3">
      <c r="A162" s="226">
        <v>45957</v>
      </c>
      <c r="B162" s="227" t="s">
        <v>168</v>
      </c>
      <c r="C162" s="227" t="s">
        <v>274</v>
      </c>
      <c r="D162" s="228">
        <v>500</v>
      </c>
      <c r="E162" s="228">
        <v>1</v>
      </c>
      <c r="F162" s="231">
        <v>1504.2</v>
      </c>
      <c r="G162" s="231">
        <v>1505.4</v>
      </c>
      <c r="H162" s="228">
        <v>-1.2</v>
      </c>
      <c r="I162" s="229">
        <v>-8.0000000000000004E-4</v>
      </c>
      <c r="J162" s="231">
        <v>1504.4</v>
      </c>
      <c r="K162" s="231">
        <v>1507.1</v>
      </c>
      <c r="L162" s="228">
        <v>-2.7</v>
      </c>
      <c r="M162" s="229">
        <v>-1.8E-3</v>
      </c>
      <c r="N162" s="231">
        <v>1504.2</v>
      </c>
      <c r="O162" s="231">
        <v>1505.4</v>
      </c>
      <c r="P162" s="228">
        <v>-1.2</v>
      </c>
      <c r="Q162" s="229">
        <v>-8.0000000000000004E-4</v>
      </c>
      <c r="R162" s="231">
        <v>1514.1</v>
      </c>
      <c r="S162" s="231">
        <v>1514.2</v>
      </c>
      <c r="T162" s="228">
        <v>-0.1</v>
      </c>
      <c r="U162" s="229">
        <v>-1E-4</v>
      </c>
      <c r="V162" s="231">
        <v>1524</v>
      </c>
      <c r="W162" s="231">
        <v>1526</v>
      </c>
      <c r="X162" s="228">
        <v>-2</v>
      </c>
      <c r="Y162" s="229">
        <v>-1.2999999999999999E-3</v>
      </c>
      <c r="Z162" s="228">
        <v>-0.2</v>
      </c>
      <c r="AA162" s="228">
        <v>-1.7</v>
      </c>
      <c r="AB162" s="228">
        <v>1.5</v>
      </c>
      <c r="AC162" s="229">
        <v>-1E-4</v>
      </c>
      <c r="AD162" s="228">
        <v>-0.2</v>
      </c>
      <c r="AE162" s="228">
        <v>-1.7</v>
      </c>
      <c r="AF162" s="228">
        <v>1.5</v>
      </c>
      <c r="AG162" s="229">
        <v>-1E-4</v>
      </c>
      <c r="AH162" s="228">
        <v>9.6999999999999993</v>
      </c>
      <c r="AI162" s="228">
        <v>7.1</v>
      </c>
      <c r="AJ162" s="228">
        <v>2.6</v>
      </c>
      <c r="AK162" s="229">
        <v>6.4000000000000003E-3</v>
      </c>
      <c r="AL162" s="228">
        <v>19.600000000000001</v>
      </c>
      <c r="AM162" s="228">
        <v>18.899999999999999</v>
      </c>
      <c r="AN162" s="228">
        <v>0.7</v>
      </c>
      <c r="AO162" s="229">
        <v>1.2999999999999999E-2</v>
      </c>
      <c r="AP162" s="231">
        <v>1506.48</v>
      </c>
      <c r="AQ162" s="231">
        <v>1515.48</v>
      </c>
      <c r="AR162" s="228">
        <v>0</v>
      </c>
      <c r="AS162" s="230">
        <v>1140</v>
      </c>
      <c r="AT162" s="230">
        <v>1241</v>
      </c>
      <c r="AU162" s="228">
        <v>-101</v>
      </c>
      <c r="AV162" s="229">
        <v>-8.1199999999999994E-2</v>
      </c>
      <c r="AW162" s="228">
        <v>526</v>
      </c>
      <c r="AX162" s="228">
        <v>618</v>
      </c>
      <c r="AY162" s="228">
        <v>-93</v>
      </c>
      <c r="AZ162" s="229">
        <v>-0.15</v>
      </c>
      <c r="BA162" s="228">
        <v>613</v>
      </c>
      <c r="BB162" s="228">
        <v>621</v>
      </c>
      <c r="BC162" s="228">
        <v>-8</v>
      </c>
      <c r="BD162" s="229">
        <v>-1.34E-2</v>
      </c>
      <c r="BE162" s="228">
        <v>1</v>
      </c>
      <c r="BF162" s="228">
        <v>1</v>
      </c>
      <c r="BG162" s="228">
        <v>0</v>
      </c>
      <c r="BH162" s="229">
        <v>0.3846</v>
      </c>
      <c r="BI162" s="228">
        <v>321</v>
      </c>
      <c r="BJ162" s="228">
        <v>319</v>
      </c>
      <c r="BK162" s="228">
        <v>2</v>
      </c>
      <c r="BL162" s="229">
        <v>7.1000000000000004E-3</v>
      </c>
      <c r="BM162" s="228">
        <v>267</v>
      </c>
      <c r="BN162" s="228">
        <v>296</v>
      </c>
      <c r="BO162" s="228">
        <v>-29</v>
      </c>
      <c r="BP162" s="229">
        <v>-9.7699999999999995E-2</v>
      </c>
      <c r="BQ162" s="230">
        <v>1729</v>
      </c>
      <c r="BR162" s="230">
        <v>1856</v>
      </c>
      <c r="BS162" s="228">
        <v>-127</v>
      </c>
      <c r="BT162" s="229">
        <v>-6.8599999999999994E-2</v>
      </c>
      <c r="BU162" s="230">
        <v>530794</v>
      </c>
      <c r="BV162" s="230">
        <v>421179</v>
      </c>
      <c r="BW162" s="230">
        <v>109615</v>
      </c>
      <c r="BX162" s="229">
        <v>0.26029999999999998</v>
      </c>
      <c r="BY162" s="230">
        <v>1446</v>
      </c>
      <c r="BZ162" s="230">
        <v>1471</v>
      </c>
      <c r="CA162" s="228">
        <v>-25</v>
      </c>
      <c r="CB162" s="229">
        <v>-1.7100000000000001E-2</v>
      </c>
      <c r="CC162" s="228">
        <v>255</v>
      </c>
      <c r="CD162" s="228">
        <v>670</v>
      </c>
      <c r="CE162" s="228">
        <v>-415</v>
      </c>
      <c r="CF162" s="229">
        <v>-0.61929999999999996</v>
      </c>
      <c r="CG162" s="230">
        <v>1187</v>
      </c>
      <c r="CH162" s="228">
        <v>798</v>
      </c>
      <c r="CI162" s="228">
        <v>389</v>
      </c>
      <c r="CJ162" s="229">
        <v>0.48770000000000002</v>
      </c>
      <c r="CK162" s="228">
        <v>3</v>
      </c>
      <c r="CL162" s="228">
        <v>2</v>
      </c>
      <c r="CM162" s="228">
        <v>1</v>
      </c>
      <c r="CN162" s="229">
        <v>0.2727</v>
      </c>
      <c r="CO162" s="228">
        <v>181</v>
      </c>
      <c r="CP162" s="228">
        <v>203</v>
      </c>
      <c r="CQ162" s="228">
        <v>-22</v>
      </c>
      <c r="CR162" s="229">
        <v>-0.1082</v>
      </c>
      <c r="CS162" s="228">
        <v>163</v>
      </c>
      <c r="CT162" s="228">
        <v>210</v>
      </c>
      <c r="CU162" s="228">
        <v>-46</v>
      </c>
      <c r="CV162" s="229">
        <v>-0.22090000000000001</v>
      </c>
      <c r="CW162" s="230">
        <v>1790</v>
      </c>
      <c r="CX162" s="230">
        <v>1883</v>
      </c>
      <c r="CY162" s="228">
        <v>-93</v>
      </c>
      <c r="CZ162" s="229">
        <v>-4.9599999999999998E-2</v>
      </c>
      <c r="DA162" s="228">
        <v>23.25</v>
      </c>
      <c r="DB162" s="228">
        <v>22.57</v>
      </c>
      <c r="DC162" s="228">
        <v>0.68</v>
      </c>
      <c r="DD162" s="228">
        <v>0.68</v>
      </c>
      <c r="DE162" s="228">
        <v>21.98</v>
      </c>
      <c r="DF162" s="228">
        <v>22.04</v>
      </c>
      <c r="DG162" s="228">
        <v>1.27</v>
      </c>
      <c r="DH162" s="228">
        <v>-0.06</v>
      </c>
      <c r="DI162" s="228">
        <v>23.32</v>
      </c>
      <c r="DJ162" s="228">
        <v>22.68</v>
      </c>
      <c r="DK162" s="228">
        <v>0.64</v>
      </c>
      <c r="DL162" s="228">
        <v>0.64</v>
      </c>
      <c r="DM162" s="228">
        <v>23.13</v>
      </c>
      <c r="DN162" s="228">
        <v>22.46</v>
      </c>
      <c r="DO162" s="228">
        <v>0.67</v>
      </c>
      <c r="DP162" s="228">
        <v>0.67</v>
      </c>
      <c r="DQ162" s="228">
        <v>0.9</v>
      </c>
      <c r="DR162" s="228">
        <v>1.03</v>
      </c>
      <c r="DS162" s="228">
        <v>-0.13</v>
      </c>
      <c r="DT162" s="229">
        <v>-0.12620000000000001</v>
      </c>
      <c r="DU162" s="231">
        <v>1600</v>
      </c>
      <c r="DV162" s="231">
        <v>1400</v>
      </c>
      <c r="DW162" s="228">
        <v>0.83</v>
      </c>
      <c r="DX162" s="228">
        <v>0.93</v>
      </c>
      <c r="DY162" s="228">
        <v>-0.1</v>
      </c>
      <c r="DZ162" s="229">
        <v>-0.1075</v>
      </c>
      <c r="EA162" s="229">
        <v>0.82350000000000001</v>
      </c>
      <c r="EB162" s="230">
        <v>5322000</v>
      </c>
      <c r="EC162" s="229">
        <v>6.6E-3</v>
      </c>
      <c r="ED162" s="229">
        <v>0.82350000000000001</v>
      </c>
      <c r="EE162" s="228">
        <v>9</v>
      </c>
      <c r="EF162" s="229">
        <v>6.0000000000000001E-3</v>
      </c>
      <c r="EG162" s="230">
        <v>300767</v>
      </c>
      <c r="EH162" s="230">
        <v>268768</v>
      </c>
      <c r="EI162" s="229">
        <v>0.1191</v>
      </c>
      <c r="EJ162" s="229">
        <v>0.56659999999999999</v>
      </c>
      <c r="EK162" s="228">
        <v>329.96</v>
      </c>
      <c r="EL162" s="228">
        <v>263.95999999999998</v>
      </c>
      <c r="EM162" s="231">
        <v>1145.45</v>
      </c>
      <c r="EN162" s="228">
        <v>71.42</v>
      </c>
      <c r="EO162" s="231">
        <v>1739.36</v>
      </c>
      <c r="EP162" s="231">
        <v>1867.71</v>
      </c>
      <c r="EQ162" s="228">
        <v>-128.35</v>
      </c>
      <c r="ER162" s="229">
        <v>-6.8699999999999997E-2</v>
      </c>
      <c r="ES162" s="228">
        <v>187.04</v>
      </c>
      <c r="ET162" s="228">
        <v>159.41999999999999</v>
      </c>
      <c r="EU162" s="231">
        <v>1453.47</v>
      </c>
      <c r="EV162" s="231">
        <v>31170515</v>
      </c>
      <c r="EW162" s="231">
        <v>1799.93</v>
      </c>
      <c r="EX162" s="231">
        <v>1890.86</v>
      </c>
      <c r="EY162" s="228">
        <v>-90.93</v>
      </c>
      <c r="EZ162" s="229">
        <v>-4.8099999999999997E-2</v>
      </c>
      <c r="FA162" s="229">
        <v>0.38179999999999997</v>
      </c>
      <c r="FB162" s="227" t="s">
        <v>568</v>
      </c>
      <c r="FC162">
        <f t="shared" si="3"/>
        <v>0</v>
      </c>
    </row>
    <row r="163" spans="1:159" ht="17.25" thickBot="1" x14ac:dyDescent="0.3">
      <c r="A163" s="226">
        <v>45957</v>
      </c>
      <c r="B163" s="227" t="s">
        <v>498</v>
      </c>
      <c r="C163" s="227" t="s">
        <v>483</v>
      </c>
      <c r="D163" s="228">
        <v>175</v>
      </c>
      <c r="E163" s="228">
        <v>1</v>
      </c>
      <c r="F163" s="231">
        <v>3607.3</v>
      </c>
      <c r="G163" s="231">
        <v>3580.5</v>
      </c>
      <c r="H163" s="228">
        <v>26.8</v>
      </c>
      <c r="I163" s="229">
        <v>7.4999999999999997E-3</v>
      </c>
      <c r="J163" s="231">
        <v>3610</v>
      </c>
      <c r="K163" s="231">
        <v>3583.2</v>
      </c>
      <c r="L163" s="228">
        <v>26.8</v>
      </c>
      <c r="M163" s="229">
        <v>7.4999999999999997E-3</v>
      </c>
      <c r="N163" s="231">
        <v>3607.3</v>
      </c>
      <c r="O163" s="231">
        <v>3580.5</v>
      </c>
      <c r="P163" s="228">
        <v>26.8</v>
      </c>
      <c r="Q163" s="229">
        <v>7.4999999999999997E-3</v>
      </c>
      <c r="R163" s="231">
        <v>3611.6</v>
      </c>
      <c r="S163" s="231">
        <v>3590.6</v>
      </c>
      <c r="T163" s="228">
        <v>21</v>
      </c>
      <c r="U163" s="229">
        <v>5.7999999999999996E-3</v>
      </c>
      <c r="V163" s="231">
        <v>3625.6</v>
      </c>
      <c r="W163" s="231">
        <v>3604.8</v>
      </c>
      <c r="X163" s="228">
        <v>20.8</v>
      </c>
      <c r="Y163" s="229">
        <v>5.7999999999999996E-3</v>
      </c>
      <c r="Z163" s="228">
        <v>-2.7</v>
      </c>
      <c r="AA163" s="228">
        <v>-2.7</v>
      </c>
      <c r="AB163" s="228">
        <v>0</v>
      </c>
      <c r="AC163" s="229">
        <v>-6.9999999999999999E-4</v>
      </c>
      <c r="AD163" s="228">
        <v>-2.7</v>
      </c>
      <c r="AE163" s="228">
        <v>-2.7</v>
      </c>
      <c r="AF163" s="228">
        <v>0</v>
      </c>
      <c r="AG163" s="229">
        <v>-6.9999999999999999E-4</v>
      </c>
      <c r="AH163" s="228">
        <v>1.6</v>
      </c>
      <c r="AI163" s="228">
        <v>7.4</v>
      </c>
      <c r="AJ163" s="228">
        <v>-5.8</v>
      </c>
      <c r="AK163" s="229">
        <v>4.0000000000000002E-4</v>
      </c>
      <c r="AL163" s="228">
        <v>15.6</v>
      </c>
      <c r="AM163" s="228">
        <v>21.6</v>
      </c>
      <c r="AN163" s="228">
        <v>-6</v>
      </c>
      <c r="AO163" s="229">
        <v>4.3E-3</v>
      </c>
      <c r="AP163" s="231">
        <v>3631.99</v>
      </c>
      <c r="AQ163" s="231">
        <v>3639.67</v>
      </c>
      <c r="AR163" s="228">
        <v>0</v>
      </c>
      <c r="AS163" s="228">
        <v>507</v>
      </c>
      <c r="AT163" s="228">
        <v>649</v>
      </c>
      <c r="AU163" s="228">
        <v>-142</v>
      </c>
      <c r="AV163" s="229">
        <v>-0.21879999999999999</v>
      </c>
      <c r="AW163" s="228">
        <v>238</v>
      </c>
      <c r="AX163" s="228">
        <v>332</v>
      </c>
      <c r="AY163" s="228">
        <v>-94</v>
      </c>
      <c r="AZ163" s="229">
        <v>-0.28320000000000001</v>
      </c>
      <c r="BA163" s="228">
        <v>266</v>
      </c>
      <c r="BB163" s="228">
        <v>317</v>
      </c>
      <c r="BC163" s="228">
        <v>-51</v>
      </c>
      <c r="BD163" s="229">
        <v>-0.1598</v>
      </c>
      <c r="BE163" s="228">
        <v>3</v>
      </c>
      <c r="BF163" s="228">
        <v>0</v>
      </c>
      <c r="BG163" s="228">
        <v>3</v>
      </c>
      <c r="BH163" s="229">
        <v>6</v>
      </c>
      <c r="BI163" s="228">
        <v>658</v>
      </c>
      <c r="BJ163" s="228">
        <v>317</v>
      </c>
      <c r="BK163" s="228">
        <v>341</v>
      </c>
      <c r="BL163" s="229">
        <v>1.073</v>
      </c>
      <c r="BM163" s="228">
        <v>178</v>
      </c>
      <c r="BN163" s="228">
        <v>177</v>
      </c>
      <c r="BO163" s="228">
        <v>2</v>
      </c>
      <c r="BP163" s="229">
        <v>9.2999999999999992E-3</v>
      </c>
      <c r="BQ163" s="230">
        <v>1343</v>
      </c>
      <c r="BR163" s="230">
        <v>1143</v>
      </c>
      <c r="BS163" s="228">
        <v>200</v>
      </c>
      <c r="BT163" s="229">
        <v>0.17510000000000001</v>
      </c>
      <c r="BU163" s="230">
        <v>211318</v>
      </c>
      <c r="BV163" s="230">
        <v>247911</v>
      </c>
      <c r="BW163" s="230">
        <v>-36593</v>
      </c>
      <c r="BX163" s="229">
        <v>-0.14760000000000001</v>
      </c>
      <c r="BY163" s="228">
        <v>631</v>
      </c>
      <c r="BZ163" s="228">
        <v>645</v>
      </c>
      <c r="CA163" s="228">
        <v>-14</v>
      </c>
      <c r="CB163" s="229">
        <v>-2.1299999999999999E-2</v>
      </c>
      <c r="CC163" s="228">
        <v>60</v>
      </c>
      <c r="CD163" s="228">
        <v>192</v>
      </c>
      <c r="CE163" s="228">
        <v>-132</v>
      </c>
      <c r="CF163" s="229">
        <v>-0.68600000000000005</v>
      </c>
      <c r="CG163" s="228">
        <v>567</v>
      </c>
      <c r="CH163" s="228">
        <v>450</v>
      </c>
      <c r="CI163" s="228">
        <v>117</v>
      </c>
      <c r="CJ163" s="229">
        <v>0.25950000000000001</v>
      </c>
      <c r="CK163" s="228">
        <v>3</v>
      </c>
      <c r="CL163" s="228">
        <v>2</v>
      </c>
      <c r="CM163" s="228">
        <v>1</v>
      </c>
      <c r="CN163" s="229">
        <v>0.48649999999999999</v>
      </c>
      <c r="CO163" s="228">
        <v>211</v>
      </c>
      <c r="CP163" s="228">
        <v>217</v>
      </c>
      <c r="CQ163" s="228">
        <v>-6</v>
      </c>
      <c r="CR163" s="229">
        <v>-2.8799999999999999E-2</v>
      </c>
      <c r="CS163" s="228">
        <v>137</v>
      </c>
      <c r="CT163" s="228">
        <v>136</v>
      </c>
      <c r="CU163" s="228">
        <v>1</v>
      </c>
      <c r="CV163" s="229">
        <v>7.0000000000000001E-3</v>
      </c>
      <c r="CW163" s="228">
        <v>978</v>
      </c>
      <c r="CX163" s="228">
        <v>997</v>
      </c>
      <c r="CY163" s="228">
        <v>-19</v>
      </c>
      <c r="CZ163" s="229">
        <v>-1.9099999999999999E-2</v>
      </c>
      <c r="DA163" s="228">
        <v>29.66</v>
      </c>
      <c r="DB163" s="228">
        <v>27.21</v>
      </c>
      <c r="DC163" s="228">
        <v>2.4500000000000002</v>
      </c>
      <c r="DD163" s="228">
        <v>2.4500000000000002</v>
      </c>
      <c r="DE163" s="228">
        <v>29.78</v>
      </c>
      <c r="DF163" s="228">
        <v>29.84</v>
      </c>
      <c r="DG163" s="228">
        <v>-0.12</v>
      </c>
      <c r="DH163" s="228">
        <v>-0.06</v>
      </c>
      <c r="DI163" s="228">
        <v>29.76</v>
      </c>
      <c r="DJ163" s="228">
        <v>27.44</v>
      </c>
      <c r="DK163" s="228">
        <v>2.3199999999999998</v>
      </c>
      <c r="DL163" s="228">
        <v>2.3199999999999998</v>
      </c>
      <c r="DM163" s="228">
        <v>29.23</v>
      </c>
      <c r="DN163" s="228">
        <v>26.64</v>
      </c>
      <c r="DO163" s="228">
        <v>2.59</v>
      </c>
      <c r="DP163" s="228">
        <v>2.59</v>
      </c>
      <c r="DQ163" s="228">
        <v>0.65</v>
      </c>
      <c r="DR163" s="228">
        <v>0.63</v>
      </c>
      <c r="DS163" s="228">
        <v>0.02</v>
      </c>
      <c r="DT163" s="229">
        <v>3.1699999999999999E-2</v>
      </c>
      <c r="DU163" s="231">
        <v>3600</v>
      </c>
      <c r="DV163" s="231">
        <v>3600</v>
      </c>
      <c r="DW163" s="228">
        <v>0.27</v>
      </c>
      <c r="DX163" s="228">
        <v>0.56000000000000005</v>
      </c>
      <c r="DY163" s="228">
        <v>-0.28999999999999998</v>
      </c>
      <c r="DZ163" s="229">
        <v>-0.51790000000000003</v>
      </c>
      <c r="EA163" s="229">
        <v>0.90439999999999998</v>
      </c>
      <c r="EB163" s="230">
        <v>1254750</v>
      </c>
      <c r="EC163" s="229">
        <v>1.1999999999999999E-3</v>
      </c>
      <c r="ED163" s="229">
        <v>0.90439999999999998</v>
      </c>
      <c r="EE163" s="228">
        <v>7.68</v>
      </c>
      <c r="EF163" s="229">
        <v>2.0999999999999999E-3</v>
      </c>
      <c r="EG163" s="230">
        <v>90022</v>
      </c>
      <c r="EH163" s="230">
        <v>159893</v>
      </c>
      <c r="EI163" s="229">
        <v>-0.437</v>
      </c>
      <c r="EJ163" s="229">
        <v>0.42599999999999999</v>
      </c>
      <c r="EK163" s="228">
        <v>678.56</v>
      </c>
      <c r="EL163" s="228">
        <v>176.73</v>
      </c>
      <c r="EM163" s="228">
        <v>511.28</v>
      </c>
      <c r="EN163" s="228">
        <v>54.6</v>
      </c>
      <c r="EO163" s="231">
        <v>1366.57</v>
      </c>
      <c r="EP163" s="231">
        <v>1136.57</v>
      </c>
      <c r="EQ163" s="228">
        <v>230</v>
      </c>
      <c r="ER163" s="229">
        <v>0.2024</v>
      </c>
      <c r="ES163" s="228">
        <v>216.63</v>
      </c>
      <c r="ET163" s="228">
        <v>133.46</v>
      </c>
      <c r="EU163" s="228">
        <v>631.59</v>
      </c>
      <c r="EV163" s="231">
        <v>8178275</v>
      </c>
      <c r="EW163" s="228">
        <v>981.68</v>
      </c>
      <c r="EX163" s="228">
        <v>995.38</v>
      </c>
      <c r="EY163" s="228">
        <v>-13.7</v>
      </c>
      <c r="EZ163" s="229">
        <v>-1.38E-2</v>
      </c>
      <c r="FA163" s="229">
        <v>0.33160000000000001</v>
      </c>
      <c r="FB163" s="227" t="s">
        <v>556</v>
      </c>
      <c r="FC163">
        <f t="shared" si="3"/>
        <v>0</v>
      </c>
    </row>
    <row r="164" spans="1:159" ht="17.25" thickBot="1" x14ac:dyDescent="0.3">
      <c r="A164" s="226">
        <v>45957</v>
      </c>
      <c r="B164" s="227" t="s">
        <v>172</v>
      </c>
      <c r="C164" s="227" t="s">
        <v>275</v>
      </c>
      <c r="D164" s="228">
        <v>8000</v>
      </c>
      <c r="E164" s="228">
        <v>1</v>
      </c>
      <c r="F164" s="228">
        <v>119.59</v>
      </c>
      <c r="G164" s="228">
        <v>117.07</v>
      </c>
      <c r="H164" s="228">
        <v>2.52</v>
      </c>
      <c r="I164" s="229">
        <v>2.1499999999999998E-2</v>
      </c>
      <c r="J164" s="228">
        <v>119.63</v>
      </c>
      <c r="K164" s="228">
        <v>116.94</v>
      </c>
      <c r="L164" s="228">
        <v>2.69</v>
      </c>
      <c r="M164" s="229">
        <v>2.3E-2</v>
      </c>
      <c r="N164" s="228">
        <v>119.59</v>
      </c>
      <c r="O164" s="228">
        <v>117.07</v>
      </c>
      <c r="P164" s="228">
        <v>2.52</v>
      </c>
      <c r="Q164" s="229">
        <v>2.1499999999999998E-2</v>
      </c>
      <c r="R164" s="228">
        <v>120.43</v>
      </c>
      <c r="S164" s="228">
        <v>117.72</v>
      </c>
      <c r="T164" s="228">
        <v>2.71</v>
      </c>
      <c r="U164" s="229">
        <v>2.3E-2</v>
      </c>
      <c r="V164" s="228">
        <v>121.26</v>
      </c>
      <c r="W164" s="228">
        <v>118.49</v>
      </c>
      <c r="X164" s="228">
        <v>2.77</v>
      </c>
      <c r="Y164" s="229">
        <v>2.3400000000000001E-2</v>
      </c>
      <c r="Z164" s="228">
        <v>-0.04</v>
      </c>
      <c r="AA164" s="228">
        <v>0.13</v>
      </c>
      <c r="AB164" s="228">
        <v>-0.17</v>
      </c>
      <c r="AC164" s="229">
        <v>-2.9999999999999997E-4</v>
      </c>
      <c r="AD164" s="228">
        <v>-0.04</v>
      </c>
      <c r="AE164" s="228">
        <v>0.13</v>
      </c>
      <c r="AF164" s="228">
        <v>-0.17</v>
      </c>
      <c r="AG164" s="229">
        <v>-2.9999999999999997E-4</v>
      </c>
      <c r="AH164" s="228">
        <v>0.8</v>
      </c>
      <c r="AI164" s="228">
        <v>0.78</v>
      </c>
      <c r="AJ164" s="228">
        <v>0.02</v>
      </c>
      <c r="AK164" s="229">
        <v>6.7000000000000002E-3</v>
      </c>
      <c r="AL164" s="228">
        <v>1.63</v>
      </c>
      <c r="AM164" s="228">
        <v>1.55</v>
      </c>
      <c r="AN164" s="228">
        <v>0.08</v>
      </c>
      <c r="AO164" s="229">
        <v>1.3599999999999999E-2</v>
      </c>
      <c r="AP164" s="228">
        <v>118.66</v>
      </c>
      <c r="AQ164" s="228">
        <v>119.41</v>
      </c>
      <c r="AR164" s="228">
        <v>0</v>
      </c>
      <c r="AS164" s="230">
        <v>2709</v>
      </c>
      <c r="AT164" s="230">
        <v>1770</v>
      </c>
      <c r="AU164" s="228">
        <v>939</v>
      </c>
      <c r="AV164" s="229">
        <v>0.53069999999999995</v>
      </c>
      <c r="AW164" s="230">
        <v>1264</v>
      </c>
      <c r="AX164" s="228">
        <v>861</v>
      </c>
      <c r="AY164" s="228">
        <v>403</v>
      </c>
      <c r="AZ164" s="229">
        <v>0.46860000000000002</v>
      </c>
      <c r="BA164" s="230">
        <v>1420</v>
      </c>
      <c r="BB164" s="228">
        <v>885</v>
      </c>
      <c r="BC164" s="228">
        <v>535</v>
      </c>
      <c r="BD164" s="229">
        <v>0.60470000000000002</v>
      </c>
      <c r="BE164" s="228">
        <v>25</v>
      </c>
      <c r="BF164" s="228">
        <v>24</v>
      </c>
      <c r="BG164" s="228">
        <v>1</v>
      </c>
      <c r="BH164" s="229">
        <v>3.2000000000000001E-2</v>
      </c>
      <c r="BI164" s="230">
        <v>2825</v>
      </c>
      <c r="BJ164" s="230">
        <v>2372</v>
      </c>
      <c r="BK164" s="228">
        <v>453</v>
      </c>
      <c r="BL164" s="229">
        <v>0.19109999999999999</v>
      </c>
      <c r="BM164" s="230">
        <v>1397</v>
      </c>
      <c r="BN164" s="230">
        <v>1509</v>
      </c>
      <c r="BO164" s="228">
        <v>-113</v>
      </c>
      <c r="BP164" s="229">
        <v>-7.46E-2</v>
      </c>
      <c r="BQ164" s="230">
        <v>6931</v>
      </c>
      <c r="BR164" s="230">
        <v>5651</v>
      </c>
      <c r="BS164" s="230">
        <v>1280</v>
      </c>
      <c r="BT164" s="229">
        <v>0.22650000000000001</v>
      </c>
      <c r="BU164" s="230">
        <v>18346956</v>
      </c>
      <c r="BV164" s="230">
        <v>14353526</v>
      </c>
      <c r="BW164" s="230">
        <v>3993430</v>
      </c>
      <c r="BX164" s="229">
        <v>0.2782</v>
      </c>
      <c r="BY164" s="230">
        <v>2761</v>
      </c>
      <c r="BZ164" s="230">
        <v>2860</v>
      </c>
      <c r="CA164" s="228">
        <v>-99</v>
      </c>
      <c r="CB164" s="229">
        <v>-3.4700000000000002E-2</v>
      </c>
      <c r="CC164" s="228">
        <v>453</v>
      </c>
      <c r="CD164" s="230">
        <v>1327</v>
      </c>
      <c r="CE164" s="228">
        <v>-874</v>
      </c>
      <c r="CF164" s="229">
        <v>-0.65880000000000005</v>
      </c>
      <c r="CG164" s="230">
        <v>2254</v>
      </c>
      <c r="CH164" s="230">
        <v>1482</v>
      </c>
      <c r="CI164" s="228">
        <v>772</v>
      </c>
      <c r="CJ164" s="229">
        <v>0.52100000000000002</v>
      </c>
      <c r="CK164" s="228">
        <v>54</v>
      </c>
      <c r="CL164" s="228">
        <v>51</v>
      </c>
      <c r="CM164" s="228">
        <v>3</v>
      </c>
      <c r="CN164" s="229">
        <v>5.8299999999999998E-2</v>
      </c>
      <c r="CO164" s="230">
        <v>1846</v>
      </c>
      <c r="CP164" s="230">
        <v>2005</v>
      </c>
      <c r="CQ164" s="228">
        <v>-159</v>
      </c>
      <c r="CR164" s="229">
        <v>-7.9200000000000007E-2</v>
      </c>
      <c r="CS164" s="230">
        <v>1589</v>
      </c>
      <c r="CT164" s="230">
        <v>1523</v>
      </c>
      <c r="CU164" s="228">
        <v>66</v>
      </c>
      <c r="CV164" s="229">
        <v>4.3400000000000001E-2</v>
      </c>
      <c r="CW164" s="230">
        <v>6196</v>
      </c>
      <c r="CX164" s="230">
        <v>6388</v>
      </c>
      <c r="CY164" s="228">
        <v>-192</v>
      </c>
      <c r="CZ164" s="229">
        <v>-0.03</v>
      </c>
      <c r="DA164" s="228">
        <v>28.26</v>
      </c>
      <c r="DB164" s="228">
        <v>27</v>
      </c>
      <c r="DC164" s="228">
        <v>1.26</v>
      </c>
      <c r="DD164" s="228">
        <v>1.26</v>
      </c>
      <c r="DE164" s="228">
        <v>37.119999999999997</v>
      </c>
      <c r="DF164" s="228">
        <v>37.1</v>
      </c>
      <c r="DG164" s="228">
        <v>-8.86</v>
      </c>
      <c r="DH164" s="228">
        <v>0.02</v>
      </c>
      <c r="DI164" s="228">
        <v>28.4</v>
      </c>
      <c r="DJ164" s="228">
        <v>27.45</v>
      </c>
      <c r="DK164" s="228">
        <v>0.95</v>
      </c>
      <c r="DL164" s="228">
        <v>0.95</v>
      </c>
      <c r="DM164" s="228">
        <v>27.95</v>
      </c>
      <c r="DN164" s="228">
        <v>25.98</v>
      </c>
      <c r="DO164" s="228">
        <v>1.97</v>
      </c>
      <c r="DP164" s="228">
        <v>1.97</v>
      </c>
      <c r="DQ164" s="228">
        <v>0.86</v>
      </c>
      <c r="DR164" s="228">
        <v>0.76</v>
      </c>
      <c r="DS164" s="228">
        <v>0.1</v>
      </c>
      <c r="DT164" s="229">
        <v>0.13159999999999999</v>
      </c>
      <c r="DU164" s="228">
        <v>125</v>
      </c>
      <c r="DV164" s="228">
        <v>120</v>
      </c>
      <c r="DW164" s="228">
        <v>0.49</v>
      </c>
      <c r="DX164" s="228">
        <v>0.64</v>
      </c>
      <c r="DY164" s="228">
        <v>-0.15</v>
      </c>
      <c r="DZ164" s="229">
        <v>-0.2344</v>
      </c>
      <c r="EA164" s="229">
        <v>0.83599999999999997</v>
      </c>
      <c r="EB164" s="230">
        <v>128192000</v>
      </c>
      <c r="EC164" s="229">
        <v>7.0000000000000001E-3</v>
      </c>
      <c r="ED164" s="229">
        <v>0.83599999999999997</v>
      </c>
      <c r="EE164" s="228">
        <v>0.75</v>
      </c>
      <c r="EF164" s="229">
        <v>6.3E-3</v>
      </c>
      <c r="EG164" s="230">
        <v>9647605</v>
      </c>
      <c r="EH164" s="230">
        <v>6902334</v>
      </c>
      <c r="EI164" s="229">
        <v>0.3977</v>
      </c>
      <c r="EJ164" s="229">
        <v>0.52580000000000005</v>
      </c>
      <c r="EK164" s="231">
        <v>2876.93</v>
      </c>
      <c r="EL164" s="231">
        <v>1377.11</v>
      </c>
      <c r="EM164" s="231">
        <v>2697.65</v>
      </c>
      <c r="EN164" s="228">
        <v>139.58000000000001</v>
      </c>
      <c r="EO164" s="231">
        <v>6951.69</v>
      </c>
      <c r="EP164" s="231">
        <v>5629.58</v>
      </c>
      <c r="EQ164" s="231">
        <v>1322.11</v>
      </c>
      <c r="ER164" s="229">
        <v>0.2349</v>
      </c>
      <c r="ES164" s="231">
        <v>1874.42</v>
      </c>
      <c r="ET164" s="231">
        <v>1502.91</v>
      </c>
      <c r="EU164" s="231">
        <v>2777.58</v>
      </c>
      <c r="EV164" s="231">
        <v>447910372</v>
      </c>
      <c r="EW164" s="231">
        <v>6154.92</v>
      </c>
      <c r="EX164" s="231">
        <v>6273.41</v>
      </c>
      <c r="EY164" s="228">
        <v>-118.49</v>
      </c>
      <c r="EZ164" s="229">
        <v>-1.89E-2</v>
      </c>
      <c r="FA164" s="229">
        <v>1.1567000000000001</v>
      </c>
      <c r="FB164" s="227" t="s">
        <v>556</v>
      </c>
      <c r="FC164">
        <f t="shared" si="3"/>
        <v>0</v>
      </c>
    </row>
    <row r="165" spans="1:159" ht="17.25" thickBot="1" x14ac:dyDescent="0.3">
      <c r="A165" s="226">
        <v>45957</v>
      </c>
      <c r="B165" s="227" t="s">
        <v>175</v>
      </c>
      <c r="C165" s="227" t="s">
        <v>671</v>
      </c>
      <c r="D165" s="228">
        <v>650</v>
      </c>
      <c r="E165" s="228">
        <v>1</v>
      </c>
      <c r="F165" s="228">
        <v>928.45</v>
      </c>
      <c r="G165" s="228">
        <v>907.75</v>
      </c>
      <c r="H165" s="228">
        <v>20.7</v>
      </c>
      <c r="I165" s="229">
        <v>2.2800000000000001E-2</v>
      </c>
      <c r="J165" s="228">
        <v>927.6</v>
      </c>
      <c r="K165" s="228">
        <v>907.3</v>
      </c>
      <c r="L165" s="228">
        <v>20.3</v>
      </c>
      <c r="M165" s="229">
        <v>2.24E-2</v>
      </c>
      <c r="N165" s="228">
        <v>928.45</v>
      </c>
      <c r="O165" s="228">
        <v>907.75</v>
      </c>
      <c r="P165" s="228">
        <v>20.7</v>
      </c>
      <c r="Q165" s="229">
        <v>2.2800000000000001E-2</v>
      </c>
      <c r="R165" s="228">
        <v>933.75</v>
      </c>
      <c r="S165" s="228">
        <v>912.35</v>
      </c>
      <c r="T165" s="228">
        <v>21.4</v>
      </c>
      <c r="U165" s="229">
        <v>2.35E-2</v>
      </c>
      <c r="V165" s="228">
        <v>939.65</v>
      </c>
      <c r="W165" s="228">
        <v>918.15</v>
      </c>
      <c r="X165" s="228">
        <v>21.5</v>
      </c>
      <c r="Y165" s="229">
        <v>2.3400000000000001E-2</v>
      </c>
      <c r="Z165" s="228">
        <v>0.85</v>
      </c>
      <c r="AA165" s="228">
        <v>0.45</v>
      </c>
      <c r="AB165" s="228">
        <v>0.4</v>
      </c>
      <c r="AC165" s="229">
        <v>8.9999999999999998E-4</v>
      </c>
      <c r="AD165" s="228">
        <v>0.85</v>
      </c>
      <c r="AE165" s="228">
        <v>0.45</v>
      </c>
      <c r="AF165" s="228">
        <v>0.4</v>
      </c>
      <c r="AG165" s="229">
        <v>8.9999999999999998E-4</v>
      </c>
      <c r="AH165" s="228">
        <v>6.15</v>
      </c>
      <c r="AI165" s="228">
        <v>5.05</v>
      </c>
      <c r="AJ165" s="228">
        <v>1.1000000000000001</v>
      </c>
      <c r="AK165" s="229">
        <v>6.6E-3</v>
      </c>
      <c r="AL165" s="228">
        <v>12.05</v>
      </c>
      <c r="AM165" s="228">
        <v>10.85</v>
      </c>
      <c r="AN165" s="228">
        <v>1.2</v>
      </c>
      <c r="AO165" s="229">
        <v>1.2999999999999999E-2</v>
      </c>
      <c r="AP165" s="228">
        <v>924.68</v>
      </c>
      <c r="AQ165" s="228">
        <v>930.23</v>
      </c>
      <c r="AR165" s="228">
        <v>0</v>
      </c>
      <c r="AS165" s="230">
        <v>1328</v>
      </c>
      <c r="AT165" s="230">
        <v>1293</v>
      </c>
      <c r="AU165" s="228">
        <v>35</v>
      </c>
      <c r="AV165" s="229">
        <v>2.7199999999999998E-2</v>
      </c>
      <c r="AW165" s="228">
        <v>576</v>
      </c>
      <c r="AX165" s="228">
        <v>600</v>
      </c>
      <c r="AY165" s="228">
        <v>-23</v>
      </c>
      <c r="AZ165" s="229">
        <v>-3.9100000000000003E-2</v>
      </c>
      <c r="BA165" s="228">
        <v>745</v>
      </c>
      <c r="BB165" s="228">
        <v>687</v>
      </c>
      <c r="BC165" s="228">
        <v>58</v>
      </c>
      <c r="BD165" s="229">
        <v>8.43E-2</v>
      </c>
      <c r="BE165" s="228">
        <v>7</v>
      </c>
      <c r="BF165" s="228">
        <v>7</v>
      </c>
      <c r="BG165" s="228">
        <v>1</v>
      </c>
      <c r="BH165" s="229">
        <v>0.1193</v>
      </c>
      <c r="BI165" s="230">
        <v>1849</v>
      </c>
      <c r="BJ165" s="230">
        <v>1648</v>
      </c>
      <c r="BK165" s="228">
        <v>201</v>
      </c>
      <c r="BL165" s="229">
        <v>0.122</v>
      </c>
      <c r="BM165" s="228">
        <v>865</v>
      </c>
      <c r="BN165" s="228">
        <v>799</v>
      </c>
      <c r="BO165" s="228">
        <v>65</v>
      </c>
      <c r="BP165" s="229">
        <v>8.1600000000000006E-2</v>
      </c>
      <c r="BQ165" s="230">
        <v>4042</v>
      </c>
      <c r="BR165" s="230">
        <v>3741</v>
      </c>
      <c r="BS165" s="228">
        <v>302</v>
      </c>
      <c r="BT165" s="229">
        <v>8.0600000000000005E-2</v>
      </c>
      <c r="BU165" s="230">
        <v>2020242</v>
      </c>
      <c r="BV165" s="230">
        <v>2432242</v>
      </c>
      <c r="BW165" s="230">
        <v>-412000</v>
      </c>
      <c r="BX165" s="229">
        <v>-0.1694</v>
      </c>
      <c r="BY165" s="230">
        <v>1561</v>
      </c>
      <c r="BZ165" s="230">
        <v>1519</v>
      </c>
      <c r="CA165" s="228">
        <v>42</v>
      </c>
      <c r="CB165" s="229">
        <v>2.7300000000000001E-2</v>
      </c>
      <c r="CC165" s="228">
        <v>264</v>
      </c>
      <c r="CD165" s="228">
        <v>675</v>
      </c>
      <c r="CE165" s="228">
        <v>-412</v>
      </c>
      <c r="CF165" s="229">
        <v>-0.60970000000000002</v>
      </c>
      <c r="CG165" s="230">
        <v>1287</v>
      </c>
      <c r="CH165" s="228">
        <v>836</v>
      </c>
      <c r="CI165" s="228">
        <v>451</v>
      </c>
      <c r="CJ165" s="229">
        <v>0.53939999999999999</v>
      </c>
      <c r="CK165" s="228">
        <v>10</v>
      </c>
      <c r="CL165" s="228">
        <v>8</v>
      </c>
      <c r="CM165" s="228">
        <v>2</v>
      </c>
      <c r="CN165" s="229">
        <v>0.27560000000000001</v>
      </c>
      <c r="CO165" s="228">
        <v>616</v>
      </c>
      <c r="CP165" s="228">
        <v>465</v>
      </c>
      <c r="CQ165" s="228">
        <v>151</v>
      </c>
      <c r="CR165" s="229">
        <v>0.32540000000000002</v>
      </c>
      <c r="CS165" s="228">
        <v>536</v>
      </c>
      <c r="CT165" s="228">
        <v>470</v>
      </c>
      <c r="CU165" s="228">
        <v>66</v>
      </c>
      <c r="CV165" s="229">
        <v>0.14149999999999999</v>
      </c>
      <c r="CW165" s="230">
        <v>2713</v>
      </c>
      <c r="CX165" s="230">
        <v>2453</v>
      </c>
      <c r="CY165" s="228">
        <v>259</v>
      </c>
      <c r="CZ165" s="229">
        <v>0.1057</v>
      </c>
      <c r="DA165" s="228">
        <v>38.92</v>
      </c>
      <c r="DB165" s="228">
        <v>35.15</v>
      </c>
      <c r="DC165" s="228">
        <v>3.77</v>
      </c>
      <c r="DD165" s="228">
        <v>3.77</v>
      </c>
      <c r="DE165" s="228">
        <v>48.8</v>
      </c>
      <c r="DF165" s="228">
        <v>48.83</v>
      </c>
      <c r="DG165" s="228">
        <v>-9.8800000000000008</v>
      </c>
      <c r="DH165" s="228">
        <v>-0.03</v>
      </c>
      <c r="DI165" s="228">
        <v>39.1</v>
      </c>
      <c r="DJ165" s="228">
        <v>35.270000000000003</v>
      </c>
      <c r="DK165" s="228">
        <v>3.83</v>
      </c>
      <c r="DL165" s="228">
        <v>3.83</v>
      </c>
      <c r="DM165" s="228">
        <v>38.44</v>
      </c>
      <c r="DN165" s="228">
        <v>34.880000000000003</v>
      </c>
      <c r="DO165" s="228">
        <v>3.56</v>
      </c>
      <c r="DP165" s="228">
        <v>3.56</v>
      </c>
      <c r="DQ165" s="228">
        <v>0.87</v>
      </c>
      <c r="DR165" s="228">
        <v>1.01</v>
      </c>
      <c r="DS165" s="228">
        <v>-0.14000000000000001</v>
      </c>
      <c r="DT165" s="229">
        <v>-0.1386</v>
      </c>
      <c r="DU165" s="231">
        <v>1000</v>
      </c>
      <c r="DV165" s="228">
        <v>850</v>
      </c>
      <c r="DW165" s="228">
        <v>0.47</v>
      </c>
      <c r="DX165" s="228">
        <v>0.48</v>
      </c>
      <c r="DY165" s="228">
        <v>-0.01</v>
      </c>
      <c r="DZ165" s="229">
        <v>-2.0799999999999999E-2</v>
      </c>
      <c r="EA165" s="229">
        <v>0.83109999999999995</v>
      </c>
      <c r="EB165" s="230">
        <v>9088300</v>
      </c>
      <c r="EC165" s="229">
        <v>5.7000000000000002E-3</v>
      </c>
      <c r="ED165" s="229">
        <v>0.83109999999999995</v>
      </c>
      <c r="EE165" s="228">
        <v>5.55</v>
      </c>
      <c r="EF165" s="229">
        <v>6.0000000000000001E-3</v>
      </c>
      <c r="EG165" s="230">
        <v>622235</v>
      </c>
      <c r="EH165" s="230">
        <v>1069738</v>
      </c>
      <c r="EI165" s="229">
        <v>-0.41830000000000001</v>
      </c>
      <c r="EJ165" s="229">
        <v>0.308</v>
      </c>
      <c r="EK165" s="231">
        <v>1922.32</v>
      </c>
      <c r="EL165" s="228">
        <v>830.38</v>
      </c>
      <c r="EM165" s="231">
        <v>1327.49</v>
      </c>
      <c r="EN165" s="228">
        <v>106.31</v>
      </c>
      <c r="EO165" s="231">
        <v>4080.19</v>
      </c>
      <c r="EP165" s="231">
        <v>3686.05</v>
      </c>
      <c r="EQ165" s="228">
        <v>394.14</v>
      </c>
      <c r="ER165" s="229">
        <v>0.1069</v>
      </c>
      <c r="ES165" s="228">
        <v>627.45000000000005</v>
      </c>
      <c r="ET165" s="228">
        <v>495.1</v>
      </c>
      <c r="EU165" s="231">
        <v>1567.98</v>
      </c>
      <c r="EV165" s="231">
        <v>28062406</v>
      </c>
      <c r="EW165" s="231">
        <v>2690.53</v>
      </c>
      <c r="EX165" s="231">
        <v>2379.52</v>
      </c>
      <c r="EY165" s="228">
        <v>311.01</v>
      </c>
      <c r="EZ165" s="229">
        <v>0.13070000000000001</v>
      </c>
      <c r="FA165" s="229">
        <v>1.0410999999999999</v>
      </c>
      <c r="FB165" s="227" t="s">
        <v>555</v>
      </c>
      <c r="FC165">
        <f t="shared" si="3"/>
        <v>0</v>
      </c>
    </row>
    <row r="166" spans="1:159" ht="17.25" thickBot="1" x14ac:dyDescent="0.3">
      <c r="A166" s="226">
        <v>45957</v>
      </c>
      <c r="B166" s="227" t="s">
        <v>615</v>
      </c>
      <c r="C166" s="227" t="s">
        <v>573</v>
      </c>
      <c r="D166" s="228">
        <v>350</v>
      </c>
      <c r="E166" s="228">
        <v>1</v>
      </c>
      <c r="F166" s="231">
        <v>1751.8</v>
      </c>
      <c r="G166" s="231">
        <v>1687</v>
      </c>
      <c r="H166" s="228">
        <v>64.8</v>
      </c>
      <c r="I166" s="229">
        <v>3.8399999999999997E-2</v>
      </c>
      <c r="J166" s="231">
        <v>1749.4</v>
      </c>
      <c r="K166" s="231">
        <v>1685.7</v>
      </c>
      <c r="L166" s="228">
        <v>63.7</v>
      </c>
      <c r="M166" s="229">
        <v>3.78E-2</v>
      </c>
      <c r="N166" s="231">
        <v>1751.8</v>
      </c>
      <c r="O166" s="231">
        <v>1687</v>
      </c>
      <c r="P166" s="228">
        <v>64.8</v>
      </c>
      <c r="Q166" s="229">
        <v>3.8399999999999997E-2</v>
      </c>
      <c r="R166" s="231">
        <v>1761.5</v>
      </c>
      <c r="S166" s="231">
        <v>1696.4</v>
      </c>
      <c r="T166" s="228">
        <v>65.099999999999994</v>
      </c>
      <c r="U166" s="229">
        <v>3.8399999999999997E-2</v>
      </c>
      <c r="V166" s="231">
        <v>1768.8</v>
      </c>
      <c r="W166" s="231">
        <v>1706.9</v>
      </c>
      <c r="X166" s="228">
        <v>61.9</v>
      </c>
      <c r="Y166" s="229">
        <v>3.6299999999999999E-2</v>
      </c>
      <c r="Z166" s="228">
        <v>2.4</v>
      </c>
      <c r="AA166" s="228">
        <v>1.3</v>
      </c>
      <c r="AB166" s="228">
        <v>1.1000000000000001</v>
      </c>
      <c r="AC166" s="229">
        <v>1.4E-3</v>
      </c>
      <c r="AD166" s="228">
        <v>2.4</v>
      </c>
      <c r="AE166" s="228">
        <v>1.3</v>
      </c>
      <c r="AF166" s="228">
        <v>1.1000000000000001</v>
      </c>
      <c r="AG166" s="229">
        <v>1.4E-3</v>
      </c>
      <c r="AH166" s="228">
        <v>12.1</v>
      </c>
      <c r="AI166" s="228">
        <v>10.7</v>
      </c>
      <c r="AJ166" s="228">
        <v>1.4</v>
      </c>
      <c r="AK166" s="229">
        <v>6.8999999999999999E-3</v>
      </c>
      <c r="AL166" s="228">
        <v>19.399999999999999</v>
      </c>
      <c r="AM166" s="228">
        <v>21.2</v>
      </c>
      <c r="AN166" s="228">
        <v>-1.8</v>
      </c>
      <c r="AO166" s="229">
        <v>1.11E-2</v>
      </c>
      <c r="AP166" s="231">
        <v>1720.79</v>
      </c>
      <c r="AQ166" s="231">
        <v>1733.24</v>
      </c>
      <c r="AR166" s="228">
        <v>0</v>
      </c>
      <c r="AS166" s="230">
        <v>1590</v>
      </c>
      <c r="AT166" s="230">
        <v>1276</v>
      </c>
      <c r="AU166" s="228">
        <v>314</v>
      </c>
      <c r="AV166" s="229">
        <v>0.246</v>
      </c>
      <c r="AW166" s="228">
        <v>680</v>
      </c>
      <c r="AX166" s="228">
        <v>639</v>
      </c>
      <c r="AY166" s="228">
        <v>41</v>
      </c>
      <c r="AZ166" s="229">
        <v>6.4799999999999996E-2</v>
      </c>
      <c r="BA166" s="228">
        <v>907</v>
      </c>
      <c r="BB166" s="228">
        <v>637</v>
      </c>
      <c r="BC166" s="228">
        <v>270</v>
      </c>
      <c r="BD166" s="229">
        <v>0.42459999999999998</v>
      </c>
      <c r="BE166" s="228">
        <v>3</v>
      </c>
      <c r="BF166" s="228">
        <v>1</v>
      </c>
      <c r="BG166" s="228">
        <v>2</v>
      </c>
      <c r="BH166" s="229">
        <v>2.3125</v>
      </c>
      <c r="BI166" s="230">
        <v>1284</v>
      </c>
      <c r="BJ166" s="228">
        <v>703</v>
      </c>
      <c r="BK166" s="228">
        <v>581</v>
      </c>
      <c r="BL166" s="229">
        <v>0.82540000000000002</v>
      </c>
      <c r="BM166" s="228">
        <v>340</v>
      </c>
      <c r="BN166" s="228">
        <v>268</v>
      </c>
      <c r="BO166" s="228">
        <v>72</v>
      </c>
      <c r="BP166" s="229">
        <v>0.27029999999999998</v>
      </c>
      <c r="BQ166" s="230">
        <v>3214</v>
      </c>
      <c r="BR166" s="230">
        <v>2247</v>
      </c>
      <c r="BS166" s="228">
        <v>967</v>
      </c>
      <c r="BT166" s="229">
        <v>0.43030000000000002</v>
      </c>
      <c r="BU166" s="230">
        <v>1401878</v>
      </c>
      <c r="BV166" s="230">
        <v>1009642</v>
      </c>
      <c r="BW166" s="230">
        <v>392236</v>
      </c>
      <c r="BX166" s="229">
        <v>0.38850000000000001</v>
      </c>
      <c r="BY166" s="230">
        <v>1540</v>
      </c>
      <c r="BZ166" s="230">
        <v>1557</v>
      </c>
      <c r="CA166" s="228">
        <v>-17</v>
      </c>
      <c r="CB166" s="229">
        <v>-1.0800000000000001E-2</v>
      </c>
      <c r="CC166" s="228">
        <v>194</v>
      </c>
      <c r="CD166" s="228">
        <v>706</v>
      </c>
      <c r="CE166" s="228">
        <v>-512</v>
      </c>
      <c r="CF166" s="229">
        <v>-0.7248</v>
      </c>
      <c r="CG166" s="230">
        <v>1342</v>
      </c>
      <c r="CH166" s="228">
        <v>848</v>
      </c>
      <c r="CI166" s="228">
        <v>495</v>
      </c>
      <c r="CJ166" s="229">
        <v>0.58330000000000004</v>
      </c>
      <c r="CK166" s="228">
        <v>4</v>
      </c>
      <c r="CL166" s="228">
        <v>3</v>
      </c>
      <c r="CM166" s="228">
        <v>0</v>
      </c>
      <c r="CN166" s="229">
        <v>0.16</v>
      </c>
      <c r="CO166" s="228">
        <v>235</v>
      </c>
      <c r="CP166" s="228">
        <v>214</v>
      </c>
      <c r="CQ166" s="228">
        <v>21</v>
      </c>
      <c r="CR166" s="229">
        <v>9.8699999999999996E-2</v>
      </c>
      <c r="CS166" s="228">
        <v>168</v>
      </c>
      <c r="CT166" s="228">
        <v>177</v>
      </c>
      <c r="CU166" s="228">
        <v>-9</v>
      </c>
      <c r="CV166" s="229">
        <v>-5.33E-2</v>
      </c>
      <c r="CW166" s="230">
        <v>1943</v>
      </c>
      <c r="CX166" s="230">
        <v>1948</v>
      </c>
      <c r="CY166" s="228">
        <v>-5</v>
      </c>
      <c r="CZ166" s="229">
        <v>-2.5999999999999999E-3</v>
      </c>
      <c r="DA166" s="228">
        <v>35.270000000000003</v>
      </c>
      <c r="DB166" s="228">
        <v>36.89</v>
      </c>
      <c r="DC166" s="228">
        <v>-1.62</v>
      </c>
      <c r="DD166" s="228">
        <v>-1.62</v>
      </c>
      <c r="DE166" s="228">
        <v>47.31</v>
      </c>
      <c r="DF166" s="228">
        <v>47.16</v>
      </c>
      <c r="DG166" s="228">
        <v>-12.04</v>
      </c>
      <c r="DH166" s="228">
        <v>0.15</v>
      </c>
      <c r="DI166" s="228">
        <v>35.22</v>
      </c>
      <c r="DJ166" s="228">
        <v>36.75</v>
      </c>
      <c r="DK166" s="228">
        <v>-1.53</v>
      </c>
      <c r="DL166" s="228">
        <v>-1.53</v>
      </c>
      <c r="DM166" s="228">
        <v>35.42</v>
      </c>
      <c r="DN166" s="228">
        <v>37.14</v>
      </c>
      <c r="DO166" s="228">
        <v>-1.72</v>
      </c>
      <c r="DP166" s="228">
        <v>-1.72</v>
      </c>
      <c r="DQ166" s="228">
        <v>0.71</v>
      </c>
      <c r="DR166" s="228">
        <v>0.83</v>
      </c>
      <c r="DS166" s="228">
        <v>-0.12</v>
      </c>
      <c r="DT166" s="229">
        <v>-0.14460000000000001</v>
      </c>
      <c r="DU166" s="231">
        <v>1800</v>
      </c>
      <c r="DV166" s="231">
        <v>1600</v>
      </c>
      <c r="DW166" s="228">
        <v>0.26</v>
      </c>
      <c r="DX166" s="228">
        <v>0.38</v>
      </c>
      <c r="DY166" s="228">
        <v>-0.12</v>
      </c>
      <c r="DZ166" s="229">
        <v>-0.31580000000000003</v>
      </c>
      <c r="EA166" s="229">
        <v>0.87380000000000002</v>
      </c>
      <c r="EB166" s="230">
        <v>4857650</v>
      </c>
      <c r="EC166" s="229">
        <v>5.4999999999999997E-3</v>
      </c>
      <c r="ED166" s="229">
        <v>0.87380000000000002</v>
      </c>
      <c r="EE166" s="228">
        <v>12.45</v>
      </c>
      <c r="EF166" s="229">
        <v>7.1999999999999998E-3</v>
      </c>
      <c r="EG166" s="230">
        <v>651672</v>
      </c>
      <c r="EH166" s="230">
        <v>551746</v>
      </c>
      <c r="EI166" s="229">
        <v>0.18110000000000001</v>
      </c>
      <c r="EJ166" s="229">
        <v>0.46489999999999998</v>
      </c>
      <c r="EK166" s="231">
        <v>1304.92</v>
      </c>
      <c r="EL166" s="228">
        <v>330.34</v>
      </c>
      <c r="EM166" s="231">
        <v>1568.55</v>
      </c>
      <c r="EN166" s="228">
        <v>108.67</v>
      </c>
      <c r="EO166" s="231">
        <v>3203.81</v>
      </c>
      <c r="EP166" s="231">
        <v>2166.91</v>
      </c>
      <c r="EQ166" s="231">
        <v>1036.9100000000001</v>
      </c>
      <c r="ER166" s="229">
        <v>0.47849999999999998</v>
      </c>
      <c r="ES166" s="228">
        <v>243.98</v>
      </c>
      <c r="ET166" s="228">
        <v>158.19999999999999</v>
      </c>
      <c r="EU166" s="231">
        <v>1547.83</v>
      </c>
      <c r="EV166" s="231">
        <v>51720057</v>
      </c>
      <c r="EW166" s="231">
        <v>1950.01</v>
      </c>
      <c r="EX166" s="231">
        <v>1888.74</v>
      </c>
      <c r="EY166" s="228">
        <v>61.27</v>
      </c>
      <c r="EZ166" s="229">
        <v>3.2399999999999998E-2</v>
      </c>
      <c r="FA166" s="229">
        <v>0.21440000000000001</v>
      </c>
      <c r="FB166" s="227" t="s">
        <v>556</v>
      </c>
      <c r="FC166">
        <f t="shared" si="3"/>
        <v>0</v>
      </c>
    </row>
    <row r="167" spans="1:159" ht="17.25" thickBot="1" x14ac:dyDescent="0.3">
      <c r="A167" s="226">
        <v>45957</v>
      </c>
      <c r="B167" s="227" t="s">
        <v>184</v>
      </c>
      <c r="C167" s="227" t="s">
        <v>519</v>
      </c>
      <c r="D167" s="228">
        <v>125</v>
      </c>
      <c r="E167" s="228">
        <v>1</v>
      </c>
      <c r="F167" s="231">
        <v>7664</v>
      </c>
      <c r="G167" s="231">
        <v>7499.5</v>
      </c>
      <c r="H167" s="228">
        <v>164.5</v>
      </c>
      <c r="I167" s="229">
        <v>2.1899999999999999E-2</v>
      </c>
      <c r="J167" s="231">
        <v>7666.5</v>
      </c>
      <c r="K167" s="231">
        <v>7513</v>
      </c>
      <c r="L167" s="228">
        <v>153.5</v>
      </c>
      <c r="M167" s="229">
        <v>2.0400000000000001E-2</v>
      </c>
      <c r="N167" s="231">
        <v>7664</v>
      </c>
      <c r="O167" s="231">
        <v>7499.5</v>
      </c>
      <c r="P167" s="228">
        <v>164.5</v>
      </c>
      <c r="Q167" s="229">
        <v>2.1899999999999999E-2</v>
      </c>
      <c r="R167" s="231">
        <v>7717</v>
      </c>
      <c r="S167" s="231">
        <v>7546</v>
      </c>
      <c r="T167" s="228">
        <v>171</v>
      </c>
      <c r="U167" s="229">
        <v>2.2700000000000001E-2</v>
      </c>
      <c r="V167" s="231">
        <v>7765.5</v>
      </c>
      <c r="W167" s="231">
        <v>7588</v>
      </c>
      <c r="X167" s="228">
        <v>177.5</v>
      </c>
      <c r="Y167" s="229">
        <v>2.3400000000000001E-2</v>
      </c>
      <c r="Z167" s="228">
        <v>-2.5</v>
      </c>
      <c r="AA167" s="228">
        <v>-13.5</v>
      </c>
      <c r="AB167" s="228">
        <v>11</v>
      </c>
      <c r="AC167" s="229">
        <v>-2.9999999999999997E-4</v>
      </c>
      <c r="AD167" s="228">
        <v>-2.5</v>
      </c>
      <c r="AE167" s="228">
        <v>-13.5</v>
      </c>
      <c r="AF167" s="228">
        <v>11</v>
      </c>
      <c r="AG167" s="229">
        <v>-2.9999999999999997E-4</v>
      </c>
      <c r="AH167" s="228">
        <v>50.5</v>
      </c>
      <c r="AI167" s="228">
        <v>33</v>
      </c>
      <c r="AJ167" s="228">
        <v>17.5</v>
      </c>
      <c r="AK167" s="229">
        <v>6.6E-3</v>
      </c>
      <c r="AL167" s="228">
        <v>99</v>
      </c>
      <c r="AM167" s="228">
        <v>75</v>
      </c>
      <c r="AN167" s="228">
        <v>24</v>
      </c>
      <c r="AO167" s="229">
        <v>1.29E-2</v>
      </c>
      <c r="AP167" s="231">
        <v>7646.08</v>
      </c>
      <c r="AQ167" s="231">
        <v>7695.77</v>
      </c>
      <c r="AR167" s="228">
        <v>0</v>
      </c>
      <c r="AS167" s="228">
        <v>971</v>
      </c>
      <c r="AT167" s="230">
        <v>1362</v>
      </c>
      <c r="AU167" s="228">
        <v>-392</v>
      </c>
      <c r="AV167" s="229">
        <v>-0.28749999999999998</v>
      </c>
      <c r="AW167" s="228">
        <v>477</v>
      </c>
      <c r="AX167" s="228">
        <v>751</v>
      </c>
      <c r="AY167" s="228">
        <v>-274</v>
      </c>
      <c r="AZ167" s="229">
        <v>-0.36509999999999998</v>
      </c>
      <c r="BA167" s="228">
        <v>486</v>
      </c>
      <c r="BB167" s="228">
        <v>609</v>
      </c>
      <c r="BC167" s="228">
        <v>-123</v>
      </c>
      <c r="BD167" s="229">
        <v>-0.2016</v>
      </c>
      <c r="BE167" s="228">
        <v>8</v>
      </c>
      <c r="BF167" s="228">
        <v>2</v>
      </c>
      <c r="BG167" s="228">
        <v>5</v>
      </c>
      <c r="BH167" s="229">
        <v>2.0769000000000002</v>
      </c>
      <c r="BI167" s="230">
        <v>1869</v>
      </c>
      <c r="BJ167" s="230">
        <v>2175</v>
      </c>
      <c r="BK167" s="228">
        <v>-306</v>
      </c>
      <c r="BL167" s="229">
        <v>-0.14069999999999999</v>
      </c>
      <c r="BM167" s="230">
        <v>1209</v>
      </c>
      <c r="BN167" s="230">
        <v>1617</v>
      </c>
      <c r="BO167" s="228">
        <v>-408</v>
      </c>
      <c r="BP167" s="229">
        <v>-0.25230000000000002</v>
      </c>
      <c r="BQ167" s="230">
        <v>4049</v>
      </c>
      <c r="BR167" s="230">
        <v>5155</v>
      </c>
      <c r="BS167" s="230">
        <v>-1106</v>
      </c>
      <c r="BT167" s="229">
        <v>-0.2145</v>
      </c>
      <c r="BU167" s="230">
        <v>291416</v>
      </c>
      <c r="BV167" s="230">
        <v>208020</v>
      </c>
      <c r="BW167" s="230">
        <v>83396</v>
      </c>
      <c r="BX167" s="229">
        <v>0.40089999999999998</v>
      </c>
      <c r="BY167" s="230">
        <v>1400</v>
      </c>
      <c r="BZ167" s="230">
        <v>1378</v>
      </c>
      <c r="CA167" s="228">
        <v>21</v>
      </c>
      <c r="CB167" s="229">
        <v>1.5599999999999999E-2</v>
      </c>
      <c r="CC167" s="228">
        <v>351</v>
      </c>
      <c r="CD167" s="228">
        <v>557</v>
      </c>
      <c r="CE167" s="228">
        <v>-207</v>
      </c>
      <c r="CF167" s="229">
        <v>-0.37090000000000001</v>
      </c>
      <c r="CG167" s="230">
        <v>1036</v>
      </c>
      <c r="CH167" s="228">
        <v>810</v>
      </c>
      <c r="CI167" s="228">
        <v>226</v>
      </c>
      <c r="CJ167" s="229">
        <v>0.27950000000000003</v>
      </c>
      <c r="CK167" s="228">
        <v>13</v>
      </c>
      <c r="CL167" s="228">
        <v>11</v>
      </c>
      <c r="CM167" s="228">
        <v>2</v>
      </c>
      <c r="CN167" s="229">
        <v>0.16950000000000001</v>
      </c>
      <c r="CO167" s="228">
        <v>736</v>
      </c>
      <c r="CP167" s="228">
        <v>951</v>
      </c>
      <c r="CQ167" s="228">
        <v>-215</v>
      </c>
      <c r="CR167" s="229">
        <v>-0.22600000000000001</v>
      </c>
      <c r="CS167" s="228">
        <v>564</v>
      </c>
      <c r="CT167" s="228">
        <v>582</v>
      </c>
      <c r="CU167" s="228">
        <v>-19</v>
      </c>
      <c r="CV167" s="229">
        <v>-3.2099999999999997E-2</v>
      </c>
      <c r="CW167" s="230">
        <v>2700</v>
      </c>
      <c r="CX167" s="230">
        <v>2912</v>
      </c>
      <c r="CY167" s="228">
        <v>-212</v>
      </c>
      <c r="CZ167" s="229">
        <v>-7.2900000000000006E-2</v>
      </c>
      <c r="DA167" s="228">
        <v>24.58</v>
      </c>
      <c r="DB167" s="228">
        <v>23.73</v>
      </c>
      <c r="DC167" s="228">
        <v>0.85</v>
      </c>
      <c r="DD167" s="228">
        <v>0.85</v>
      </c>
      <c r="DE167" s="228">
        <v>40.619999999999997</v>
      </c>
      <c r="DF167" s="228">
        <v>40.630000000000003</v>
      </c>
      <c r="DG167" s="228">
        <v>-16.04</v>
      </c>
      <c r="DH167" s="228">
        <v>-0.01</v>
      </c>
      <c r="DI167" s="228">
        <v>24.49</v>
      </c>
      <c r="DJ167" s="228">
        <v>23.64</v>
      </c>
      <c r="DK167" s="228">
        <v>0.85</v>
      </c>
      <c r="DL167" s="228">
        <v>0.85</v>
      </c>
      <c r="DM167" s="228">
        <v>24.79</v>
      </c>
      <c r="DN167" s="228">
        <v>23.83</v>
      </c>
      <c r="DO167" s="228">
        <v>0.96</v>
      </c>
      <c r="DP167" s="228">
        <v>0.96</v>
      </c>
      <c r="DQ167" s="228">
        <v>0.77</v>
      </c>
      <c r="DR167" s="228">
        <v>0.61</v>
      </c>
      <c r="DS167" s="228">
        <v>0.16</v>
      </c>
      <c r="DT167" s="229">
        <v>0.26229999999999998</v>
      </c>
      <c r="DU167" s="231">
        <v>8000</v>
      </c>
      <c r="DV167" s="231">
        <v>7200</v>
      </c>
      <c r="DW167" s="228">
        <v>0.65</v>
      </c>
      <c r="DX167" s="228">
        <v>0.74</v>
      </c>
      <c r="DY167" s="228">
        <v>-0.09</v>
      </c>
      <c r="DZ167" s="229">
        <v>-0.1216</v>
      </c>
      <c r="EA167" s="229">
        <v>0.74950000000000006</v>
      </c>
      <c r="EB167" s="230">
        <v>1071250</v>
      </c>
      <c r="EC167" s="229">
        <v>6.8999999999999999E-3</v>
      </c>
      <c r="ED167" s="229">
        <v>0.74950000000000006</v>
      </c>
      <c r="EE167" s="228">
        <v>49.69</v>
      </c>
      <c r="EF167" s="229">
        <v>6.4999999999999997E-3</v>
      </c>
      <c r="EG167" s="230">
        <v>156927</v>
      </c>
      <c r="EH167" s="230">
        <v>102777</v>
      </c>
      <c r="EI167" s="229">
        <v>0.52690000000000003</v>
      </c>
      <c r="EJ167" s="229">
        <v>0.53849999999999998</v>
      </c>
      <c r="EK167" s="231">
        <v>1917.23</v>
      </c>
      <c r="EL167" s="231">
        <v>1170.8900000000001</v>
      </c>
      <c r="EM167" s="228">
        <v>971.63</v>
      </c>
      <c r="EN167" s="228">
        <v>82.13</v>
      </c>
      <c r="EO167" s="231">
        <v>4059.74</v>
      </c>
      <c r="EP167" s="231">
        <v>5110.92</v>
      </c>
      <c r="EQ167" s="231">
        <v>-1051.18</v>
      </c>
      <c r="ER167" s="229">
        <v>-0.20569999999999999</v>
      </c>
      <c r="ES167" s="228">
        <v>755.2</v>
      </c>
      <c r="ET167" s="228">
        <v>535.5</v>
      </c>
      <c r="EU167" s="231">
        <v>1407.17</v>
      </c>
      <c r="EV167" s="231">
        <v>8350688</v>
      </c>
      <c r="EW167" s="231">
        <v>2697.87</v>
      </c>
      <c r="EX167" s="231">
        <v>2879.52</v>
      </c>
      <c r="EY167" s="228">
        <v>-181.65</v>
      </c>
      <c r="EZ167" s="229">
        <v>-6.3100000000000003E-2</v>
      </c>
      <c r="FA167" s="229">
        <v>0.4219</v>
      </c>
      <c r="FB167" s="227" t="s">
        <v>555</v>
      </c>
      <c r="FC167">
        <f t="shared" si="3"/>
        <v>0</v>
      </c>
    </row>
    <row r="168" spans="1:159" ht="17.25" thickBot="1" x14ac:dyDescent="0.3">
      <c r="A168" s="226">
        <v>45957</v>
      </c>
      <c r="B168" s="227" t="s">
        <v>161</v>
      </c>
      <c r="C168" s="227" t="s">
        <v>276</v>
      </c>
      <c r="D168" s="228">
        <v>1900</v>
      </c>
      <c r="E168" s="228">
        <v>1</v>
      </c>
      <c r="F168" s="228">
        <v>291.7</v>
      </c>
      <c r="G168" s="228">
        <v>288.45</v>
      </c>
      <c r="H168" s="228">
        <v>3.25</v>
      </c>
      <c r="I168" s="229">
        <v>1.1299999999999999E-2</v>
      </c>
      <c r="J168" s="228">
        <v>291.05</v>
      </c>
      <c r="K168" s="228">
        <v>288.5</v>
      </c>
      <c r="L168" s="228">
        <v>2.5499999999999998</v>
      </c>
      <c r="M168" s="229">
        <v>8.8000000000000005E-3</v>
      </c>
      <c r="N168" s="228">
        <v>291.7</v>
      </c>
      <c r="O168" s="228">
        <v>288.45</v>
      </c>
      <c r="P168" s="228">
        <v>3.25</v>
      </c>
      <c r="Q168" s="229">
        <v>1.1299999999999999E-2</v>
      </c>
      <c r="R168" s="228">
        <v>289.05</v>
      </c>
      <c r="S168" s="228">
        <v>285.85000000000002</v>
      </c>
      <c r="T168" s="228">
        <v>3.2</v>
      </c>
      <c r="U168" s="229">
        <v>1.12E-2</v>
      </c>
      <c r="V168" s="228">
        <v>290.8</v>
      </c>
      <c r="W168" s="228">
        <v>287.5</v>
      </c>
      <c r="X168" s="228">
        <v>3.3</v>
      </c>
      <c r="Y168" s="229">
        <v>1.15E-2</v>
      </c>
      <c r="Z168" s="228">
        <v>0.65</v>
      </c>
      <c r="AA168" s="228">
        <v>-0.05</v>
      </c>
      <c r="AB168" s="228">
        <v>0.7</v>
      </c>
      <c r="AC168" s="229">
        <v>2.2000000000000001E-3</v>
      </c>
      <c r="AD168" s="228">
        <v>0.65</v>
      </c>
      <c r="AE168" s="228">
        <v>-0.05</v>
      </c>
      <c r="AF168" s="228">
        <v>0.7</v>
      </c>
      <c r="AG168" s="229">
        <v>2.2000000000000001E-3</v>
      </c>
      <c r="AH168" s="228">
        <v>-2</v>
      </c>
      <c r="AI168" s="228">
        <v>-2.65</v>
      </c>
      <c r="AJ168" s="228">
        <v>0.65</v>
      </c>
      <c r="AK168" s="229">
        <v>-6.8999999999999999E-3</v>
      </c>
      <c r="AL168" s="228">
        <v>-0.25</v>
      </c>
      <c r="AM168" s="228">
        <v>-1</v>
      </c>
      <c r="AN168" s="228">
        <v>0.75</v>
      </c>
      <c r="AO168" s="229">
        <v>-8.9999999999999998E-4</v>
      </c>
      <c r="AP168" s="228">
        <v>291.58999999999997</v>
      </c>
      <c r="AQ168" s="228">
        <v>288.95999999999998</v>
      </c>
      <c r="AR168" s="228">
        <v>0</v>
      </c>
      <c r="AS168" s="230">
        <v>1578</v>
      </c>
      <c r="AT168" s="230">
        <v>1297</v>
      </c>
      <c r="AU168" s="228">
        <v>281</v>
      </c>
      <c r="AV168" s="229">
        <v>0.21679999999999999</v>
      </c>
      <c r="AW168" s="228">
        <v>768</v>
      </c>
      <c r="AX168" s="228">
        <v>651</v>
      </c>
      <c r="AY168" s="228">
        <v>117</v>
      </c>
      <c r="AZ168" s="229">
        <v>0.17929999999999999</v>
      </c>
      <c r="BA168" s="228">
        <v>802</v>
      </c>
      <c r="BB168" s="228">
        <v>638</v>
      </c>
      <c r="BC168" s="228">
        <v>164</v>
      </c>
      <c r="BD168" s="229">
        <v>0.25719999999999998</v>
      </c>
      <c r="BE168" s="228">
        <v>9</v>
      </c>
      <c r="BF168" s="228">
        <v>8</v>
      </c>
      <c r="BG168" s="228">
        <v>0</v>
      </c>
      <c r="BH168" s="229">
        <v>5.3699999999999998E-2</v>
      </c>
      <c r="BI168" s="228">
        <v>816</v>
      </c>
      <c r="BJ168" s="228">
        <v>814</v>
      </c>
      <c r="BK168" s="228">
        <v>1</v>
      </c>
      <c r="BL168" s="229">
        <v>1.6000000000000001E-3</v>
      </c>
      <c r="BM168" s="228">
        <v>414</v>
      </c>
      <c r="BN168" s="228">
        <v>408</v>
      </c>
      <c r="BO168" s="228">
        <v>5</v>
      </c>
      <c r="BP168" s="229">
        <v>1.34E-2</v>
      </c>
      <c r="BQ168" s="230">
        <v>2808</v>
      </c>
      <c r="BR168" s="230">
        <v>2520</v>
      </c>
      <c r="BS168" s="228">
        <v>288</v>
      </c>
      <c r="BT168" s="229">
        <v>0.1143</v>
      </c>
      <c r="BU168" s="230">
        <v>13673864</v>
      </c>
      <c r="BV168" s="230">
        <v>20947082</v>
      </c>
      <c r="BW168" s="230">
        <v>-7273218</v>
      </c>
      <c r="BX168" s="229">
        <v>-0.34720000000000001</v>
      </c>
      <c r="BY168" s="230">
        <v>2425</v>
      </c>
      <c r="BZ168" s="230">
        <v>2351</v>
      </c>
      <c r="CA168" s="228">
        <v>74</v>
      </c>
      <c r="CB168" s="229">
        <v>3.15E-2</v>
      </c>
      <c r="CC168" s="228">
        <v>750</v>
      </c>
      <c r="CD168" s="230">
        <v>1284</v>
      </c>
      <c r="CE168" s="228">
        <v>-534</v>
      </c>
      <c r="CF168" s="229">
        <v>-0.41599999999999998</v>
      </c>
      <c r="CG168" s="230">
        <v>1659</v>
      </c>
      <c r="CH168" s="230">
        <v>1052</v>
      </c>
      <c r="CI168" s="228">
        <v>607</v>
      </c>
      <c r="CJ168" s="229">
        <v>0.57679999999999998</v>
      </c>
      <c r="CK168" s="228">
        <v>16</v>
      </c>
      <c r="CL168" s="228">
        <v>15</v>
      </c>
      <c r="CM168" s="228">
        <v>1</v>
      </c>
      <c r="CN168" s="229">
        <v>8.1199999999999994E-2</v>
      </c>
      <c r="CO168" s="228">
        <v>792</v>
      </c>
      <c r="CP168" s="228">
        <v>829</v>
      </c>
      <c r="CQ168" s="228">
        <v>-37</v>
      </c>
      <c r="CR168" s="229">
        <v>-4.48E-2</v>
      </c>
      <c r="CS168" s="228">
        <v>444</v>
      </c>
      <c r="CT168" s="228">
        <v>441</v>
      </c>
      <c r="CU168" s="228">
        <v>4</v>
      </c>
      <c r="CV168" s="229">
        <v>8.6E-3</v>
      </c>
      <c r="CW168" s="230">
        <v>3662</v>
      </c>
      <c r="CX168" s="230">
        <v>3621</v>
      </c>
      <c r="CY168" s="228">
        <v>41</v>
      </c>
      <c r="CZ168" s="229">
        <v>1.12E-2</v>
      </c>
      <c r="DA168" s="228">
        <v>21.3</v>
      </c>
      <c r="DB168" s="228">
        <v>20.350000000000001</v>
      </c>
      <c r="DC168" s="228">
        <v>0.95</v>
      </c>
      <c r="DD168" s="228">
        <v>0.95</v>
      </c>
      <c r="DE168" s="228">
        <v>29.01</v>
      </c>
      <c r="DF168" s="228">
        <v>29.06</v>
      </c>
      <c r="DG168" s="228">
        <v>-7.71</v>
      </c>
      <c r="DH168" s="228">
        <v>-0.05</v>
      </c>
      <c r="DI168" s="228">
        <v>21.58</v>
      </c>
      <c r="DJ168" s="228">
        <v>20.55</v>
      </c>
      <c r="DK168" s="228">
        <v>1.03</v>
      </c>
      <c r="DL168" s="228">
        <v>1.03</v>
      </c>
      <c r="DM168" s="228">
        <v>20.84</v>
      </c>
      <c r="DN168" s="228">
        <v>20</v>
      </c>
      <c r="DO168" s="228">
        <v>0.84</v>
      </c>
      <c r="DP168" s="228">
        <v>0.84</v>
      </c>
      <c r="DQ168" s="228">
        <v>0.56000000000000005</v>
      </c>
      <c r="DR168" s="228">
        <v>0.53</v>
      </c>
      <c r="DS168" s="228">
        <v>0.03</v>
      </c>
      <c r="DT168" s="229">
        <v>5.6599999999999998E-2</v>
      </c>
      <c r="DU168" s="228">
        <v>300</v>
      </c>
      <c r="DV168" s="228">
        <v>290</v>
      </c>
      <c r="DW168" s="228">
        <v>0.51</v>
      </c>
      <c r="DX168" s="228">
        <v>0.5</v>
      </c>
      <c r="DY168" s="228">
        <v>0.01</v>
      </c>
      <c r="DZ168" s="229">
        <v>0.02</v>
      </c>
      <c r="EA168" s="229">
        <v>0.69089999999999996</v>
      </c>
      <c r="EB168" s="230">
        <v>36588300</v>
      </c>
      <c r="EC168" s="229">
        <v>-9.1000000000000004E-3</v>
      </c>
      <c r="ED168" s="229">
        <v>0.69089999999999996</v>
      </c>
      <c r="EE168" s="228">
        <v>-2.63</v>
      </c>
      <c r="EF168" s="229">
        <v>-8.9999999999999993E-3</v>
      </c>
      <c r="EG168" s="230">
        <v>9905658</v>
      </c>
      <c r="EH168" s="230">
        <v>16972219</v>
      </c>
      <c r="EI168" s="229">
        <v>-0.41639999999999999</v>
      </c>
      <c r="EJ168" s="229">
        <v>0.72440000000000004</v>
      </c>
      <c r="EK168" s="228">
        <v>828.2</v>
      </c>
      <c r="EL168" s="228">
        <v>412.68</v>
      </c>
      <c r="EM168" s="231">
        <v>1570.54</v>
      </c>
      <c r="EN168" s="228">
        <v>120.69</v>
      </c>
      <c r="EO168" s="231">
        <v>2811.42</v>
      </c>
      <c r="EP168" s="231">
        <v>2510.12</v>
      </c>
      <c r="EQ168" s="228">
        <v>301.3</v>
      </c>
      <c r="ER168" s="229">
        <v>0.12</v>
      </c>
      <c r="ES168" s="228">
        <v>815.78</v>
      </c>
      <c r="ET168" s="228">
        <v>435.68</v>
      </c>
      <c r="EU168" s="231">
        <v>2410.13</v>
      </c>
      <c r="EV168" s="231">
        <v>488832949</v>
      </c>
      <c r="EW168" s="231">
        <v>3661.59</v>
      </c>
      <c r="EX168" s="231">
        <v>3599.27</v>
      </c>
      <c r="EY168" s="228">
        <v>62.32</v>
      </c>
      <c r="EZ168" s="229">
        <v>1.7299999999999999E-2</v>
      </c>
      <c r="FA168" s="229">
        <v>0.25679999999999997</v>
      </c>
      <c r="FB168" s="227" t="s">
        <v>555</v>
      </c>
      <c r="FC168">
        <f t="shared" si="3"/>
        <v>0</v>
      </c>
    </row>
    <row r="169" spans="1:159" ht="17.25" thickBot="1" x14ac:dyDescent="0.3">
      <c r="A169" s="226">
        <v>45957</v>
      </c>
      <c r="B169" s="227" t="s">
        <v>184</v>
      </c>
      <c r="C169" s="227" t="s">
        <v>688</v>
      </c>
      <c r="D169" s="228">
        <v>50</v>
      </c>
      <c r="E169" s="228">
        <v>1</v>
      </c>
      <c r="F169" s="231">
        <v>16686</v>
      </c>
      <c r="G169" s="231">
        <v>16780</v>
      </c>
      <c r="H169" s="228">
        <v>-94</v>
      </c>
      <c r="I169" s="229">
        <v>-5.5999999999999999E-3</v>
      </c>
      <c r="J169" s="231">
        <v>16655</v>
      </c>
      <c r="K169" s="231">
        <v>16767</v>
      </c>
      <c r="L169" s="228">
        <v>-112</v>
      </c>
      <c r="M169" s="229">
        <v>-6.7000000000000002E-3</v>
      </c>
      <c r="N169" s="231">
        <v>16686</v>
      </c>
      <c r="O169" s="231">
        <v>16780</v>
      </c>
      <c r="P169" s="228">
        <v>-94</v>
      </c>
      <c r="Q169" s="229">
        <v>-5.5999999999999999E-3</v>
      </c>
      <c r="R169" s="231">
        <v>16768</v>
      </c>
      <c r="S169" s="231">
        <v>16884</v>
      </c>
      <c r="T169" s="228">
        <v>-116</v>
      </c>
      <c r="U169" s="229">
        <v>-6.8999999999999999E-3</v>
      </c>
      <c r="V169" s="231">
        <v>16906</v>
      </c>
      <c r="W169" s="231">
        <v>17308</v>
      </c>
      <c r="X169" s="228">
        <v>-402</v>
      </c>
      <c r="Y169" s="229">
        <v>-2.3199999999999998E-2</v>
      </c>
      <c r="Z169" s="228">
        <v>31</v>
      </c>
      <c r="AA169" s="228">
        <v>13</v>
      </c>
      <c r="AB169" s="228">
        <v>18</v>
      </c>
      <c r="AC169" s="229">
        <v>1.9E-3</v>
      </c>
      <c r="AD169" s="228">
        <v>31</v>
      </c>
      <c r="AE169" s="228">
        <v>13</v>
      </c>
      <c r="AF169" s="228">
        <v>18</v>
      </c>
      <c r="AG169" s="229">
        <v>1.9E-3</v>
      </c>
      <c r="AH169" s="228">
        <v>113</v>
      </c>
      <c r="AI169" s="228">
        <v>117</v>
      </c>
      <c r="AJ169" s="228">
        <v>-4</v>
      </c>
      <c r="AK169" s="229">
        <v>6.7999999999999996E-3</v>
      </c>
      <c r="AL169" s="228">
        <v>251</v>
      </c>
      <c r="AM169" s="228">
        <v>541</v>
      </c>
      <c r="AN169" s="228">
        <v>-290</v>
      </c>
      <c r="AO169" s="229">
        <v>1.5100000000000001E-2</v>
      </c>
      <c r="AP169" s="231">
        <v>16803.97</v>
      </c>
      <c r="AQ169" s="231">
        <v>16887.689999999999</v>
      </c>
      <c r="AR169" s="228">
        <v>0</v>
      </c>
      <c r="AS169" s="228">
        <v>243</v>
      </c>
      <c r="AT169" s="228">
        <v>235</v>
      </c>
      <c r="AU169" s="228">
        <v>8</v>
      </c>
      <c r="AV169" s="229">
        <v>3.27E-2</v>
      </c>
      <c r="AW169" s="228">
        <v>77</v>
      </c>
      <c r="AX169" s="228">
        <v>120</v>
      </c>
      <c r="AY169" s="228">
        <v>-43</v>
      </c>
      <c r="AZ169" s="229">
        <v>-0.36099999999999999</v>
      </c>
      <c r="BA169" s="228">
        <v>165</v>
      </c>
      <c r="BB169" s="228">
        <v>115</v>
      </c>
      <c r="BC169" s="228">
        <v>50</v>
      </c>
      <c r="BD169" s="229">
        <v>0.43080000000000002</v>
      </c>
      <c r="BE169" s="228">
        <v>1</v>
      </c>
      <c r="BF169" s="228">
        <v>0</v>
      </c>
      <c r="BG169" s="228">
        <v>1</v>
      </c>
      <c r="BH169" s="229">
        <v>0</v>
      </c>
      <c r="BI169" s="228">
        <v>297</v>
      </c>
      <c r="BJ169" s="228">
        <v>202</v>
      </c>
      <c r="BK169" s="228">
        <v>95</v>
      </c>
      <c r="BL169" s="229">
        <v>0.47020000000000001</v>
      </c>
      <c r="BM169" s="228">
        <v>304</v>
      </c>
      <c r="BN169" s="228">
        <v>37</v>
      </c>
      <c r="BO169" s="228">
        <v>267</v>
      </c>
      <c r="BP169" s="229">
        <v>7.2864000000000004</v>
      </c>
      <c r="BQ169" s="228">
        <v>843</v>
      </c>
      <c r="BR169" s="228">
        <v>473</v>
      </c>
      <c r="BS169" s="228">
        <v>370</v>
      </c>
      <c r="BT169" s="229">
        <v>0.78159999999999996</v>
      </c>
      <c r="BU169" s="230">
        <v>116475</v>
      </c>
      <c r="BV169" s="230">
        <v>73320</v>
      </c>
      <c r="BW169" s="230">
        <v>43155</v>
      </c>
      <c r="BX169" s="229">
        <v>0.58860000000000001</v>
      </c>
      <c r="BY169" s="228">
        <v>251</v>
      </c>
      <c r="BZ169" s="228">
        <v>208</v>
      </c>
      <c r="CA169" s="228">
        <v>43</v>
      </c>
      <c r="CB169" s="229">
        <v>0.2092</v>
      </c>
      <c r="CC169" s="228">
        <v>38</v>
      </c>
      <c r="CD169" s="228">
        <v>89</v>
      </c>
      <c r="CE169" s="228">
        <v>-51</v>
      </c>
      <c r="CF169" s="229">
        <v>-0.5756</v>
      </c>
      <c r="CG169" s="228">
        <v>211</v>
      </c>
      <c r="CH169" s="228">
        <v>118</v>
      </c>
      <c r="CI169" s="228">
        <v>94</v>
      </c>
      <c r="CJ169" s="229">
        <v>0.79530000000000001</v>
      </c>
      <c r="CK169" s="228">
        <v>2</v>
      </c>
      <c r="CL169" s="228">
        <v>1</v>
      </c>
      <c r="CM169" s="228">
        <v>1</v>
      </c>
      <c r="CN169" s="229">
        <v>2.5</v>
      </c>
      <c r="CO169" s="228">
        <v>140</v>
      </c>
      <c r="CP169" s="228">
        <v>157</v>
      </c>
      <c r="CQ169" s="228">
        <v>-17</v>
      </c>
      <c r="CR169" s="229">
        <v>-0.1105</v>
      </c>
      <c r="CS169" s="228">
        <v>35</v>
      </c>
      <c r="CT169" s="228">
        <v>32</v>
      </c>
      <c r="CU169" s="228">
        <v>3</v>
      </c>
      <c r="CV169" s="229">
        <v>7.7700000000000005E-2</v>
      </c>
      <c r="CW169" s="228">
        <v>426</v>
      </c>
      <c r="CX169" s="228">
        <v>397</v>
      </c>
      <c r="CY169" s="228">
        <v>29</v>
      </c>
      <c r="CZ169" s="229">
        <v>7.2099999999999997E-2</v>
      </c>
      <c r="DA169" s="228">
        <v>41.1</v>
      </c>
      <c r="DB169" s="228">
        <v>40.130000000000003</v>
      </c>
      <c r="DC169" s="228">
        <v>0.97</v>
      </c>
      <c r="DD169" s="228">
        <v>0.97</v>
      </c>
      <c r="DE169" s="228">
        <v>57.28</v>
      </c>
      <c r="DF169" s="228">
        <v>57.42</v>
      </c>
      <c r="DG169" s="228">
        <v>-16.18</v>
      </c>
      <c r="DH169" s="228">
        <v>-0.14000000000000001</v>
      </c>
      <c r="DI169" s="228">
        <v>41.54</v>
      </c>
      <c r="DJ169" s="228">
        <v>40.18</v>
      </c>
      <c r="DK169" s="228">
        <v>1.36</v>
      </c>
      <c r="DL169" s="228">
        <v>1.36</v>
      </c>
      <c r="DM169" s="228">
        <v>39.409999999999997</v>
      </c>
      <c r="DN169" s="228">
        <v>40.08</v>
      </c>
      <c r="DO169" s="228">
        <v>-0.67</v>
      </c>
      <c r="DP169" s="228">
        <v>-0.67</v>
      </c>
      <c r="DQ169" s="228">
        <v>0.25</v>
      </c>
      <c r="DR169" s="228">
        <v>0.21</v>
      </c>
      <c r="DS169" s="228">
        <v>0.04</v>
      </c>
      <c r="DT169" s="229">
        <v>0.1905</v>
      </c>
      <c r="DU169" s="231">
        <v>18000</v>
      </c>
      <c r="DV169" s="231">
        <v>16500</v>
      </c>
      <c r="DW169" s="228">
        <v>1.03</v>
      </c>
      <c r="DX169" s="228">
        <v>0.18</v>
      </c>
      <c r="DY169" s="228">
        <v>0.85</v>
      </c>
      <c r="DZ169" s="229">
        <v>4.7222</v>
      </c>
      <c r="EA169" s="229">
        <v>0.84889999999999999</v>
      </c>
      <c r="EB169" s="230">
        <v>70900</v>
      </c>
      <c r="EC169" s="229">
        <v>4.8999999999999998E-3</v>
      </c>
      <c r="ED169" s="229">
        <v>0.84889999999999999</v>
      </c>
      <c r="EE169" s="228">
        <v>83.72</v>
      </c>
      <c r="EF169" s="229">
        <v>5.0000000000000001E-3</v>
      </c>
      <c r="EG169" s="230">
        <v>75683</v>
      </c>
      <c r="EH169" s="230">
        <v>32759</v>
      </c>
      <c r="EI169" s="229">
        <v>1.3103</v>
      </c>
      <c r="EJ169" s="229">
        <v>0.64980000000000004</v>
      </c>
      <c r="EK169" s="228">
        <v>322.64999999999998</v>
      </c>
      <c r="EL169" s="228">
        <v>290.62</v>
      </c>
      <c r="EM169" s="228">
        <v>245.17</v>
      </c>
      <c r="EN169" s="228">
        <v>12.95</v>
      </c>
      <c r="EO169" s="228">
        <v>858.44</v>
      </c>
      <c r="EP169" s="228">
        <v>494.92</v>
      </c>
      <c r="EQ169" s="228">
        <v>363.52</v>
      </c>
      <c r="ER169" s="229">
        <v>0.73450000000000004</v>
      </c>
      <c r="ES169" s="228">
        <v>154.30000000000001</v>
      </c>
      <c r="ET169" s="228">
        <v>35.299999999999997</v>
      </c>
      <c r="EU169" s="228">
        <v>252.27</v>
      </c>
      <c r="EV169" s="231">
        <v>1917916</v>
      </c>
      <c r="EW169" s="228">
        <v>441.87</v>
      </c>
      <c r="EX169" s="228">
        <v>416.04</v>
      </c>
      <c r="EY169" s="228">
        <v>25.83</v>
      </c>
      <c r="EZ169" s="229">
        <v>6.2100000000000002E-2</v>
      </c>
      <c r="FA169" s="229">
        <v>0.13300000000000001</v>
      </c>
      <c r="FB169" s="227" t="s">
        <v>567</v>
      </c>
      <c r="FC169">
        <f t="shared" si="3"/>
        <v>0</v>
      </c>
    </row>
    <row r="170" spans="1:159" ht="17.25" thickBot="1" x14ac:dyDescent="0.3">
      <c r="A170" s="226">
        <v>45957</v>
      </c>
      <c r="B170" s="227" t="s">
        <v>170</v>
      </c>
      <c r="C170" s="227" t="s">
        <v>679</v>
      </c>
      <c r="D170" s="228">
        <v>2500</v>
      </c>
      <c r="E170" s="228">
        <v>1</v>
      </c>
      <c r="F170" s="228">
        <v>203.52</v>
      </c>
      <c r="G170" s="228">
        <v>202.61</v>
      </c>
      <c r="H170" s="228">
        <v>0.91</v>
      </c>
      <c r="I170" s="229">
        <v>4.4999999999999997E-3</v>
      </c>
      <c r="J170" s="228">
        <v>203.14</v>
      </c>
      <c r="K170" s="228">
        <v>202.37</v>
      </c>
      <c r="L170" s="228">
        <v>0.77</v>
      </c>
      <c r="M170" s="229">
        <v>3.8E-3</v>
      </c>
      <c r="N170" s="228">
        <v>203.52</v>
      </c>
      <c r="O170" s="228">
        <v>202.61</v>
      </c>
      <c r="P170" s="228">
        <v>0.91</v>
      </c>
      <c r="Q170" s="229">
        <v>4.4999999999999997E-3</v>
      </c>
      <c r="R170" s="228">
        <v>204.3</v>
      </c>
      <c r="S170" s="228">
        <v>203.17</v>
      </c>
      <c r="T170" s="228">
        <v>1.1299999999999999</v>
      </c>
      <c r="U170" s="229">
        <v>5.5999999999999999E-3</v>
      </c>
      <c r="V170" s="228">
        <v>204.84</v>
      </c>
      <c r="W170" s="228">
        <v>204.15</v>
      </c>
      <c r="X170" s="228">
        <v>0.69</v>
      </c>
      <c r="Y170" s="229">
        <v>3.3999999999999998E-3</v>
      </c>
      <c r="Z170" s="228">
        <v>0.38</v>
      </c>
      <c r="AA170" s="228">
        <v>0.24</v>
      </c>
      <c r="AB170" s="228">
        <v>0.14000000000000001</v>
      </c>
      <c r="AC170" s="229">
        <v>1.9E-3</v>
      </c>
      <c r="AD170" s="228">
        <v>0.38</v>
      </c>
      <c r="AE170" s="228">
        <v>0.24</v>
      </c>
      <c r="AF170" s="228">
        <v>0.14000000000000001</v>
      </c>
      <c r="AG170" s="229">
        <v>1.9E-3</v>
      </c>
      <c r="AH170" s="228">
        <v>1.1599999999999999</v>
      </c>
      <c r="AI170" s="228">
        <v>0.8</v>
      </c>
      <c r="AJ170" s="228">
        <v>0.36</v>
      </c>
      <c r="AK170" s="229">
        <v>5.7000000000000002E-3</v>
      </c>
      <c r="AL170" s="228">
        <v>1.7</v>
      </c>
      <c r="AM170" s="228">
        <v>1.78</v>
      </c>
      <c r="AN170" s="228">
        <v>-0.08</v>
      </c>
      <c r="AO170" s="229">
        <v>8.3999999999999995E-3</v>
      </c>
      <c r="AP170" s="228">
        <v>204.08</v>
      </c>
      <c r="AQ170" s="228">
        <v>204.79</v>
      </c>
      <c r="AR170" s="228">
        <v>0</v>
      </c>
      <c r="AS170" s="228">
        <v>373</v>
      </c>
      <c r="AT170" s="228">
        <v>450</v>
      </c>
      <c r="AU170" s="228">
        <v>-77</v>
      </c>
      <c r="AV170" s="229">
        <v>-0.17100000000000001</v>
      </c>
      <c r="AW170" s="228">
        <v>186</v>
      </c>
      <c r="AX170" s="228">
        <v>220</v>
      </c>
      <c r="AY170" s="228">
        <v>-34</v>
      </c>
      <c r="AZ170" s="229">
        <v>-0.1552</v>
      </c>
      <c r="BA170" s="228">
        <v>186</v>
      </c>
      <c r="BB170" s="228">
        <v>229</v>
      </c>
      <c r="BC170" s="228">
        <v>-42</v>
      </c>
      <c r="BD170" s="229">
        <v>-0.18509999999999999</v>
      </c>
      <c r="BE170" s="228">
        <v>1</v>
      </c>
      <c r="BF170" s="228">
        <v>2</v>
      </c>
      <c r="BG170" s="228">
        <v>-1</v>
      </c>
      <c r="BH170" s="229">
        <v>-0.32350000000000001</v>
      </c>
      <c r="BI170" s="228">
        <v>237</v>
      </c>
      <c r="BJ170" s="228">
        <v>467</v>
      </c>
      <c r="BK170" s="228">
        <v>-230</v>
      </c>
      <c r="BL170" s="229">
        <v>-0.49320000000000003</v>
      </c>
      <c r="BM170" s="228">
        <v>133</v>
      </c>
      <c r="BN170" s="228">
        <v>220</v>
      </c>
      <c r="BO170" s="228">
        <v>-87</v>
      </c>
      <c r="BP170" s="229">
        <v>-0.3962</v>
      </c>
      <c r="BQ170" s="228">
        <v>743</v>
      </c>
      <c r="BR170" s="230">
        <v>1138</v>
      </c>
      <c r="BS170" s="228">
        <v>-395</v>
      </c>
      <c r="BT170" s="229">
        <v>-0.34699999999999998</v>
      </c>
      <c r="BU170" s="230">
        <v>2021434</v>
      </c>
      <c r="BV170" s="230">
        <v>3369319</v>
      </c>
      <c r="BW170" s="230">
        <v>-1347885</v>
      </c>
      <c r="BX170" s="229">
        <v>-0.4</v>
      </c>
      <c r="BY170" s="228">
        <v>455</v>
      </c>
      <c r="BZ170" s="228">
        <v>477</v>
      </c>
      <c r="CA170" s="228">
        <v>-22</v>
      </c>
      <c r="CB170" s="229">
        <v>-4.6300000000000001E-2</v>
      </c>
      <c r="CC170" s="228">
        <v>81</v>
      </c>
      <c r="CD170" s="228">
        <v>182</v>
      </c>
      <c r="CE170" s="228">
        <v>-101</v>
      </c>
      <c r="CF170" s="229">
        <v>-0.55469999999999997</v>
      </c>
      <c r="CG170" s="228">
        <v>368</v>
      </c>
      <c r="CH170" s="228">
        <v>289</v>
      </c>
      <c r="CI170" s="228">
        <v>79</v>
      </c>
      <c r="CJ170" s="229">
        <v>0.2737</v>
      </c>
      <c r="CK170" s="228">
        <v>6</v>
      </c>
      <c r="CL170" s="228">
        <v>6</v>
      </c>
      <c r="CM170" s="228">
        <v>0</v>
      </c>
      <c r="CN170" s="229">
        <v>8.6E-3</v>
      </c>
      <c r="CO170" s="228">
        <v>233</v>
      </c>
      <c r="CP170" s="228">
        <v>271</v>
      </c>
      <c r="CQ170" s="228">
        <v>-38</v>
      </c>
      <c r="CR170" s="229">
        <v>-0.13930000000000001</v>
      </c>
      <c r="CS170" s="228">
        <v>195</v>
      </c>
      <c r="CT170" s="228">
        <v>201</v>
      </c>
      <c r="CU170" s="228">
        <v>-6</v>
      </c>
      <c r="CV170" s="229">
        <v>-2.8899999999999999E-2</v>
      </c>
      <c r="CW170" s="228">
        <v>883</v>
      </c>
      <c r="CX170" s="228">
        <v>948</v>
      </c>
      <c r="CY170" s="228">
        <v>-66</v>
      </c>
      <c r="CZ170" s="229">
        <v>-6.9199999999999998E-2</v>
      </c>
      <c r="DA170" s="228">
        <v>35.07</v>
      </c>
      <c r="DB170" s="228">
        <v>35.24</v>
      </c>
      <c r="DC170" s="228">
        <v>-0.17</v>
      </c>
      <c r="DD170" s="228">
        <v>-0.17</v>
      </c>
      <c r="DE170" s="228">
        <v>46.74</v>
      </c>
      <c r="DF170" s="228">
        <v>46.86</v>
      </c>
      <c r="DG170" s="228">
        <v>-11.67</v>
      </c>
      <c r="DH170" s="228">
        <v>-0.12</v>
      </c>
      <c r="DI170" s="228">
        <v>35.32</v>
      </c>
      <c r="DJ170" s="228">
        <v>35.46</v>
      </c>
      <c r="DK170" s="228">
        <v>-0.14000000000000001</v>
      </c>
      <c r="DL170" s="228">
        <v>-0.14000000000000001</v>
      </c>
      <c r="DM170" s="228">
        <v>34.46</v>
      </c>
      <c r="DN170" s="228">
        <v>34.270000000000003</v>
      </c>
      <c r="DO170" s="228">
        <v>0.19</v>
      </c>
      <c r="DP170" s="228">
        <v>0.19</v>
      </c>
      <c r="DQ170" s="228">
        <v>0.84</v>
      </c>
      <c r="DR170" s="228">
        <v>0.74</v>
      </c>
      <c r="DS170" s="228">
        <v>0.1</v>
      </c>
      <c r="DT170" s="229">
        <v>0.1351</v>
      </c>
      <c r="DU170" s="228">
        <v>210</v>
      </c>
      <c r="DV170" s="228">
        <v>180</v>
      </c>
      <c r="DW170" s="228">
        <v>0.56000000000000005</v>
      </c>
      <c r="DX170" s="228">
        <v>0.47</v>
      </c>
      <c r="DY170" s="228">
        <v>0.09</v>
      </c>
      <c r="DZ170" s="229">
        <v>0.1915</v>
      </c>
      <c r="EA170" s="229">
        <v>0.82150000000000001</v>
      </c>
      <c r="EB170" s="230">
        <v>14477500</v>
      </c>
      <c r="EC170" s="229">
        <v>3.8E-3</v>
      </c>
      <c r="ED170" s="229">
        <v>0.82150000000000001</v>
      </c>
      <c r="EE170" s="228">
        <v>0.71</v>
      </c>
      <c r="EF170" s="229">
        <v>3.5000000000000001E-3</v>
      </c>
      <c r="EG170" s="230">
        <v>721239</v>
      </c>
      <c r="EH170" s="230">
        <v>912715</v>
      </c>
      <c r="EI170" s="229">
        <v>-0.20979999999999999</v>
      </c>
      <c r="EJ170" s="229">
        <v>0.35680000000000001</v>
      </c>
      <c r="EK170" s="228">
        <v>243.4</v>
      </c>
      <c r="EL170" s="228">
        <v>132.88999999999999</v>
      </c>
      <c r="EM170" s="228">
        <v>374.79</v>
      </c>
      <c r="EN170" s="228">
        <v>68.25</v>
      </c>
      <c r="EO170" s="228">
        <v>751.07</v>
      </c>
      <c r="EP170" s="231">
        <v>1152.9000000000001</v>
      </c>
      <c r="EQ170" s="228">
        <v>-401.83</v>
      </c>
      <c r="ER170" s="229">
        <v>-0.34849999999999998</v>
      </c>
      <c r="ES170" s="228">
        <v>239.04</v>
      </c>
      <c r="ET170" s="228">
        <v>186.6</v>
      </c>
      <c r="EU170" s="228">
        <v>456.37</v>
      </c>
      <c r="EV170" s="231">
        <v>120138597</v>
      </c>
      <c r="EW170" s="228">
        <v>882</v>
      </c>
      <c r="EX170" s="228">
        <v>944.85</v>
      </c>
      <c r="EY170" s="228">
        <v>-62.85</v>
      </c>
      <c r="EZ170" s="229">
        <v>-6.6500000000000004E-2</v>
      </c>
      <c r="FA170" s="229">
        <v>0.36109999999999998</v>
      </c>
      <c r="FB170" s="227" t="s">
        <v>556</v>
      </c>
      <c r="FC170">
        <f t="shared" si="3"/>
        <v>0</v>
      </c>
    </row>
    <row r="171" spans="1:159" ht="17.25" thickBot="1" x14ac:dyDescent="0.3">
      <c r="A171" s="226">
        <v>45957</v>
      </c>
      <c r="B171" s="227" t="s">
        <v>206</v>
      </c>
      <c r="C171" s="227" t="s">
        <v>605</v>
      </c>
      <c r="D171" s="228">
        <v>450</v>
      </c>
      <c r="E171" s="228">
        <v>1</v>
      </c>
      <c r="F171" s="231">
        <v>1785.2</v>
      </c>
      <c r="G171" s="231">
        <v>1752.8</v>
      </c>
      <c r="H171" s="228">
        <v>32.4</v>
      </c>
      <c r="I171" s="229">
        <v>1.8499999999999999E-2</v>
      </c>
      <c r="J171" s="231">
        <v>1784.8</v>
      </c>
      <c r="K171" s="231">
        <v>1754.1</v>
      </c>
      <c r="L171" s="228">
        <v>30.7</v>
      </c>
      <c r="M171" s="229">
        <v>1.7500000000000002E-2</v>
      </c>
      <c r="N171" s="231">
        <v>1785.2</v>
      </c>
      <c r="O171" s="231">
        <v>1752.8</v>
      </c>
      <c r="P171" s="228">
        <v>32.4</v>
      </c>
      <c r="Q171" s="229">
        <v>1.8499999999999999E-2</v>
      </c>
      <c r="R171" s="231">
        <v>1794.8</v>
      </c>
      <c r="S171" s="231">
        <v>1762.7</v>
      </c>
      <c r="T171" s="228">
        <v>32.1</v>
      </c>
      <c r="U171" s="229">
        <v>1.8200000000000001E-2</v>
      </c>
      <c r="V171" s="231">
        <v>1804.4</v>
      </c>
      <c r="W171" s="231">
        <v>1769.2</v>
      </c>
      <c r="X171" s="228">
        <v>35.200000000000003</v>
      </c>
      <c r="Y171" s="229">
        <v>1.9900000000000001E-2</v>
      </c>
      <c r="Z171" s="228">
        <v>0.4</v>
      </c>
      <c r="AA171" s="228">
        <v>-1.3</v>
      </c>
      <c r="AB171" s="228">
        <v>1.7</v>
      </c>
      <c r="AC171" s="229">
        <v>2.0000000000000001E-4</v>
      </c>
      <c r="AD171" s="228">
        <v>0.4</v>
      </c>
      <c r="AE171" s="228">
        <v>-1.3</v>
      </c>
      <c r="AF171" s="228">
        <v>1.7</v>
      </c>
      <c r="AG171" s="229">
        <v>2.0000000000000001E-4</v>
      </c>
      <c r="AH171" s="228">
        <v>10</v>
      </c>
      <c r="AI171" s="228">
        <v>8.6</v>
      </c>
      <c r="AJ171" s="228">
        <v>1.4</v>
      </c>
      <c r="AK171" s="229">
        <v>5.5999999999999999E-3</v>
      </c>
      <c r="AL171" s="228">
        <v>19.600000000000001</v>
      </c>
      <c r="AM171" s="228">
        <v>15.1</v>
      </c>
      <c r="AN171" s="228">
        <v>4.5</v>
      </c>
      <c r="AO171" s="229">
        <v>1.0999999999999999E-2</v>
      </c>
      <c r="AP171" s="231">
        <v>1785.74</v>
      </c>
      <c r="AQ171" s="231">
        <v>1796.01</v>
      </c>
      <c r="AR171" s="228">
        <v>0</v>
      </c>
      <c r="AS171" s="228">
        <v>686</v>
      </c>
      <c r="AT171" s="228">
        <v>607</v>
      </c>
      <c r="AU171" s="228">
        <v>78</v>
      </c>
      <c r="AV171" s="229">
        <v>0.12920000000000001</v>
      </c>
      <c r="AW171" s="228">
        <v>340</v>
      </c>
      <c r="AX171" s="228">
        <v>314</v>
      </c>
      <c r="AY171" s="228">
        <v>26</v>
      </c>
      <c r="AZ171" s="229">
        <v>8.4000000000000005E-2</v>
      </c>
      <c r="BA171" s="228">
        <v>344</v>
      </c>
      <c r="BB171" s="228">
        <v>293</v>
      </c>
      <c r="BC171" s="228">
        <v>52</v>
      </c>
      <c r="BD171" s="229">
        <v>0.17660000000000001</v>
      </c>
      <c r="BE171" s="228">
        <v>2</v>
      </c>
      <c r="BF171" s="228">
        <v>1</v>
      </c>
      <c r="BG171" s="228">
        <v>0</v>
      </c>
      <c r="BH171" s="229">
        <v>0.4</v>
      </c>
      <c r="BI171" s="230">
        <v>1114</v>
      </c>
      <c r="BJ171" s="228">
        <v>755</v>
      </c>
      <c r="BK171" s="228">
        <v>359</v>
      </c>
      <c r="BL171" s="229">
        <v>0.47570000000000001</v>
      </c>
      <c r="BM171" s="228">
        <v>307</v>
      </c>
      <c r="BN171" s="228">
        <v>279</v>
      </c>
      <c r="BO171" s="228">
        <v>29</v>
      </c>
      <c r="BP171" s="229">
        <v>0.1024</v>
      </c>
      <c r="BQ171" s="230">
        <v>2107</v>
      </c>
      <c r="BR171" s="230">
        <v>1641</v>
      </c>
      <c r="BS171" s="228">
        <v>466</v>
      </c>
      <c r="BT171" s="229">
        <v>0.28410000000000002</v>
      </c>
      <c r="BU171" s="230">
        <v>1276256</v>
      </c>
      <c r="BV171" s="230">
        <v>688307</v>
      </c>
      <c r="BW171" s="230">
        <v>587949</v>
      </c>
      <c r="BX171" s="229">
        <v>0.85419999999999996</v>
      </c>
      <c r="BY171" s="228">
        <v>772</v>
      </c>
      <c r="BZ171" s="228">
        <v>778</v>
      </c>
      <c r="CA171" s="228">
        <v>-6</v>
      </c>
      <c r="CB171" s="229">
        <v>-7.1000000000000004E-3</v>
      </c>
      <c r="CC171" s="228">
        <v>180</v>
      </c>
      <c r="CD171" s="228">
        <v>418</v>
      </c>
      <c r="CE171" s="228">
        <v>-238</v>
      </c>
      <c r="CF171" s="229">
        <v>-0.56989999999999996</v>
      </c>
      <c r="CG171" s="228">
        <v>588</v>
      </c>
      <c r="CH171" s="228">
        <v>356</v>
      </c>
      <c r="CI171" s="228">
        <v>232</v>
      </c>
      <c r="CJ171" s="229">
        <v>0.65339999999999998</v>
      </c>
      <c r="CK171" s="228">
        <v>4</v>
      </c>
      <c r="CL171" s="228">
        <v>4</v>
      </c>
      <c r="CM171" s="228">
        <v>0</v>
      </c>
      <c r="CN171" s="229">
        <v>0.1042</v>
      </c>
      <c r="CO171" s="228">
        <v>272</v>
      </c>
      <c r="CP171" s="228">
        <v>277</v>
      </c>
      <c r="CQ171" s="228">
        <v>-5</v>
      </c>
      <c r="CR171" s="229">
        <v>-1.9400000000000001E-2</v>
      </c>
      <c r="CS171" s="228">
        <v>237</v>
      </c>
      <c r="CT171" s="228">
        <v>255</v>
      </c>
      <c r="CU171" s="228">
        <v>-19</v>
      </c>
      <c r="CV171" s="229">
        <v>-7.2999999999999995E-2</v>
      </c>
      <c r="CW171" s="230">
        <v>1281</v>
      </c>
      <c r="CX171" s="230">
        <v>1311</v>
      </c>
      <c r="CY171" s="228">
        <v>-30</v>
      </c>
      <c r="CZ171" s="229">
        <v>-2.2599999999999999E-2</v>
      </c>
      <c r="DA171" s="228">
        <v>33.729999999999997</v>
      </c>
      <c r="DB171" s="228">
        <v>32.840000000000003</v>
      </c>
      <c r="DC171" s="228">
        <v>0.89</v>
      </c>
      <c r="DD171" s="228">
        <v>0.89</v>
      </c>
      <c r="DE171" s="228">
        <v>46.88</v>
      </c>
      <c r="DF171" s="228">
        <v>46.94</v>
      </c>
      <c r="DG171" s="228">
        <v>-13.15</v>
      </c>
      <c r="DH171" s="228">
        <v>-0.06</v>
      </c>
      <c r="DI171" s="228">
        <v>33.450000000000003</v>
      </c>
      <c r="DJ171" s="228">
        <v>32.450000000000003</v>
      </c>
      <c r="DK171" s="228">
        <v>1</v>
      </c>
      <c r="DL171" s="228">
        <v>1</v>
      </c>
      <c r="DM171" s="228">
        <v>34.97</v>
      </c>
      <c r="DN171" s="228">
        <v>33.770000000000003</v>
      </c>
      <c r="DO171" s="228">
        <v>1.2</v>
      </c>
      <c r="DP171" s="228">
        <v>1.2</v>
      </c>
      <c r="DQ171" s="228">
        <v>0.87</v>
      </c>
      <c r="DR171" s="228">
        <v>0.92</v>
      </c>
      <c r="DS171" s="228">
        <v>-0.05</v>
      </c>
      <c r="DT171" s="229">
        <v>-5.4300000000000001E-2</v>
      </c>
      <c r="DU171" s="231">
        <v>1700</v>
      </c>
      <c r="DV171" s="231">
        <v>1640</v>
      </c>
      <c r="DW171" s="228">
        <v>0.28000000000000003</v>
      </c>
      <c r="DX171" s="228">
        <v>0.37</v>
      </c>
      <c r="DY171" s="228">
        <v>-0.09</v>
      </c>
      <c r="DZ171" s="229">
        <v>-0.2432</v>
      </c>
      <c r="EA171" s="229">
        <v>0.7671</v>
      </c>
      <c r="EB171" s="230">
        <v>2014650</v>
      </c>
      <c r="EC171" s="229">
        <v>5.4000000000000003E-3</v>
      </c>
      <c r="ED171" s="229">
        <v>0.7671</v>
      </c>
      <c r="EE171" s="228">
        <v>10.27</v>
      </c>
      <c r="EF171" s="229">
        <v>5.7999999999999996E-3</v>
      </c>
      <c r="EG171" s="230">
        <v>834966</v>
      </c>
      <c r="EH171" s="230">
        <v>395835</v>
      </c>
      <c r="EI171" s="229">
        <v>1.1093999999999999</v>
      </c>
      <c r="EJ171" s="229">
        <v>0.6542</v>
      </c>
      <c r="EK171" s="231">
        <v>1133.92</v>
      </c>
      <c r="EL171" s="228">
        <v>296.33999999999997</v>
      </c>
      <c r="EM171" s="228">
        <v>688.1</v>
      </c>
      <c r="EN171" s="228">
        <v>35.97</v>
      </c>
      <c r="EO171" s="231">
        <v>2118.36</v>
      </c>
      <c r="EP171" s="231">
        <v>1617.77</v>
      </c>
      <c r="EQ171" s="228">
        <v>500.59</v>
      </c>
      <c r="ER171" s="229">
        <v>0.30940000000000001</v>
      </c>
      <c r="ES171" s="228">
        <v>261.13</v>
      </c>
      <c r="ET171" s="228">
        <v>214.74</v>
      </c>
      <c r="EU171" s="228">
        <v>775.7</v>
      </c>
      <c r="EV171" s="231">
        <v>25234534</v>
      </c>
      <c r="EW171" s="231">
        <v>1251.57</v>
      </c>
      <c r="EX171" s="231">
        <v>1263.8499999999999</v>
      </c>
      <c r="EY171" s="228">
        <v>-12.28</v>
      </c>
      <c r="EZ171" s="229">
        <v>-9.7000000000000003E-3</v>
      </c>
      <c r="FA171" s="229">
        <v>0.28439999999999999</v>
      </c>
      <c r="FB171" s="227" t="s">
        <v>556</v>
      </c>
      <c r="FC171">
        <f t="shared" si="3"/>
        <v>0</v>
      </c>
    </row>
    <row r="172" spans="1:159" ht="17.25" thickBot="1" x14ac:dyDescent="0.3">
      <c r="A172" s="226">
        <v>45957</v>
      </c>
      <c r="B172" s="227" t="s">
        <v>172</v>
      </c>
      <c r="C172" s="227" t="s">
        <v>279</v>
      </c>
      <c r="D172" s="228">
        <v>3175</v>
      </c>
      <c r="E172" s="228">
        <v>1</v>
      </c>
      <c r="F172" s="228">
        <v>322.3</v>
      </c>
      <c r="G172" s="228">
        <v>316.64999999999998</v>
      </c>
      <c r="H172" s="228">
        <v>5.65</v>
      </c>
      <c r="I172" s="229">
        <v>1.78E-2</v>
      </c>
      <c r="J172" s="228">
        <v>322.05</v>
      </c>
      <c r="K172" s="228">
        <v>315.95</v>
      </c>
      <c r="L172" s="228">
        <v>6.1</v>
      </c>
      <c r="M172" s="229">
        <v>1.9300000000000001E-2</v>
      </c>
      <c r="N172" s="228">
        <v>322.3</v>
      </c>
      <c r="O172" s="228">
        <v>316.64999999999998</v>
      </c>
      <c r="P172" s="228">
        <v>5.65</v>
      </c>
      <c r="Q172" s="229">
        <v>1.78E-2</v>
      </c>
      <c r="R172" s="228">
        <v>324.3</v>
      </c>
      <c r="S172" s="228">
        <v>318.39999999999998</v>
      </c>
      <c r="T172" s="228">
        <v>5.9</v>
      </c>
      <c r="U172" s="229">
        <v>1.8499999999999999E-2</v>
      </c>
      <c r="V172" s="228">
        <v>326.39999999999998</v>
      </c>
      <c r="W172" s="228">
        <v>320.2</v>
      </c>
      <c r="X172" s="228">
        <v>6.2</v>
      </c>
      <c r="Y172" s="229">
        <v>1.9400000000000001E-2</v>
      </c>
      <c r="Z172" s="228">
        <v>0.25</v>
      </c>
      <c r="AA172" s="228">
        <v>0.7</v>
      </c>
      <c r="AB172" s="228">
        <v>-0.45</v>
      </c>
      <c r="AC172" s="229">
        <v>8.0000000000000004E-4</v>
      </c>
      <c r="AD172" s="228">
        <v>0.25</v>
      </c>
      <c r="AE172" s="228">
        <v>0.7</v>
      </c>
      <c r="AF172" s="228">
        <v>-0.45</v>
      </c>
      <c r="AG172" s="229">
        <v>8.0000000000000004E-4</v>
      </c>
      <c r="AH172" s="228">
        <v>2.25</v>
      </c>
      <c r="AI172" s="228">
        <v>2.4500000000000002</v>
      </c>
      <c r="AJ172" s="228">
        <v>-0.2</v>
      </c>
      <c r="AK172" s="229">
        <v>7.0000000000000001E-3</v>
      </c>
      <c r="AL172" s="228">
        <v>4.3499999999999996</v>
      </c>
      <c r="AM172" s="228">
        <v>4.25</v>
      </c>
      <c r="AN172" s="228">
        <v>0.1</v>
      </c>
      <c r="AO172" s="229">
        <v>1.35E-2</v>
      </c>
      <c r="AP172" s="228">
        <v>323.7</v>
      </c>
      <c r="AQ172" s="228">
        <v>325.63</v>
      </c>
      <c r="AR172" s="228">
        <v>0</v>
      </c>
      <c r="AS172" s="230">
        <v>1364</v>
      </c>
      <c r="AT172" s="230">
        <v>1289</v>
      </c>
      <c r="AU172" s="228">
        <v>75</v>
      </c>
      <c r="AV172" s="229">
        <v>5.8299999999999998E-2</v>
      </c>
      <c r="AW172" s="228">
        <v>585</v>
      </c>
      <c r="AX172" s="228">
        <v>574</v>
      </c>
      <c r="AY172" s="228">
        <v>11</v>
      </c>
      <c r="AZ172" s="229">
        <v>1.8700000000000001E-2</v>
      </c>
      <c r="BA172" s="228">
        <v>776</v>
      </c>
      <c r="BB172" s="228">
        <v>712</v>
      </c>
      <c r="BC172" s="228">
        <v>64</v>
      </c>
      <c r="BD172" s="229">
        <v>0.09</v>
      </c>
      <c r="BE172" s="228">
        <v>4</v>
      </c>
      <c r="BF172" s="228">
        <v>4</v>
      </c>
      <c r="BG172" s="228">
        <v>0</v>
      </c>
      <c r="BH172" s="229">
        <v>7.8899999999999998E-2</v>
      </c>
      <c r="BI172" s="230">
        <v>1885</v>
      </c>
      <c r="BJ172" s="228">
        <v>761</v>
      </c>
      <c r="BK172" s="230">
        <v>1123</v>
      </c>
      <c r="BL172" s="229">
        <v>1.4757</v>
      </c>
      <c r="BM172" s="228">
        <v>660</v>
      </c>
      <c r="BN172" s="228">
        <v>443</v>
      </c>
      <c r="BO172" s="228">
        <v>216</v>
      </c>
      <c r="BP172" s="229">
        <v>0.48809999999999998</v>
      </c>
      <c r="BQ172" s="230">
        <v>3909</v>
      </c>
      <c r="BR172" s="230">
        <v>2494</v>
      </c>
      <c r="BS172" s="230">
        <v>1415</v>
      </c>
      <c r="BT172" s="229">
        <v>0.56740000000000002</v>
      </c>
      <c r="BU172" s="230">
        <v>19616450</v>
      </c>
      <c r="BV172" s="230">
        <v>12219229</v>
      </c>
      <c r="BW172" s="230">
        <v>7397221</v>
      </c>
      <c r="BX172" s="229">
        <v>0.60540000000000005</v>
      </c>
      <c r="BY172" s="230">
        <v>2277</v>
      </c>
      <c r="BZ172" s="230">
        <v>2193</v>
      </c>
      <c r="CA172" s="228">
        <v>85</v>
      </c>
      <c r="CB172" s="229">
        <v>3.8600000000000002E-2</v>
      </c>
      <c r="CC172" s="228">
        <v>277</v>
      </c>
      <c r="CD172" s="228">
        <v>587</v>
      </c>
      <c r="CE172" s="228">
        <v>-310</v>
      </c>
      <c r="CF172" s="229">
        <v>-0.52829999999999999</v>
      </c>
      <c r="CG172" s="230">
        <v>1988</v>
      </c>
      <c r="CH172" s="230">
        <v>1596</v>
      </c>
      <c r="CI172" s="228">
        <v>392</v>
      </c>
      <c r="CJ172" s="229">
        <v>0.24560000000000001</v>
      </c>
      <c r="CK172" s="228">
        <v>12</v>
      </c>
      <c r="CL172" s="228">
        <v>9</v>
      </c>
      <c r="CM172" s="228">
        <v>3</v>
      </c>
      <c r="CN172" s="229">
        <v>0.28089999999999998</v>
      </c>
      <c r="CO172" s="228">
        <v>785</v>
      </c>
      <c r="CP172" s="228">
        <v>708</v>
      </c>
      <c r="CQ172" s="228">
        <v>76</v>
      </c>
      <c r="CR172" s="229">
        <v>0.1079</v>
      </c>
      <c r="CS172" s="228">
        <v>630</v>
      </c>
      <c r="CT172" s="228">
        <v>559</v>
      </c>
      <c r="CU172" s="228">
        <v>71</v>
      </c>
      <c r="CV172" s="229">
        <v>0.12740000000000001</v>
      </c>
      <c r="CW172" s="230">
        <v>3692</v>
      </c>
      <c r="CX172" s="230">
        <v>3460</v>
      </c>
      <c r="CY172" s="228">
        <v>232</v>
      </c>
      <c r="CZ172" s="229">
        <v>6.7100000000000007E-2</v>
      </c>
      <c r="DA172" s="228">
        <v>29.25</v>
      </c>
      <c r="DB172" s="228">
        <v>26.02</v>
      </c>
      <c r="DC172" s="228">
        <v>3.23</v>
      </c>
      <c r="DD172" s="228">
        <v>3.23</v>
      </c>
      <c r="DE172" s="228">
        <v>47.57</v>
      </c>
      <c r="DF172" s="228">
        <v>47.62</v>
      </c>
      <c r="DG172" s="228">
        <v>-18.32</v>
      </c>
      <c r="DH172" s="228">
        <v>-0.05</v>
      </c>
      <c r="DI172" s="228">
        <v>29.53</v>
      </c>
      <c r="DJ172" s="228">
        <v>25.91</v>
      </c>
      <c r="DK172" s="228">
        <v>3.62</v>
      </c>
      <c r="DL172" s="228">
        <v>3.62</v>
      </c>
      <c r="DM172" s="228">
        <v>28.33</v>
      </c>
      <c r="DN172" s="228">
        <v>26.2</v>
      </c>
      <c r="DO172" s="228">
        <v>2.13</v>
      </c>
      <c r="DP172" s="228">
        <v>2.13</v>
      </c>
      <c r="DQ172" s="228">
        <v>0.8</v>
      </c>
      <c r="DR172" s="228">
        <v>0.79</v>
      </c>
      <c r="DS172" s="228">
        <v>0.01</v>
      </c>
      <c r="DT172" s="229">
        <v>1.2699999999999999E-2</v>
      </c>
      <c r="DU172" s="228">
        <v>325</v>
      </c>
      <c r="DV172" s="228">
        <v>300</v>
      </c>
      <c r="DW172" s="228">
        <v>0.35</v>
      </c>
      <c r="DX172" s="228">
        <v>0.57999999999999996</v>
      </c>
      <c r="DY172" s="228">
        <v>-0.23</v>
      </c>
      <c r="DZ172" s="229">
        <v>-0.39660000000000001</v>
      </c>
      <c r="EA172" s="229">
        <v>0.87839999999999996</v>
      </c>
      <c r="EB172" s="230">
        <v>49812575</v>
      </c>
      <c r="EC172" s="229">
        <v>6.1999999999999998E-3</v>
      </c>
      <c r="ED172" s="229">
        <v>0.87839999999999996</v>
      </c>
      <c r="EE172" s="228">
        <v>1.93</v>
      </c>
      <c r="EF172" s="229">
        <v>6.0000000000000001E-3</v>
      </c>
      <c r="EG172" s="230">
        <v>8515408</v>
      </c>
      <c r="EH172" s="230">
        <v>5739919</v>
      </c>
      <c r="EI172" s="229">
        <v>0.48349999999999999</v>
      </c>
      <c r="EJ172" s="229">
        <v>0.43409999999999999</v>
      </c>
      <c r="EK172" s="231">
        <v>1952.24</v>
      </c>
      <c r="EL172" s="228">
        <v>644.26</v>
      </c>
      <c r="EM172" s="231">
        <v>1375</v>
      </c>
      <c r="EN172" s="228">
        <v>94.75</v>
      </c>
      <c r="EO172" s="231">
        <v>3971.5</v>
      </c>
      <c r="EP172" s="231">
        <v>2486.85</v>
      </c>
      <c r="EQ172" s="231">
        <v>1484.65</v>
      </c>
      <c r="ER172" s="229">
        <v>0.59699999999999998</v>
      </c>
      <c r="ES172" s="228">
        <v>764.12</v>
      </c>
      <c r="ET172" s="228">
        <v>575.37</v>
      </c>
      <c r="EU172" s="231">
        <v>2289.54</v>
      </c>
      <c r="EV172" s="231">
        <v>91351468</v>
      </c>
      <c r="EW172" s="231">
        <v>3629.04</v>
      </c>
      <c r="EX172" s="231">
        <v>3340.16</v>
      </c>
      <c r="EY172" s="228">
        <v>288.88</v>
      </c>
      <c r="EZ172" s="229">
        <v>8.6499999999999994E-2</v>
      </c>
      <c r="FA172" s="229">
        <v>1.2541</v>
      </c>
      <c r="FB172" s="227" t="s">
        <v>555</v>
      </c>
      <c r="FC172">
        <f t="shared" si="3"/>
        <v>0</v>
      </c>
    </row>
    <row r="173" spans="1:159" ht="17.25" thickBot="1" x14ac:dyDescent="0.3">
      <c r="A173" s="226">
        <v>45957</v>
      </c>
      <c r="B173" s="227" t="s">
        <v>175</v>
      </c>
      <c r="C173" s="227" t="s">
        <v>280</v>
      </c>
      <c r="D173" s="228">
        <v>1275</v>
      </c>
      <c r="E173" s="228">
        <v>1</v>
      </c>
      <c r="F173" s="228">
        <v>373.8</v>
      </c>
      <c r="G173" s="228">
        <v>367.5</v>
      </c>
      <c r="H173" s="228">
        <v>6.3</v>
      </c>
      <c r="I173" s="229">
        <v>1.7100000000000001E-2</v>
      </c>
      <c r="J173" s="228">
        <v>373.7</v>
      </c>
      <c r="K173" s="228">
        <v>372.6</v>
      </c>
      <c r="L173" s="228">
        <v>1.1000000000000001</v>
      </c>
      <c r="M173" s="229">
        <v>3.0000000000000001E-3</v>
      </c>
      <c r="N173" s="228">
        <v>373.8</v>
      </c>
      <c r="O173" s="228">
        <v>367.5</v>
      </c>
      <c r="P173" s="228">
        <v>6.3</v>
      </c>
      <c r="Q173" s="229">
        <v>1.7100000000000001E-2</v>
      </c>
      <c r="R173" s="228">
        <v>376.15</v>
      </c>
      <c r="S173" s="228">
        <v>369.5</v>
      </c>
      <c r="T173" s="228">
        <v>6.65</v>
      </c>
      <c r="U173" s="229">
        <v>1.7999999999999999E-2</v>
      </c>
      <c r="V173" s="228">
        <v>379.05</v>
      </c>
      <c r="W173" s="228">
        <v>372</v>
      </c>
      <c r="X173" s="228">
        <v>7.05</v>
      </c>
      <c r="Y173" s="229">
        <v>1.9E-2</v>
      </c>
      <c r="Z173" s="228">
        <v>0.1</v>
      </c>
      <c r="AA173" s="228">
        <v>-5.0999999999999996</v>
      </c>
      <c r="AB173" s="228">
        <v>5.2</v>
      </c>
      <c r="AC173" s="229">
        <v>2.9999999999999997E-4</v>
      </c>
      <c r="AD173" s="228">
        <v>0.1</v>
      </c>
      <c r="AE173" s="228">
        <v>-5.0999999999999996</v>
      </c>
      <c r="AF173" s="228">
        <v>5.2</v>
      </c>
      <c r="AG173" s="229">
        <v>2.9999999999999997E-4</v>
      </c>
      <c r="AH173" s="228">
        <v>2.4500000000000002</v>
      </c>
      <c r="AI173" s="228">
        <v>-3.1</v>
      </c>
      <c r="AJ173" s="228">
        <v>5.55</v>
      </c>
      <c r="AK173" s="229">
        <v>6.6E-3</v>
      </c>
      <c r="AL173" s="228">
        <v>5.35</v>
      </c>
      <c r="AM173" s="228">
        <v>-0.6</v>
      </c>
      <c r="AN173" s="228">
        <v>5.95</v>
      </c>
      <c r="AO173" s="229">
        <v>1.43E-2</v>
      </c>
      <c r="AP173" s="228">
        <v>370.7</v>
      </c>
      <c r="AQ173" s="228">
        <v>372.9</v>
      </c>
      <c r="AR173" s="228">
        <v>0</v>
      </c>
      <c r="AS173" s="230">
        <v>2104</v>
      </c>
      <c r="AT173" s="230">
        <v>1523</v>
      </c>
      <c r="AU173" s="228">
        <v>581</v>
      </c>
      <c r="AV173" s="229">
        <v>0.38159999999999999</v>
      </c>
      <c r="AW173" s="230">
        <v>1010</v>
      </c>
      <c r="AX173" s="228">
        <v>748</v>
      </c>
      <c r="AY173" s="228">
        <v>262</v>
      </c>
      <c r="AZ173" s="229">
        <v>0.34989999999999999</v>
      </c>
      <c r="BA173" s="230">
        <v>1067</v>
      </c>
      <c r="BB173" s="228">
        <v>758</v>
      </c>
      <c r="BC173" s="228">
        <v>310</v>
      </c>
      <c r="BD173" s="229">
        <v>0.40839999999999999</v>
      </c>
      <c r="BE173" s="228">
        <v>27</v>
      </c>
      <c r="BF173" s="228">
        <v>17</v>
      </c>
      <c r="BG173" s="228">
        <v>10</v>
      </c>
      <c r="BH173" s="229">
        <v>0.5847</v>
      </c>
      <c r="BI173" s="230">
        <v>1465</v>
      </c>
      <c r="BJ173" s="230">
        <v>1350</v>
      </c>
      <c r="BK173" s="228">
        <v>115</v>
      </c>
      <c r="BL173" s="229">
        <v>8.5599999999999996E-2</v>
      </c>
      <c r="BM173" s="230">
        <v>1090</v>
      </c>
      <c r="BN173" s="228">
        <v>795</v>
      </c>
      <c r="BO173" s="228">
        <v>295</v>
      </c>
      <c r="BP173" s="229">
        <v>0.37090000000000001</v>
      </c>
      <c r="BQ173" s="230">
        <v>4659</v>
      </c>
      <c r="BR173" s="230">
        <v>3668</v>
      </c>
      <c r="BS173" s="228">
        <v>992</v>
      </c>
      <c r="BT173" s="229">
        <v>0.27039999999999997</v>
      </c>
      <c r="BU173" s="230">
        <v>5445504</v>
      </c>
      <c r="BV173" s="230">
        <v>7909852</v>
      </c>
      <c r="BW173" s="230">
        <v>-2464348</v>
      </c>
      <c r="BX173" s="229">
        <v>-0.31159999999999999</v>
      </c>
      <c r="BY173" s="230">
        <v>3254</v>
      </c>
      <c r="BZ173" s="230">
        <v>3248</v>
      </c>
      <c r="CA173" s="228">
        <v>6</v>
      </c>
      <c r="CB173" s="229">
        <v>1.9E-3</v>
      </c>
      <c r="CC173" s="228">
        <v>608</v>
      </c>
      <c r="CD173" s="230">
        <v>1395</v>
      </c>
      <c r="CE173" s="228">
        <v>-786</v>
      </c>
      <c r="CF173" s="229">
        <v>-0.56379999999999997</v>
      </c>
      <c r="CG173" s="230">
        <v>2582</v>
      </c>
      <c r="CH173" s="230">
        <v>1799</v>
      </c>
      <c r="CI173" s="228">
        <v>783</v>
      </c>
      <c r="CJ173" s="229">
        <v>0.435</v>
      </c>
      <c r="CK173" s="228">
        <v>64</v>
      </c>
      <c r="CL173" s="228">
        <v>54</v>
      </c>
      <c r="CM173" s="228">
        <v>10</v>
      </c>
      <c r="CN173" s="229">
        <v>0.1832</v>
      </c>
      <c r="CO173" s="230">
        <v>1247</v>
      </c>
      <c r="CP173" s="230">
        <v>1265</v>
      </c>
      <c r="CQ173" s="228">
        <v>-18</v>
      </c>
      <c r="CR173" s="229">
        <v>-1.3899999999999999E-2</v>
      </c>
      <c r="CS173" s="230">
        <v>1051</v>
      </c>
      <c r="CT173" s="230">
        <v>1086</v>
      </c>
      <c r="CU173" s="228">
        <v>-34</v>
      </c>
      <c r="CV173" s="229">
        <v>-3.1699999999999999E-2</v>
      </c>
      <c r="CW173" s="230">
        <v>5552</v>
      </c>
      <c r="CX173" s="230">
        <v>5598</v>
      </c>
      <c r="CY173" s="228">
        <v>-46</v>
      </c>
      <c r="CZ173" s="229">
        <v>-8.2000000000000007E-3</v>
      </c>
      <c r="DA173" s="228">
        <v>24.97</v>
      </c>
      <c r="DB173" s="228">
        <v>26.17</v>
      </c>
      <c r="DC173" s="228">
        <v>-1.2</v>
      </c>
      <c r="DD173" s="228">
        <v>-1.2</v>
      </c>
      <c r="DE173" s="228">
        <v>44.45</v>
      </c>
      <c r="DF173" s="228">
        <v>44.5</v>
      </c>
      <c r="DG173" s="228">
        <v>-19.48</v>
      </c>
      <c r="DH173" s="228">
        <v>-0.05</v>
      </c>
      <c r="DI173" s="228">
        <v>24.73</v>
      </c>
      <c r="DJ173" s="228">
        <v>26.29</v>
      </c>
      <c r="DK173" s="228">
        <v>-1.56</v>
      </c>
      <c r="DL173" s="228">
        <v>-1.56</v>
      </c>
      <c r="DM173" s="228">
        <v>25.27</v>
      </c>
      <c r="DN173" s="228">
        <v>25.95</v>
      </c>
      <c r="DO173" s="228">
        <v>-0.68</v>
      </c>
      <c r="DP173" s="228">
        <v>-0.68</v>
      </c>
      <c r="DQ173" s="228">
        <v>0.84</v>
      </c>
      <c r="DR173" s="228">
        <v>0.86</v>
      </c>
      <c r="DS173" s="228">
        <v>-0.02</v>
      </c>
      <c r="DT173" s="229">
        <v>-2.3300000000000001E-2</v>
      </c>
      <c r="DU173" s="228">
        <v>370</v>
      </c>
      <c r="DV173" s="228">
        <v>370</v>
      </c>
      <c r="DW173" s="228">
        <v>0.74</v>
      </c>
      <c r="DX173" s="228">
        <v>0.59</v>
      </c>
      <c r="DY173" s="228">
        <v>0.15</v>
      </c>
      <c r="DZ173" s="229">
        <v>0.25419999999999998</v>
      </c>
      <c r="EA173" s="229">
        <v>0.81310000000000004</v>
      </c>
      <c r="EB173" s="230">
        <v>49575825</v>
      </c>
      <c r="EC173" s="229">
        <v>6.3E-3</v>
      </c>
      <c r="ED173" s="229">
        <v>0.81310000000000004</v>
      </c>
      <c r="EE173" s="228">
        <v>2.2000000000000002</v>
      </c>
      <c r="EF173" s="229">
        <v>5.8999999999999999E-3</v>
      </c>
      <c r="EG173" s="230">
        <v>2800755</v>
      </c>
      <c r="EH173" s="230">
        <v>5010657</v>
      </c>
      <c r="EI173" s="229">
        <v>-0.441</v>
      </c>
      <c r="EJ173" s="229">
        <v>0.51429999999999998</v>
      </c>
      <c r="EK173" s="231">
        <v>1511.55</v>
      </c>
      <c r="EL173" s="231">
        <v>1102.67</v>
      </c>
      <c r="EM173" s="231">
        <v>2093.29</v>
      </c>
      <c r="EN173" s="228">
        <v>206.41</v>
      </c>
      <c r="EO173" s="231">
        <v>4707.51</v>
      </c>
      <c r="EP173" s="231">
        <v>3697.44</v>
      </c>
      <c r="EQ173" s="231">
        <v>1010.07</v>
      </c>
      <c r="ER173" s="229">
        <v>0.2732</v>
      </c>
      <c r="ES173" s="231">
        <v>1299.43</v>
      </c>
      <c r="ET173" s="231">
        <v>1030.6600000000001</v>
      </c>
      <c r="EU173" s="231">
        <v>3271.22</v>
      </c>
      <c r="EV173" s="231">
        <v>187084550</v>
      </c>
      <c r="EW173" s="231">
        <v>5601.31</v>
      </c>
      <c r="EX173" s="231">
        <v>5583.12</v>
      </c>
      <c r="EY173" s="228">
        <v>18.190000000000001</v>
      </c>
      <c r="EZ173" s="229">
        <v>3.3E-3</v>
      </c>
      <c r="FA173" s="229">
        <v>0.79400000000000004</v>
      </c>
      <c r="FB173" s="227" t="s">
        <v>555</v>
      </c>
      <c r="FC173">
        <f t="shared" si="3"/>
        <v>0</v>
      </c>
    </row>
    <row r="174" spans="1:159" ht="17.25" thickBot="1" x14ac:dyDescent="0.3">
      <c r="A174" s="226">
        <v>45957</v>
      </c>
      <c r="B174" s="227" t="s">
        <v>193</v>
      </c>
      <c r="C174" s="227" t="s">
        <v>281</v>
      </c>
      <c r="D174" s="228">
        <v>500</v>
      </c>
      <c r="E174" s="228">
        <v>1</v>
      </c>
      <c r="F174" s="231">
        <v>1482.3</v>
      </c>
      <c r="G174" s="231">
        <v>1450.5</v>
      </c>
      <c r="H174" s="228">
        <v>31.8</v>
      </c>
      <c r="I174" s="229">
        <v>2.1899999999999999E-2</v>
      </c>
      <c r="J174" s="231">
        <v>1484.1</v>
      </c>
      <c r="K174" s="231">
        <v>1451.6</v>
      </c>
      <c r="L174" s="228">
        <v>32.5</v>
      </c>
      <c r="M174" s="229">
        <v>2.24E-2</v>
      </c>
      <c r="N174" s="231">
        <v>1482.3</v>
      </c>
      <c r="O174" s="231">
        <v>1450.5</v>
      </c>
      <c r="P174" s="228">
        <v>31.8</v>
      </c>
      <c r="Q174" s="229">
        <v>2.1899999999999999E-2</v>
      </c>
      <c r="R174" s="231">
        <v>1490.6</v>
      </c>
      <c r="S174" s="231">
        <v>1458.9</v>
      </c>
      <c r="T174" s="228">
        <v>31.7</v>
      </c>
      <c r="U174" s="229">
        <v>2.1700000000000001E-2</v>
      </c>
      <c r="V174" s="231">
        <v>1500.4</v>
      </c>
      <c r="W174" s="231">
        <v>1467.6</v>
      </c>
      <c r="X174" s="228">
        <v>32.799999999999997</v>
      </c>
      <c r="Y174" s="229">
        <v>2.23E-2</v>
      </c>
      <c r="Z174" s="228">
        <v>-1.8</v>
      </c>
      <c r="AA174" s="228">
        <v>-1.1000000000000001</v>
      </c>
      <c r="AB174" s="228">
        <v>-0.7</v>
      </c>
      <c r="AC174" s="229">
        <v>-1.1999999999999999E-3</v>
      </c>
      <c r="AD174" s="228">
        <v>-1.8</v>
      </c>
      <c r="AE174" s="228">
        <v>-1.1000000000000001</v>
      </c>
      <c r="AF174" s="228">
        <v>-0.7</v>
      </c>
      <c r="AG174" s="229">
        <v>-1.1999999999999999E-3</v>
      </c>
      <c r="AH174" s="228">
        <v>6.5</v>
      </c>
      <c r="AI174" s="228">
        <v>7.3</v>
      </c>
      <c r="AJ174" s="228">
        <v>-0.8</v>
      </c>
      <c r="AK174" s="229">
        <v>4.4000000000000003E-3</v>
      </c>
      <c r="AL174" s="228">
        <v>16.3</v>
      </c>
      <c r="AM174" s="228">
        <v>16</v>
      </c>
      <c r="AN174" s="228">
        <v>0.3</v>
      </c>
      <c r="AO174" s="229">
        <v>1.0999999999999999E-2</v>
      </c>
      <c r="AP174" s="231">
        <v>1478.67</v>
      </c>
      <c r="AQ174" s="231">
        <v>1487.17</v>
      </c>
      <c r="AR174" s="228">
        <v>0</v>
      </c>
      <c r="AS174" s="230">
        <v>11007</v>
      </c>
      <c r="AT174" s="230">
        <v>9704</v>
      </c>
      <c r="AU174" s="230">
        <v>1303</v>
      </c>
      <c r="AV174" s="229">
        <v>0.1343</v>
      </c>
      <c r="AW174" s="230">
        <v>5257</v>
      </c>
      <c r="AX174" s="230">
        <v>5000</v>
      </c>
      <c r="AY174" s="228">
        <v>257</v>
      </c>
      <c r="AZ174" s="229">
        <v>5.1400000000000001E-2</v>
      </c>
      <c r="BA174" s="230">
        <v>5626</v>
      </c>
      <c r="BB174" s="230">
        <v>4634</v>
      </c>
      <c r="BC174" s="228">
        <v>992</v>
      </c>
      <c r="BD174" s="229">
        <v>0.21410000000000001</v>
      </c>
      <c r="BE174" s="228">
        <v>124</v>
      </c>
      <c r="BF174" s="228">
        <v>70</v>
      </c>
      <c r="BG174" s="228">
        <v>54</v>
      </c>
      <c r="BH174" s="229">
        <v>0.78139999999999998</v>
      </c>
      <c r="BI174" s="230">
        <v>24157</v>
      </c>
      <c r="BJ174" s="230">
        <v>17457</v>
      </c>
      <c r="BK174" s="230">
        <v>6701</v>
      </c>
      <c r="BL174" s="229">
        <v>0.38379999999999997</v>
      </c>
      <c r="BM174" s="230">
        <v>13592</v>
      </c>
      <c r="BN174" s="230">
        <v>11760</v>
      </c>
      <c r="BO174" s="230">
        <v>1832</v>
      </c>
      <c r="BP174" s="229">
        <v>0.15570000000000001</v>
      </c>
      <c r="BQ174" s="230">
        <v>48756</v>
      </c>
      <c r="BR174" s="230">
        <v>38920</v>
      </c>
      <c r="BS174" s="230">
        <v>9835</v>
      </c>
      <c r="BT174" s="229">
        <v>0.25269999999999998</v>
      </c>
      <c r="BU174" s="230">
        <v>14506890</v>
      </c>
      <c r="BV174" s="230">
        <v>10032428</v>
      </c>
      <c r="BW174" s="230">
        <v>4474462</v>
      </c>
      <c r="BX174" s="229">
        <v>0.44600000000000001</v>
      </c>
      <c r="BY174" s="230">
        <v>18725</v>
      </c>
      <c r="BZ174" s="230">
        <v>18640</v>
      </c>
      <c r="CA174" s="228">
        <v>86</v>
      </c>
      <c r="CB174" s="229">
        <v>4.5999999999999999E-3</v>
      </c>
      <c r="CC174" s="230">
        <v>3667</v>
      </c>
      <c r="CD174" s="230">
        <v>7793</v>
      </c>
      <c r="CE174" s="230">
        <v>-4127</v>
      </c>
      <c r="CF174" s="229">
        <v>-0.52949999999999997</v>
      </c>
      <c r="CG174" s="230">
        <v>14581</v>
      </c>
      <c r="CH174" s="230">
        <v>10398</v>
      </c>
      <c r="CI174" s="230">
        <v>4183</v>
      </c>
      <c r="CJ174" s="229">
        <v>0.4022</v>
      </c>
      <c r="CK174" s="228">
        <v>478</v>
      </c>
      <c r="CL174" s="228">
        <v>448</v>
      </c>
      <c r="CM174" s="228">
        <v>29</v>
      </c>
      <c r="CN174" s="229">
        <v>6.5799999999999997E-2</v>
      </c>
      <c r="CO174" s="230">
        <v>6936</v>
      </c>
      <c r="CP174" s="230">
        <v>7308</v>
      </c>
      <c r="CQ174" s="228">
        <v>-372</v>
      </c>
      <c r="CR174" s="229">
        <v>-5.0900000000000001E-2</v>
      </c>
      <c r="CS174" s="230">
        <v>5644</v>
      </c>
      <c r="CT174" s="230">
        <v>5331</v>
      </c>
      <c r="CU174" s="228">
        <v>314</v>
      </c>
      <c r="CV174" s="229">
        <v>5.8900000000000001E-2</v>
      </c>
      <c r="CW174" s="230">
        <v>31306</v>
      </c>
      <c r="CX174" s="230">
        <v>31278</v>
      </c>
      <c r="CY174" s="228">
        <v>27</v>
      </c>
      <c r="CZ174" s="229">
        <v>8.9999999999999998E-4</v>
      </c>
      <c r="DA174" s="228">
        <v>18.670000000000002</v>
      </c>
      <c r="DB174" s="228">
        <v>18.28</v>
      </c>
      <c r="DC174" s="228">
        <v>0.39</v>
      </c>
      <c r="DD174" s="228">
        <v>0.39</v>
      </c>
      <c r="DE174" s="228">
        <v>24.65</v>
      </c>
      <c r="DF174" s="228">
        <v>24.53</v>
      </c>
      <c r="DG174" s="228">
        <v>-5.98</v>
      </c>
      <c r="DH174" s="228">
        <v>0.12</v>
      </c>
      <c r="DI174" s="228">
        <v>18.28</v>
      </c>
      <c r="DJ174" s="228">
        <v>18.13</v>
      </c>
      <c r="DK174" s="228">
        <v>0.15</v>
      </c>
      <c r="DL174" s="228">
        <v>0.15</v>
      </c>
      <c r="DM174" s="228">
        <v>19.399999999999999</v>
      </c>
      <c r="DN174" s="228">
        <v>18.53</v>
      </c>
      <c r="DO174" s="228">
        <v>0.87</v>
      </c>
      <c r="DP174" s="228">
        <v>0.87</v>
      </c>
      <c r="DQ174" s="228">
        <v>0.81</v>
      </c>
      <c r="DR174" s="228">
        <v>0.73</v>
      </c>
      <c r="DS174" s="228">
        <v>0.08</v>
      </c>
      <c r="DT174" s="229">
        <v>0.1096</v>
      </c>
      <c r="DU174" s="231">
        <v>1500</v>
      </c>
      <c r="DV174" s="231">
        <v>1400</v>
      </c>
      <c r="DW174" s="228">
        <v>0.56000000000000005</v>
      </c>
      <c r="DX174" s="228">
        <v>0.67</v>
      </c>
      <c r="DY174" s="228">
        <v>-0.11</v>
      </c>
      <c r="DZ174" s="229">
        <v>-0.16420000000000001</v>
      </c>
      <c r="EA174" s="229">
        <v>0.80420000000000003</v>
      </c>
      <c r="EB174" s="230">
        <v>73173500</v>
      </c>
      <c r="EC174" s="229">
        <v>5.5999999999999999E-3</v>
      </c>
      <c r="ED174" s="229">
        <v>0.80420000000000003</v>
      </c>
      <c r="EE174" s="228">
        <v>8.5</v>
      </c>
      <c r="EF174" s="229">
        <v>5.7000000000000002E-3</v>
      </c>
      <c r="EG174" s="230">
        <v>9862291</v>
      </c>
      <c r="EH174" s="230">
        <v>5147302</v>
      </c>
      <c r="EI174" s="229">
        <v>0.91600000000000004</v>
      </c>
      <c r="EJ174" s="229">
        <v>0.67979999999999996</v>
      </c>
      <c r="EK174" s="231">
        <v>24480.31</v>
      </c>
      <c r="EL174" s="231">
        <v>13396.54</v>
      </c>
      <c r="EM174" s="231">
        <v>11013.47</v>
      </c>
      <c r="EN174" s="228">
        <v>877.9</v>
      </c>
      <c r="EO174" s="231">
        <v>48890.31</v>
      </c>
      <c r="EP174" s="231">
        <v>38431.54</v>
      </c>
      <c r="EQ174" s="231">
        <v>10458.77</v>
      </c>
      <c r="ER174" s="229">
        <v>0.27210000000000001</v>
      </c>
      <c r="ES174" s="231">
        <v>6885.55</v>
      </c>
      <c r="ET174" s="231">
        <v>5422.32</v>
      </c>
      <c r="EU174" s="231">
        <v>18812.86</v>
      </c>
      <c r="EV174" s="231">
        <v>662701060</v>
      </c>
      <c r="EW174" s="231">
        <v>31120.720000000001</v>
      </c>
      <c r="EX174" s="231">
        <v>30611.8</v>
      </c>
      <c r="EY174" s="228">
        <v>508.92</v>
      </c>
      <c r="EZ174" s="229">
        <v>1.66E-2</v>
      </c>
      <c r="FA174" s="229">
        <v>0.31869999999999998</v>
      </c>
      <c r="FB174" s="227" t="s">
        <v>555</v>
      </c>
      <c r="FC174">
        <f t="shared" si="3"/>
        <v>0</v>
      </c>
    </row>
    <row r="175" spans="1:159" ht="17.25" thickBot="1" x14ac:dyDescent="0.3">
      <c r="A175" s="226">
        <v>45957</v>
      </c>
      <c r="B175" s="227" t="s">
        <v>215</v>
      </c>
      <c r="C175" s="227" t="s">
        <v>676</v>
      </c>
      <c r="D175" s="228">
        <v>1375</v>
      </c>
      <c r="E175" s="228">
        <v>1</v>
      </c>
      <c r="F175" s="228">
        <v>330.7</v>
      </c>
      <c r="G175" s="228">
        <v>329</v>
      </c>
      <c r="H175" s="228">
        <v>1.7</v>
      </c>
      <c r="I175" s="229">
        <v>5.1999999999999998E-3</v>
      </c>
      <c r="J175" s="228">
        <v>330</v>
      </c>
      <c r="K175" s="228">
        <v>329.45</v>
      </c>
      <c r="L175" s="228">
        <v>0.55000000000000004</v>
      </c>
      <c r="M175" s="229">
        <v>1.6999999999999999E-3</v>
      </c>
      <c r="N175" s="228">
        <v>330.7</v>
      </c>
      <c r="O175" s="228">
        <v>329</v>
      </c>
      <c r="P175" s="228">
        <v>1.7</v>
      </c>
      <c r="Q175" s="229">
        <v>5.1999999999999998E-3</v>
      </c>
      <c r="R175" s="228">
        <v>324.5</v>
      </c>
      <c r="S175" s="228">
        <v>321.85000000000002</v>
      </c>
      <c r="T175" s="228">
        <v>2.65</v>
      </c>
      <c r="U175" s="229">
        <v>8.2000000000000007E-3</v>
      </c>
      <c r="V175" s="228">
        <v>320.95</v>
      </c>
      <c r="W175" s="228">
        <v>317.75</v>
      </c>
      <c r="X175" s="228">
        <v>3.2</v>
      </c>
      <c r="Y175" s="229">
        <v>1.01E-2</v>
      </c>
      <c r="Z175" s="228">
        <v>0.7</v>
      </c>
      <c r="AA175" s="228">
        <v>-0.45</v>
      </c>
      <c r="AB175" s="228">
        <v>1.1499999999999999</v>
      </c>
      <c r="AC175" s="229">
        <v>2.0999999999999999E-3</v>
      </c>
      <c r="AD175" s="228">
        <v>0.7</v>
      </c>
      <c r="AE175" s="228">
        <v>-0.45</v>
      </c>
      <c r="AF175" s="228">
        <v>1.1499999999999999</v>
      </c>
      <c r="AG175" s="229">
        <v>2.0999999999999999E-3</v>
      </c>
      <c r="AH175" s="228">
        <v>-5.5</v>
      </c>
      <c r="AI175" s="228">
        <v>-7.6</v>
      </c>
      <c r="AJ175" s="228">
        <v>2.1</v>
      </c>
      <c r="AK175" s="229">
        <v>-1.67E-2</v>
      </c>
      <c r="AL175" s="228">
        <v>-9.0500000000000007</v>
      </c>
      <c r="AM175" s="228">
        <v>-11.7</v>
      </c>
      <c r="AN175" s="228">
        <v>2.65</v>
      </c>
      <c r="AO175" s="229">
        <v>-2.7400000000000001E-2</v>
      </c>
      <c r="AP175" s="228">
        <v>330.19</v>
      </c>
      <c r="AQ175" s="228">
        <v>324.16000000000003</v>
      </c>
      <c r="AR175" s="228">
        <v>0</v>
      </c>
      <c r="AS175" s="228">
        <v>804</v>
      </c>
      <c r="AT175" s="228">
        <v>924</v>
      </c>
      <c r="AU175" s="228">
        <v>-121</v>
      </c>
      <c r="AV175" s="229">
        <v>-0.1305</v>
      </c>
      <c r="AW175" s="228">
        <v>392</v>
      </c>
      <c r="AX175" s="228">
        <v>460</v>
      </c>
      <c r="AY175" s="228">
        <v>-67</v>
      </c>
      <c r="AZ175" s="229">
        <v>-0.1462</v>
      </c>
      <c r="BA175" s="228">
        <v>400</v>
      </c>
      <c r="BB175" s="228">
        <v>451</v>
      </c>
      <c r="BC175" s="228">
        <v>-50</v>
      </c>
      <c r="BD175" s="229">
        <v>-0.1118</v>
      </c>
      <c r="BE175" s="228">
        <v>11</v>
      </c>
      <c r="BF175" s="228">
        <v>14</v>
      </c>
      <c r="BG175" s="228">
        <v>-3</v>
      </c>
      <c r="BH175" s="229">
        <v>-0.21709999999999999</v>
      </c>
      <c r="BI175" s="228">
        <v>522</v>
      </c>
      <c r="BJ175" s="228">
        <v>469</v>
      </c>
      <c r="BK175" s="228">
        <v>53</v>
      </c>
      <c r="BL175" s="229">
        <v>0.1124</v>
      </c>
      <c r="BM175" s="228">
        <v>148</v>
      </c>
      <c r="BN175" s="228">
        <v>141</v>
      </c>
      <c r="BO175" s="228">
        <v>6</v>
      </c>
      <c r="BP175" s="229">
        <v>4.5699999999999998E-2</v>
      </c>
      <c r="BQ175" s="230">
        <v>1473</v>
      </c>
      <c r="BR175" s="230">
        <v>1534</v>
      </c>
      <c r="BS175" s="228">
        <v>-61</v>
      </c>
      <c r="BT175" s="229">
        <v>-0.04</v>
      </c>
      <c r="BU175" s="230">
        <v>2593277</v>
      </c>
      <c r="BV175" s="230">
        <v>2655611</v>
      </c>
      <c r="BW175" s="230">
        <v>-62334</v>
      </c>
      <c r="BX175" s="229">
        <v>-2.35E-2</v>
      </c>
      <c r="BY175" s="230">
        <v>1302</v>
      </c>
      <c r="BZ175" s="230">
        <v>1249</v>
      </c>
      <c r="CA175" s="228">
        <v>53</v>
      </c>
      <c r="CB175" s="229">
        <v>4.24E-2</v>
      </c>
      <c r="CC175" s="228">
        <v>211</v>
      </c>
      <c r="CD175" s="228">
        <v>404</v>
      </c>
      <c r="CE175" s="228">
        <v>-193</v>
      </c>
      <c r="CF175" s="229">
        <v>-0.4783</v>
      </c>
      <c r="CG175" s="230">
        <v>1029</v>
      </c>
      <c r="CH175" s="228">
        <v>786</v>
      </c>
      <c r="CI175" s="228">
        <v>243</v>
      </c>
      <c r="CJ175" s="229">
        <v>0.30890000000000001</v>
      </c>
      <c r="CK175" s="228">
        <v>63</v>
      </c>
      <c r="CL175" s="228">
        <v>59</v>
      </c>
      <c r="CM175" s="228">
        <v>4</v>
      </c>
      <c r="CN175" s="229">
        <v>6.08E-2</v>
      </c>
      <c r="CO175" s="228">
        <v>616</v>
      </c>
      <c r="CP175" s="228">
        <v>637</v>
      </c>
      <c r="CQ175" s="228">
        <v>-21</v>
      </c>
      <c r="CR175" s="229">
        <v>-3.2500000000000001E-2</v>
      </c>
      <c r="CS175" s="228">
        <v>260</v>
      </c>
      <c r="CT175" s="228">
        <v>268</v>
      </c>
      <c r="CU175" s="228">
        <v>-9</v>
      </c>
      <c r="CV175" s="229">
        <v>-3.27E-2</v>
      </c>
      <c r="CW175" s="230">
        <v>2178</v>
      </c>
      <c r="CX175" s="230">
        <v>2154</v>
      </c>
      <c r="CY175" s="228">
        <v>24</v>
      </c>
      <c r="CZ175" s="229">
        <v>1.09E-2</v>
      </c>
      <c r="DA175" s="228">
        <v>36.43</v>
      </c>
      <c r="DB175" s="228">
        <v>36.700000000000003</v>
      </c>
      <c r="DC175" s="228">
        <v>-0.27</v>
      </c>
      <c r="DD175" s="228">
        <v>-0.27</v>
      </c>
      <c r="DE175" s="228">
        <v>57.05</v>
      </c>
      <c r="DF175" s="228">
        <v>57.19</v>
      </c>
      <c r="DG175" s="228">
        <v>-20.62</v>
      </c>
      <c r="DH175" s="228">
        <v>-0.14000000000000001</v>
      </c>
      <c r="DI175" s="228">
        <v>37.299999999999997</v>
      </c>
      <c r="DJ175" s="228">
        <v>37.61</v>
      </c>
      <c r="DK175" s="228">
        <v>-0.31</v>
      </c>
      <c r="DL175" s="228">
        <v>-0.31</v>
      </c>
      <c r="DM175" s="228">
        <v>34.49</v>
      </c>
      <c r="DN175" s="228">
        <v>34.68</v>
      </c>
      <c r="DO175" s="228">
        <v>-0.19</v>
      </c>
      <c r="DP175" s="228">
        <v>-0.19</v>
      </c>
      <c r="DQ175" s="228">
        <v>0.42</v>
      </c>
      <c r="DR175" s="228">
        <v>0.42</v>
      </c>
      <c r="DS175" s="228">
        <v>0</v>
      </c>
      <c r="DT175" s="229">
        <v>0</v>
      </c>
      <c r="DU175" s="228">
        <v>350</v>
      </c>
      <c r="DV175" s="228">
        <v>310</v>
      </c>
      <c r="DW175" s="228">
        <v>0.28000000000000003</v>
      </c>
      <c r="DX175" s="228">
        <v>0.3</v>
      </c>
      <c r="DY175" s="228">
        <v>-0.02</v>
      </c>
      <c r="DZ175" s="229">
        <v>-6.6699999999999995E-2</v>
      </c>
      <c r="EA175" s="229">
        <v>0.83799999999999997</v>
      </c>
      <c r="EB175" s="230">
        <v>25553000</v>
      </c>
      <c r="EC175" s="229">
        <v>-1.8700000000000001E-2</v>
      </c>
      <c r="ED175" s="229">
        <v>0.83799999999999997</v>
      </c>
      <c r="EE175" s="228">
        <v>-6.03</v>
      </c>
      <c r="EF175" s="229">
        <v>-1.83E-2</v>
      </c>
      <c r="EG175" s="230">
        <v>923590</v>
      </c>
      <c r="EH175" s="230">
        <v>967408</v>
      </c>
      <c r="EI175" s="229">
        <v>-4.53E-2</v>
      </c>
      <c r="EJ175" s="229">
        <v>0.35610000000000003</v>
      </c>
      <c r="EK175" s="228">
        <v>551.13</v>
      </c>
      <c r="EL175" s="228">
        <v>148.32</v>
      </c>
      <c r="EM175" s="228">
        <v>794.79</v>
      </c>
      <c r="EN175" s="228">
        <v>118.02</v>
      </c>
      <c r="EO175" s="231">
        <v>1494.24</v>
      </c>
      <c r="EP175" s="231">
        <v>1552.96</v>
      </c>
      <c r="EQ175" s="228">
        <v>-58.73</v>
      </c>
      <c r="ER175" s="229">
        <v>-3.78E-2</v>
      </c>
      <c r="ES175" s="228">
        <v>663.73</v>
      </c>
      <c r="ET175" s="228">
        <v>252.88</v>
      </c>
      <c r="EU175" s="231">
        <v>1281.21</v>
      </c>
      <c r="EV175" s="231">
        <v>84941460</v>
      </c>
      <c r="EW175" s="231">
        <v>2197.8200000000002</v>
      </c>
      <c r="EX175" s="231">
        <v>2175.2800000000002</v>
      </c>
      <c r="EY175" s="228">
        <v>22.54</v>
      </c>
      <c r="EZ175" s="229">
        <v>1.04E-2</v>
      </c>
      <c r="FA175" s="229">
        <v>0.77529999999999999</v>
      </c>
      <c r="FB175" s="227" t="s">
        <v>555</v>
      </c>
      <c r="FC175">
        <f t="shared" si="3"/>
        <v>0</v>
      </c>
    </row>
    <row r="176" spans="1:159" ht="17.25" thickBot="1" x14ac:dyDescent="0.3">
      <c r="A176" s="226">
        <v>45957</v>
      </c>
      <c r="B176" s="227" t="s">
        <v>227</v>
      </c>
      <c r="C176" s="227" t="s">
        <v>282</v>
      </c>
      <c r="D176" s="228">
        <v>4700</v>
      </c>
      <c r="E176" s="228">
        <v>1</v>
      </c>
      <c r="F176" s="228">
        <v>130.44999999999999</v>
      </c>
      <c r="G176" s="228">
        <v>129.54</v>
      </c>
      <c r="H176" s="228">
        <v>0.91</v>
      </c>
      <c r="I176" s="229">
        <v>7.0000000000000001E-3</v>
      </c>
      <c r="J176" s="228">
        <v>129.9</v>
      </c>
      <c r="K176" s="228">
        <v>129.46</v>
      </c>
      <c r="L176" s="228">
        <v>0.44</v>
      </c>
      <c r="M176" s="229">
        <v>3.3999999999999998E-3</v>
      </c>
      <c r="N176" s="228">
        <v>130.44999999999999</v>
      </c>
      <c r="O176" s="228">
        <v>129.54</v>
      </c>
      <c r="P176" s="228">
        <v>0.91</v>
      </c>
      <c r="Q176" s="229">
        <v>7.0000000000000001E-3</v>
      </c>
      <c r="R176" s="228">
        <v>131.15</v>
      </c>
      <c r="S176" s="228">
        <v>130.27000000000001</v>
      </c>
      <c r="T176" s="228">
        <v>0.88</v>
      </c>
      <c r="U176" s="229">
        <v>6.7999999999999996E-3</v>
      </c>
      <c r="V176" s="228">
        <v>131.94999999999999</v>
      </c>
      <c r="W176" s="228">
        <v>131.19</v>
      </c>
      <c r="X176" s="228">
        <v>0.76</v>
      </c>
      <c r="Y176" s="229">
        <v>5.7999999999999996E-3</v>
      </c>
      <c r="Z176" s="228">
        <v>0.55000000000000004</v>
      </c>
      <c r="AA176" s="228">
        <v>0.08</v>
      </c>
      <c r="AB176" s="228">
        <v>0.47</v>
      </c>
      <c r="AC176" s="229">
        <v>4.1999999999999997E-3</v>
      </c>
      <c r="AD176" s="228">
        <v>0.55000000000000004</v>
      </c>
      <c r="AE176" s="228">
        <v>0.08</v>
      </c>
      <c r="AF176" s="228">
        <v>0.47</v>
      </c>
      <c r="AG176" s="229">
        <v>4.1999999999999997E-3</v>
      </c>
      <c r="AH176" s="228">
        <v>1.25</v>
      </c>
      <c r="AI176" s="228">
        <v>0.81</v>
      </c>
      <c r="AJ176" s="228">
        <v>0.44</v>
      </c>
      <c r="AK176" s="229">
        <v>9.5999999999999992E-3</v>
      </c>
      <c r="AL176" s="228">
        <v>2.0499999999999998</v>
      </c>
      <c r="AM176" s="228">
        <v>1.73</v>
      </c>
      <c r="AN176" s="228">
        <v>0.32</v>
      </c>
      <c r="AO176" s="229">
        <v>1.5800000000000002E-2</v>
      </c>
      <c r="AP176" s="228">
        <v>130.15</v>
      </c>
      <c r="AQ176" s="228">
        <v>130.66999999999999</v>
      </c>
      <c r="AR176" s="228">
        <v>0</v>
      </c>
      <c r="AS176" s="228">
        <v>289</v>
      </c>
      <c r="AT176" s="230">
        <v>2454</v>
      </c>
      <c r="AU176" s="230">
        <v>-2165</v>
      </c>
      <c r="AV176" s="229">
        <v>-0.88229999999999997</v>
      </c>
      <c r="AW176" s="228">
        <v>167</v>
      </c>
      <c r="AX176" s="230">
        <v>1196</v>
      </c>
      <c r="AY176" s="230">
        <v>-1029</v>
      </c>
      <c r="AZ176" s="229">
        <v>-0.86029999999999995</v>
      </c>
      <c r="BA176" s="228">
        <v>122</v>
      </c>
      <c r="BB176" s="230">
        <v>1249</v>
      </c>
      <c r="BC176" s="230">
        <v>-1128</v>
      </c>
      <c r="BD176" s="229">
        <v>-0.90269999999999995</v>
      </c>
      <c r="BE176" s="228">
        <v>0</v>
      </c>
      <c r="BF176" s="228">
        <v>9</v>
      </c>
      <c r="BG176" s="228">
        <v>-9</v>
      </c>
      <c r="BH176" s="229">
        <v>-0.97260000000000002</v>
      </c>
      <c r="BI176" s="228">
        <v>133</v>
      </c>
      <c r="BJ176" s="228">
        <v>873</v>
      </c>
      <c r="BK176" s="228">
        <v>-740</v>
      </c>
      <c r="BL176" s="229">
        <v>-0.84760000000000002</v>
      </c>
      <c r="BM176" s="228">
        <v>35</v>
      </c>
      <c r="BN176" s="228">
        <v>466</v>
      </c>
      <c r="BO176" s="228">
        <v>-431</v>
      </c>
      <c r="BP176" s="229">
        <v>-0.92410000000000003</v>
      </c>
      <c r="BQ176" s="228">
        <v>457</v>
      </c>
      <c r="BR176" s="230">
        <v>3793</v>
      </c>
      <c r="BS176" s="230">
        <v>-3336</v>
      </c>
      <c r="BT176" s="229">
        <v>-0.87949999999999995</v>
      </c>
      <c r="BU176" s="230">
        <v>12937530</v>
      </c>
      <c r="BV176" s="230">
        <v>15688342</v>
      </c>
      <c r="BW176" s="230">
        <v>-2750812</v>
      </c>
      <c r="BX176" s="229">
        <v>-0.17530000000000001</v>
      </c>
      <c r="BY176" s="230">
        <v>2623</v>
      </c>
      <c r="BZ176" s="230">
        <v>2771</v>
      </c>
      <c r="CA176" s="228">
        <v>-148</v>
      </c>
      <c r="CB176" s="229">
        <v>-5.3400000000000003E-2</v>
      </c>
      <c r="CC176" s="228">
        <v>972</v>
      </c>
      <c r="CD176" s="230">
        <v>1119</v>
      </c>
      <c r="CE176" s="228">
        <v>-148</v>
      </c>
      <c r="CF176" s="229">
        <v>-0.1318</v>
      </c>
      <c r="CG176" s="230">
        <v>1617</v>
      </c>
      <c r="CH176" s="230">
        <v>1617</v>
      </c>
      <c r="CI176" s="228">
        <v>0</v>
      </c>
      <c r="CJ176" s="229">
        <v>-1E-4</v>
      </c>
      <c r="CK176" s="228">
        <v>34</v>
      </c>
      <c r="CL176" s="228">
        <v>35</v>
      </c>
      <c r="CM176" s="228">
        <v>0</v>
      </c>
      <c r="CN176" s="229">
        <v>-7.1000000000000004E-3</v>
      </c>
      <c r="CO176" s="228">
        <v>745</v>
      </c>
      <c r="CP176" s="228">
        <v>845</v>
      </c>
      <c r="CQ176" s="228">
        <v>-100</v>
      </c>
      <c r="CR176" s="229">
        <v>-0.1187</v>
      </c>
      <c r="CS176" s="228">
        <v>468</v>
      </c>
      <c r="CT176" s="228">
        <v>493</v>
      </c>
      <c r="CU176" s="228">
        <v>-26</v>
      </c>
      <c r="CV176" s="229">
        <v>-5.1700000000000003E-2</v>
      </c>
      <c r="CW176" s="230">
        <v>3835</v>
      </c>
      <c r="CX176" s="230">
        <v>4109</v>
      </c>
      <c r="CY176" s="228">
        <v>-274</v>
      </c>
      <c r="CZ176" s="229">
        <v>-6.6600000000000006E-2</v>
      </c>
      <c r="DA176" s="228">
        <v>33.19</v>
      </c>
      <c r="DB176" s="228">
        <v>35.83</v>
      </c>
      <c r="DC176" s="228">
        <v>-2.64</v>
      </c>
      <c r="DD176" s="228">
        <v>-2.64</v>
      </c>
      <c r="DE176" s="228">
        <v>44.86</v>
      </c>
      <c r="DF176" s="228">
        <v>44.96</v>
      </c>
      <c r="DG176" s="228">
        <v>-11.67</v>
      </c>
      <c r="DH176" s="228">
        <v>-0.1</v>
      </c>
      <c r="DI176" s="228">
        <v>33.39</v>
      </c>
      <c r="DJ176" s="228">
        <v>36.340000000000003</v>
      </c>
      <c r="DK176" s="228">
        <v>-2.95</v>
      </c>
      <c r="DL176" s="228">
        <v>-2.95</v>
      </c>
      <c r="DM176" s="228">
        <v>32.549999999999997</v>
      </c>
      <c r="DN176" s="228">
        <v>35.03</v>
      </c>
      <c r="DO176" s="228">
        <v>-2.48</v>
      </c>
      <c r="DP176" s="228">
        <v>-2.48</v>
      </c>
      <c r="DQ176" s="228">
        <v>0.63</v>
      </c>
      <c r="DR176" s="228">
        <v>0.57999999999999996</v>
      </c>
      <c r="DS176" s="228">
        <v>0.05</v>
      </c>
      <c r="DT176" s="229">
        <v>8.6199999999999999E-2</v>
      </c>
      <c r="DU176" s="228">
        <v>140</v>
      </c>
      <c r="DV176" s="228">
        <v>125</v>
      </c>
      <c r="DW176" s="228">
        <v>0.27</v>
      </c>
      <c r="DX176" s="228">
        <v>0.53</v>
      </c>
      <c r="DY176" s="228">
        <v>-0.26</v>
      </c>
      <c r="DZ176" s="229">
        <v>-0.49059999999999998</v>
      </c>
      <c r="EA176" s="229">
        <v>0.62949999999999995</v>
      </c>
      <c r="EB176" s="230">
        <v>126585100</v>
      </c>
      <c r="EC176" s="229">
        <v>5.4000000000000003E-3</v>
      </c>
      <c r="ED176" s="229">
        <v>0.62949999999999995</v>
      </c>
      <c r="EE176" s="228">
        <v>0.52</v>
      </c>
      <c r="EF176" s="229">
        <v>4.0000000000000001E-3</v>
      </c>
      <c r="EG176" s="230">
        <v>6880947</v>
      </c>
      <c r="EH176" s="230">
        <v>7862598</v>
      </c>
      <c r="EI176" s="229">
        <v>-0.1249</v>
      </c>
      <c r="EJ176" s="229">
        <v>0.53190000000000004</v>
      </c>
      <c r="EK176" s="228">
        <v>137.86000000000001</v>
      </c>
      <c r="EL176" s="228">
        <v>35.4</v>
      </c>
      <c r="EM176" s="228">
        <v>288.58999999999997</v>
      </c>
      <c r="EN176" s="228">
        <v>150.34</v>
      </c>
      <c r="EO176" s="228">
        <v>461.84</v>
      </c>
      <c r="EP176" s="231">
        <v>3834.51</v>
      </c>
      <c r="EQ176" s="231">
        <v>-3372.66</v>
      </c>
      <c r="ER176" s="229">
        <v>-0.87960000000000005</v>
      </c>
      <c r="ES176" s="228">
        <v>783.95</v>
      </c>
      <c r="ET176" s="228">
        <v>461.8</v>
      </c>
      <c r="EU176" s="231">
        <v>2631.73</v>
      </c>
      <c r="EV176" s="231">
        <v>216861410</v>
      </c>
      <c r="EW176" s="231">
        <v>3877.48</v>
      </c>
      <c r="EX176" s="231">
        <v>4135.7299999999996</v>
      </c>
      <c r="EY176" s="228">
        <v>-258.25</v>
      </c>
      <c r="EZ176" s="229">
        <v>-6.2399999999999997E-2</v>
      </c>
      <c r="FA176" s="229">
        <v>1.3556999999999999</v>
      </c>
      <c r="FB176" s="227" t="s">
        <v>556</v>
      </c>
      <c r="FC176">
        <f t="shared" si="3"/>
        <v>0</v>
      </c>
    </row>
    <row r="177" spans="1:159" ht="17.25" thickBot="1" x14ac:dyDescent="0.3">
      <c r="A177" s="226">
        <v>45957</v>
      </c>
      <c r="B177" s="227" t="s">
        <v>175</v>
      </c>
      <c r="C177" s="227" t="s">
        <v>687</v>
      </c>
      <c r="D177" s="228">
        <v>4300</v>
      </c>
      <c r="E177" s="228">
        <v>1</v>
      </c>
      <c r="F177" s="228">
        <v>189.13</v>
      </c>
      <c r="G177" s="228">
        <v>188.67</v>
      </c>
      <c r="H177" s="228">
        <v>0.46</v>
      </c>
      <c r="I177" s="229">
        <v>2.3999999999999998E-3</v>
      </c>
      <c r="J177" s="228">
        <v>188.63</v>
      </c>
      <c r="K177" s="228">
        <v>188.25</v>
      </c>
      <c r="L177" s="228">
        <v>0.38</v>
      </c>
      <c r="M177" s="229">
        <v>2E-3</v>
      </c>
      <c r="N177" s="228">
        <v>189.13</v>
      </c>
      <c r="O177" s="228">
        <v>188.67</v>
      </c>
      <c r="P177" s="228">
        <v>0.46</v>
      </c>
      <c r="Q177" s="229">
        <v>2.3999999999999998E-3</v>
      </c>
      <c r="R177" s="228">
        <v>189.75</v>
      </c>
      <c r="S177" s="228">
        <v>189.79</v>
      </c>
      <c r="T177" s="228">
        <v>-0.04</v>
      </c>
      <c r="U177" s="229">
        <v>-2.0000000000000001E-4</v>
      </c>
      <c r="V177" s="228">
        <v>191.95</v>
      </c>
      <c r="W177" s="228">
        <v>190.92</v>
      </c>
      <c r="X177" s="228">
        <v>1.03</v>
      </c>
      <c r="Y177" s="229">
        <v>5.4000000000000003E-3</v>
      </c>
      <c r="Z177" s="228">
        <v>0.5</v>
      </c>
      <c r="AA177" s="228">
        <v>0.42</v>
      </c>
      <c r="AB177" s="228">
        <v>0.08</v>
      </c>
      <c r="AC177" s="229">
        <v>2.7000000000000001E-3</v>
      </c>
      <c r="AD177" s="228">
        <v>0.5</v>
      </c>
      <c r="AE177" s="228">
        <v>0.42</v>
      </c>
      <c r="AF177" s="228">
        <v>0.08</v>
      </c>
      <c r="AG177" s="229">
        <v>2.7000000000000001E-3</v>
      </c>
      <c r="AH177" s="228">
        <v>1.1200000000000001</v>
      </c>
      <c r="AI177" s="228">
        <v>1.54</v>
      </c>
      <c r="AJ177" s="228">
        <v>-0.42</v>
      </c>
      <c r="AK177" s="229">
        <v>5.8999999999999999E-3</v>
      </c>
      <c r="AL177" s="228">
        <v>3.32</v>
      </c>
      <c r="AM177" s="228">
        <v>2.67</v>
      </c>
      <c r="AN177" s="228">
        <v>0.65</v>
      </c>
      <c r="AO177" s="229">
        <v>1.7600000000000001E-2</v>
      </c>
      <c r="AP177" s="228">
        <v>188.3</v>
      </c>
      <c r="AQ177" s="228">
        <v>189.09</v>
      </c>
      <c r="AR177" s="228">
        <v>0</v>
      </c>
      <c r="AS177" s="228">
        <v>194</v>
      </c>
      <c r="AT177" s="230">
        <v>4426</v>
      </c>
      <c r="AU177" s="230">
        <v>-4231</v>
      </c>
      <c r="AV177" s="229">
        <v>-0.95609999999999995</v>
      </c>
      <c r="AW177" s="228">
        <v>140</v>
      </c>
      <c r="AX177" s="230">
        <v>2006</v>
      </c>
      <c r="AY177" s="230">
        <v>-1865</v>
      </c>
      <c r="AZ177" s="229">
        <v>-0.93010000000000004</v>
      </c>
      <c r="BA177" s="228">
        <v>54</v>
      </c>
      <c r="BB177" s="230">
        <v>2390</v>
      </c>
      <c r="BC177" s="230">
        <v>-2337</v>
      </c>
      <c r="BD177" s="229">
        <v>-0.97760000000000002</v>
      </c>
      <c r="BE177" s="228">
        <v>0</v>
      </c>
      <c r="BF177" s="228">
        <v>30</v>
      </c>
      <c r="BG177" s="228">
        <v>-29</v>
      </c>
      <c r="BH177" s="229">
        <v>-0.98350000000000004</v>
      </c>
      <c r="BI177" s="228">
        <v>135</v>
      </c>
      <c r="BJ177" s="230">
        <v>4525</v>
      </c>
      <c r="BK177" s="230">
        <v>-4390</v>
      </c>
      <c r="BL177" s="229">
        <v>-0.97019999999999995</v>
      </c>
      <c r="BM177" s="228">
        <v>98</v>
      </c>
      <c r="BN177" s="230">
        <v>1814</v>
      </c>
      <c r="BO177" s="230">
        <v>-1716</v>
      </c>
      <c r="BP177" s="229">
        <v>-0.94579999999999997</v>
      </c>
      <c r="BQ177" s="228">
        <v>428</v>
      </c>
      <c r="BR177" s="230">
        <v>10765</v>
      </c>
      <c r="BS177" s="230">
        <v>-10338</v>
      </c>
      <c r="BT177" s="229">
        <v>-0.96030000000000004</v>
      </c>
      <c r="BU177" s="230">
        <v>25369302</v>
      </c>
      <c r="BV177" s="230">
        <v>79912031</v>
      </c>
      <c r="BW177" s="230">
        <v>-54542729</v>
      </c>
      <c r="BX177" s="229">
        <v>-0.6825</v>
      </c>
      <c r="BY177" s="230">
        <v>2097</v>
      </c>
      <c r="BZ177" s="230">
        <v>2231</v>
      </c>
      <c r="CA177" s="228">
        <v>-134</v>
      </c>
      <c r="CB177" s="229">
        <v>-5.9900000000000002E-2</v>
      </c>
      <c r="CC177" s="228">
        <v>295</v>
      </c>
      <c r="CD177" s="228">
        <v>386</v>
      </c>
      <c r="CE177" s="228">
        <v>-92</v>
      </c>
      <c r="CF177" s="229">
        <v>-0.23710000000000001</v>
      </c>
      <c r="CG177" s="230">
        <v>1785</v>
      </c>
      <c r="CH177" s="230">
        <v>1827</v>
      </c>
      <c r="CI177" s="228">
        <v>-42</v>
      </c>
      <c r="CJ177" s="229">
        <v>-2.2800000000000001E-2</v>
      </c>
      <c r="CK177" s="228">
        <v>18</v>
      </c>
      <c r="CL177" s="228">
        <v>18</v>
      </c>
      <c r="CM177" s="228">
        <v>0</v>
      </c>
      <c r="CN177" s="229">
        <v>-2.2499999999999999E-2</v>
      </c>
      <c r="CO177" s="228">
        <v>600</v>
      </c>
      <c r="CP177" s="228">
        <v>690</v>
      </c>
      <c r="CQ177" s="228">
        <v>-90</v>
      </c>
      <c r="CR177" s="229">
        <v>-0.1305</v>
      </c>
      <c r="CS177" s="228">
        <v>701</v>
      </c>
      <c r="CT177" s="228">
        <v>758</v>
      </c>
      <c r="CU177" s="228">
        <v>-58</v>
      </c>
      <c r="CV177" s="229">
        <v>-7.5899999999999995E-2</v>
      </c>
      <c r="CW177" s="230">
        <v>3398</v>
      </c>
      <c r="CX177" s="230">
        <v>3679</v>
      </c>
      <c r="CY177" s="228">
        <v>-281</v>
      </c>
      <c r="CZ177" s="229">
        <v>-7.6399999999999996E-2</v>
      </c>
      <c r="DA177" s="228">
        <v>40.880000000000003</v>
      </c>
      <c r="DB177" s="228">
        <v>42.72</v>
      </c>
      <c r="DC177" s="228">
        <v>-1.84</v>
      </c>
      <c r="DD177" s="228">
        <v>-1.84</v>
      </c>
      <c r="DE177" s="228">
        <v>57.6</v>
      </c>
      <c r="DF177" s="228">
        <v>57.74</v>
      </c>
      <c r="DG177" s="228">
        <v>-16.72</v>
      </c>
      <c r="DH177" s="228">
        <v>-0.14000000000000001</v>
      </c>
      <c r="DI177" s="228">
        <v>40.130000000000003</v>
      </c>
      <c r="DJ177" s="228">
        <v>42.28</v>
      </c>
      <c r="DK177" s="228">
        <v>-2.15</v>
      </c>
      <c r="DL177" s="228">
        <v>-2.15</v>
      </c>
      <c r="DM177" s="228">
        <v>42.56</v>
      </c>
      <c r="DN177" s="228">
        <v>43.6</v>
      </c>
      <c r="DO177" s="228">
        <v>-1.04</v>
      </c>
      <c r="DP177" s="228">
        <v>-1.04</v>
      </c>
      <c r="DQ177" s="228">
        <v>1.17</v>
      </c>
      <c r="DR177" s="228">
        <v>1.1000000000000001</v>
      </c>
      <c r="DS177" s="228">
        <v>7.0000000000000007E-2</v>
      </c>
      <c r="DT177" s="229">
        <v>6.3600000000000004E-2</v>
      </c>
      <c r="DU177" s="228">
        <v>190</v>
      </c>
      <c r="DV177" s="228">
        <v>190</v>
      </c>
      <c r="DW177" s="228">
        <v>0.73</v>
      </c>
      <c r="DX177" s="228">
        <v>0.4</v>
      </c>
      <c r="DY177" s="228">
        <v>0.33</v>
      </c>
      <c r="DZ177" s="229">
        <v>0.82499999999999996</v>
      </c>
      <c r="EA177" s="229">
        <v>0.85950000000000004</v>
      </c>
      <c r="EB177" s="230">
        <v>97541200</v>
      </c>
      <c r="EC177" s="229">
        <v>3.3E-3</v>
      </c>
      <c r="ED177" s="229">
        <v>0.85950000000000004</v>
      </c>
      <c r="EE177" s="228">
        <v>0.79</v>
      </c>
      <c r="EF177" s="229">
        <v>4.1999999999999997E-3</v>
      </c>
      <c r="EG177" s="230">
        <v>9823510</v>
      </c>
      <c r="EH177" s="230">
        <v>24824172</v>
      </c>
      <c r="EI177" s="229">
        <v>-0.60429999999999995</v>
      </c>
      <c r="EJ177" s="229">
        <v>0.38719999999999999</v>
      </c>
      <c r="EK177" s="228">
        <v>137.71</v>
      </c>
      <c r="EL177" s="228">
        <v>93.88</v>
      </c>
      <c r="EM177" s="228">
        <v>193.67</v>
      </c>
      <c r="EN177" s="228">
        <v>144.53</v>
      </c>
      <c r="EO177" s="228">
        <v>425.26</v>
      </c>
      <c r="EP177" s="231">
        <v>10620.59</v>
      </c>
      <c r="EQ177" s="231">
        <v>-10195.33</v>
      </c>
      <c r="ER177" s="229">
        <v>-0.96</v>
      </c>
      <c r="ES177" s="228">
        <v>566.13</v>
      </c>
      <c r="ET177" s="228">
        <v>598.70000000000005</v>
      </c>
      <c r="EU177" s="231">
        <v>2103.59</v>
      </c>
      <c r="EV177" s="231">
        <v>122326971</v>
      </c>
      <c r="EW177" s="231">
        <v>3268.42</v>
      </c>
      <c r="EX177" s="231">
        <v>3546.13</v>
      </c>
      <c r="EY177" s="228">
        <v>-277.70999999999998</v>
      </c>
      <c r="EZ177" s="229">
        <v>-7.8299999999999995E-2</v>
      </c>
      <c r="FA177" s="229">
        <v>1.4686999999999999</v>
      </c>
      <c r="FB177" s="227" t="s">
        <v>556</v>
      </c>
      <c r="FC177">
        <f t="shared" si="3"/>
        <v>0</v>
      </c>
    </row>
    <row r="178" spans="1:159" ht="17.25" thickBot="1" x14ac:dyDescent="0.3">
      <c r="A178" s="226">
        <v>45957</v>
      </c>
      <c r="B178" s="227" t="s">
        <v>175</v>
      </c>
      <c r="C178" s="227" t="s">
        <v>536</v>
      </c>
      <c r="D178" s="228">
        <v>800</v>
      </c>
      <c r="E178" s="228">
        <v>1</v>
      </c>
      <c r="F178" s="228">
        <v>900.6</v>
      </c>
      <c r="G178" s="228">
        <v>931.1</v>
      </c>
      <c r="H178" s="228">
        <v>-30.5</v>
      </c>
      <c r="I178" s="229">
        <v>-3.2800000000000003E-2</v>
      </c>
      <c r="J178" s="228">
        <v>900.8</v>
      </c>
      <c r="K178" s="228">
        <v>928.95</v>
      </c>
      <c r="L178" s="228">
        <v>-28.15</v>
      </c>
      <c r="M178" s="229">
        <v>-3.0300000000000001E-2</v>
      </c>
      <c r="N178" s="228">
        <v>900.6</v>
      </c>
      <c r="O178" s="228">
        <v>931.1</v>
      </c>
      <c r="P178" s="228">
        <v>-30.5</v>
      </c>
      <c r="Q178" s="229">
        <v>-3.2800000000000003E-2</v>
      </c>
      <c r="R178" s="228">
        <v>888.2</v>
      </c>
      <c r="S178" s="228">
        <v>914.45</v>
      </c>
      <c r="T178" s="228">
        <v>-26.25</v>
      </c>
      <c r="U178" s="229">
        <v>-2.87E-2</v>
      </c>
      <c r="V178" s="228">
        <v>877.35</v>
      </c>
      <c r="W178" s="228">
        <v>903.3</v>
      </c>
      <c r="X178" s="228">
        <v>-25.95</v>
      </c>
      <c r="Y178" s="229">
        <v>-2.87E-2</v>
      </c>
      <c r="Z178" s="228">
        <v>-0.2</v>
      </c>
      <c r="AA178" s="228">
        <v>2.15</v>
      </c>
      <c r="AB178" s="228">
        <v>-2.35</v>
      </c>
      <c r="AC178" s="229">
        <v>-2.0000000000000001E-4</v>
      </c>
      <c r="AD178" s="228">
        <v>-0.2</v>
      </c>
      <c r="AE178" s="228">
        <v>2.15</v>
      </c>
      <c r="AF178" s="228">
        <v>-2.35</v>
      </c>
      <c r="AG178" s="229">
        <v>-2.0000000000000001E-4</v>
      </c>
      <c r="AH178" s="228">
        <v>-12.6</v>
      </c>
      <c r="AI178" s="228">
        <v>-14.5</v>
      </c>
      <c r="AJ178" s="228">
        <v>1.9</v>
      </c>
      <c r="AK178" s="229">
        <v>-1.4E-2</v>
      </c>
      <c r="AL178" s="228">
        <v>-23.45</v>
      </c>
      <c r="AM178" s="228">
        <v>-25.65</v>
      </c>
      <c r="AN178" s="228">
        <v>2.2000000000000002</v>
      </c>
      <c r="AO178" s="229">
        <v>-2.5999999999999999E-2</v>
      </c>
      <c r="AP178" s="228">
        <v>903.78</v>
      </c>
      <c r="AQ178" s="228">
        <v>886.35</v>
      </c>
      <c r="AR178" s="228">
        <v>0</v>
      </c>
      <c r="AS178" s="230">
        <v>2351</v>
      </c>
      <c r="AT178" s="230">
        <v>2512</v>
      </c>
      <c r="AU178" s="228">
        <v>-161</v>
      </c>
      <c r="AV178" s="229">
        <v>-6.4000000000000001E-2</v>
      </c>
      <c r="AW178" s="230">
        <v>1018</v>
      </c>
      <c r="AX178" s="230">
        <v>1207</v>
      </c>
      <c r="AY178" s="228">
        <v>-189</v>
      </c>
      <c r="AZ178" s="229">
        <v>-0.15690000000000001</v>
      </c>
      <c r="BA178" s="230">
        <v>1302</v>
      </c>
      <c r="BB178" s="230">
        <v>1283</v>
      </c>
      <c r="BC178" s="228">
        <v>19</v>
      </c>
      <c r="BD178" s="229">
        <v>1.47E-2</v>
      </c>
      <c r="BE178" s="228">
        <v>31</v>
      </c>
      <c r="BF178" s="228">
        <v>21</v>
      </c>
      <c r="BG178" s="228">
        <v>10</v>
      </c>
      <c r="BH178" s="229">
        <v>0.4662</v>
      </c>
      <c r="BI178" s="230">
        <v>4267</v>
      </c>
      <c r="BJ178" s="230">
        <v>3926</v>
      </c>
      <c r="BK178" s="228">
        <v>341</v>
      </c>
      <c r="BL178" s="229">
        <v>8.6900000000000005E-2</v>
      </c>
      <c r="BM178" s="230">
        <v>2364</v>
      </c>
      <c r="BN178" s="230">
        <v>2313</v>
      </c>
      <c r="BO178" s="228">
        <v>51</v>
      </c>
      <c r="BP178" s="229">
        <v>2.2100000000000002E-2</v>
      </c>
      <c r="BQ178" s="230">
        <v>8982</v>
      </c>
      <c r="BR178" s="230">
        <v>8750</v>
      </c>
      <c r="BS178" s="228">
        <v>232</v>
      </c>
      <c r="BT178" s="229">
        <v>2.6499999999999999E-2</v>
      </c>
      <c r="BU178" s="230">
        <v>3408818</v>
      </c>
      <c r="BV178" s="230">
        <v>2481656</v>
      </c>
      <c r="BW178" s="230">
        <v>927162</v>
      </c>
      <c r="BX178" s="229">
        <v>0.37359999999999999</v>
      </c>
      <c r="BY178" s="230">
        <v>1912</v>
      </c>
      <c r="BZ178" s="230">
        <v>1928</v>
      </c>
      <c r="CA178" s="228">
        <v>-17</v>
      </c>
      <c r="CB178" s="229">
        <v>-8.6999999999999994E-3</v>
      </c>
      <c r="CC178" s="228">
        <v>207</v>
      </c>
      <c r="CD178" s="228">
        <v>765</v>
      </c>
      <c r="CE178" s="228">
        <v>-558</v>
      </c>
      <c r="CF178" s="229">
        <v>-0.72889999999999999</v>
      </c>
      <c r="CG178" s="230">
        <v>1620</v>
      </c>
      <c r="CH178" s="230">
        <v>1089</v>
      </c>
      <c r="CI178" s="228">
        <v>531</v>
      </c>
      <c r="CJ178" s="229">
        <v>0.4874</v>
      </c>
      <c r="CK178" s="228">
        <v>84</v>
      </c>
      <c r="CL178" s="228">
        <v>74</v>
      </c>
      <c r="CM178" s="228">
        <v>10</v>
      </c>
      <c r="CN178" s="229">
        <v>0.13439999999999999</v>
      </c>
      <c r="CO178" s="228">
        <v>987</v>
      </c>
      <c r="CP178" s="228">
        <v>861</v>
      </c>
      <c r="CQ178" s="228">
        <v>126</v>
      </c>
      <c r="CR178" s="229">
        <v>0.1469</v>
      </c>
      <c r="CS178" s="228">
        <v>505</v>
      </c>
      <c r="CT178" s="228">
        <v>632</v>
      </c>
      <c r="CU178" s="228">
        <v>-127</v>
      </c>
      <c r="CV178" s="229">
        <v>-0.2011</v>
      </c>
      <c r="CW178" s="230">
        <v>3403</v>
      </c>
      <c r="CX178" s="230">
        <v>3421</v>
      </c>
      <c r="CY178" s="228">
        <v>-17</v>
      </c>
      <c r="CZ178" s="229">
        <v>-5.1000000000000004E-3</v>
      </c>
      <c r="DA178" s="228">
        <v>25.25</v>
      </c>
      <c r="DB178" s="228">
        <v>30.65</v>
      </c>
      <c r="DC178" s="228">
        <v>-5.4</v>
      </c>
      <c r="DD178" s="228">
        <v>-5.4</v>
      </c>
      <c r="DE178" s="228">
        <v>30.17</v>
      </c>
      <c r="DF178" s="228">
        <v>29.96</v>
      </c>
      <c r="DG178" s="228">
        <v>-4.92</v>
      </c>
      <c r="DH178" s="228">
        <v>0.21</v>
      </c>
      <c r="DI178" s="228">
        <v>25.64</v>
      </c>
      <c r="DJ178" s="228">
        <v>30.81</v>
      </c>
      <c r="DK178" s="228">
        <v>-5.17</v>
      </c>
      <c r="DL178" s="228">
        <v>-5.17</v>
      </c>
      <c r="DM178" s="228">
        <v>24.2</v>
      </c>
      <c r="DN178" s="228">
        <v>30.18</v>
      </c>
      <c r="DO178" s="228">
        <v>-5.98</v>
      </c>
      <c r="DP178" s="228">
        <v>-5.98</v>
      </c>
      <c r="DQ178" s="228">
        <v>0.51</v>
      </c>
      <c r="DR178" s="228">
        <v>0.73</v>
      </c>
      <c r="DS178" s="228">
        <v>-0.22</v>
      </c>
      <c r="DT178" s="229">
        <v>-0.3014</v>
      </c>
      <c r="DU178" s="231">
        <v>1000</v>
      </c>
      <c r="DV178" s="228">
        <v>900</v>
      </c>
      <c r="DW178" s="228">
        <v>0.55000000000000004</v>
      </c>
      <c r="DX178" s="228">
        <v>0.59</v>
      </c>
      <c r="DY178" s="228">
        <v>-0.04</v>
      </c>
      <c r="DZ178" s="229">
        <v>-6.7799999999999999E-2</v>
      </c>
      <c r="EA178" s="229">
        <v>0.89149999999999996</v>
      </c>
      <c r="EB178" s="230">
        <v>12917600</v>
      </c>
      <c r="EC178" s="229">
        <v>-1.38E-2</v>
      </c>
      <c r="ED178" s="229">
        <v>0.89149999999999996</v>
      </c>
      <c r="EE178" s="228">
        <v>-17.43</v>
      </c>
      <c r="EF178" s="229">
        <v>-1.9300000000000001E-2</v>
      </c>
      <c r="EG178" s="230">
        <v>780149</v>
      </c>
      <c r="EH178" s="230">
        <v>994416</v>
      </c>
      <c r="EI178" s="229">
        <v>-0.2155</v>
      </c>
      <c r="EJ178" s="229">
        <v>0.22889999999999999</v>
      </c>
      <c r="EK178" s="231">
        <v>4459.21</v>
      </c>
      <c r="EL178" s="231">
        <v>2353.7199999999998</v>
      </c>
      <c r="EM178" s="231">
        <v>2333.12</v>
      </c>
      <c r="EN178" s="228">
        <v>173.74</v>
      </c>
      <c r="EO178" s="231">
        <v>9146.0400000000009</v>
      </c>
      <c r="EP178" s="231">
        <v>9102.1</v>
      </c>
      <c r="EQ178" s="228">
        <v>43.94</v>
      </c>
      <c r="ER178" s="229">
        <v>4.7999999999999996E-3</v>
      </c>
      <c r="ES178" s="231">
        <v>1042.23</v>
      </c>
      <c r="ET178" s="228">
        <v>486.72</v>
      </c>
      <c r="EU178" s="231">
        <v>1887.17</v>
      </c>
      <c r="EV178" s="231">
        <v>39583537</v>
      </c>
      <c r="EW178" s="231">
        <v>3416.12</v>
      </c>
      <c r="EX178" s="231">
        <v>3508.74</v>
      </c>
      <c r="EY178" s="228">
        <v>-92.62</v>
      </c>
      <c r="EZ178" s="229">
        <v>-2.64E-2</v>
      </c>
      <c r="FA178" s="229">
        <v>0.95469999999999999</v>
      </c>
      <c r="FB178" s="227" t="s">
        <v>568</v>
      </c>
      <c r="FC178">
        <f t="shared" si="3"/>
        <v>0</v>
      </c>
    </row>
    <row r="179" spans="1:159" ht="17.25" thickBot="1" x14ac:dyDescent="0.3">
      <c r="A179" s="226">
        <v>45957</v>
      </c>
      <c r="B179" s="227" t="s">
        <v>175</v>
      </c>
      <c r="C179" s="227" t="s">
        <v>462</v>
      </c>
      <c r="D179" s="228">
        <v>375</v>
      </c>
      <c r="E179" s="228">
        <v>1</v>
      </c>
      <c r="F179" s="231">
        <v>1899.9</v>
      </c>
      <c r="G179" s="231">
        <v>1839.2</v>
      </c>
      <c r="H179" s="228">
        <v>60.7</v>
      </c>
      <c r="I179" s="229">
        <v>3.3000000000000002E-2</v>
      </c>
      <c r="J179" s="231">
        <v>1903.1</v>
      </c>
      <c r="K179" s="231">
        <v>1839.8</v>
      </c>
      <c r="L179" s="228">
        <v>63.3</v>
      </c>
      <c r="M179" s="229">
        <v>3.44E-2</v>
      </c>
      <c r="N179" s="231">
        <v>1899.9</v>
      </c>
      <c r="O179" s="231">
        <v>1839.2</v>
      </c>
      <c r="P179" s="228">
        <v>60.7</v>
      </c>
      <c r="Q179" s="229">
        <v>3.3000000000000002E-2</v>
      </c>
      <c r="R179" s="231">
        <v>1912.4</v>
      </c>
      <c r="S179" s="231">
        <v>1849.5</v>
      </c>
      <c r="T179" s="228">
        <v>62.9</v>
      </c>
      <c r="U179" s="229">
        <v>3.4000000000000002E-2</v>
      </c>
      <c r="V179" s="231">
        <v>1924.1</v>
      </c>
      <c r="W179" s="231">
        <v>1861.9</v>
      </c>
      <c r="X179" s="228">
        <v>62.2</v>
      </c>
      <c r="Y179" s="229">
        <v>3.3399999999999999E-2</v>
      </c>
      <c r="Z179" s="228">
        <v>-3.2</v>
      </c>
      <c r="AA179" s="228">
        <v>-0.6</v>
      </c>
      <c r="AB179" s="228">
        <v>-2.6</v>
      </c>
      <c r="AC179" s="229">
        <v>-1.6999999999999999E-3</v>
      </c>
      <c r="AD179" s="228">
        <v>-3.2</v>
      </c>
      <c r="AE179" s="228">
        <v>-0.6</v>
      </c>
      <c r="AF179" s="228">
        <v>-2.6</v>
      </c>
      <c r="AG179" s="229">
        <v>-1.6999999999999999E-3</v>
      </c>
      <c r="AH179" s="228">
        <v>9.3000000000000007</v>
      </c>
      <c r="AI179" s="228">
        <v>9.6999999999999993</v>
      </c>
      <c r="AJ179" s="228">
        <v>-0.4</v>
      </c>
      <c r="AK179" s="229">
        <v>4.8999999999999998E-3</v>
      </c>
      <c r="AL179" s="228">
        <v>21</v>
      </c>
      <c r="AM179" s="228">
        <v>22.1</v>
      </c>
      <c r="AN179" s="228">
        <v>-1.1000000000000001</v>
      </c>
      <c r="AO179" s="229">
        <v>1.0999999999999999E-2</v>
      </c>
      <c r="AP179" s="231">
        <v>1900.12</v>
      </c>
      <c r="AQ179" s="231">
        <v>1911.67</v>
      </c>
      <c r="AR179" s="228">
        <v>0</v>
      </c>
      <c r="AS179" s="230">
        <v>1725</v>
      </c>
      <c r="AT179" s="230">
        <v>1322</v>
      </c>
      <c r="AU179" s="228">
        <v>404</v>
      </c>
      <c r="AV179" s="229">
        <v>0.30530000000000002</v>
      </c>
      <c r="AW179" s="228">
        <v>702</v>
      </c>
      <c r="AX179" s="228">
        <v>666</v>
      </c>
      <c r="AY179" s="228">
        <v>35</v>
      </c>
      <c r="AZ179" s="229">
        <v>5.2999999999999999E-2</v>
      </c>
      <c r="BA179" s="230">
        <v>1006</v>
      </c>
      <c r="BB179" s="228">
        <v>654</v>
      </c>
      <c r="BC179" s="228">
        <v>352</v>
      </c>
      <c r="BD179" s="229">
        <v>0.53879999999999995</v>
      </c>
      <c r="BE179" s="228">
        <v>17</v>
      </c>
      <c r="BF179" s="228">
        <v>1</v>
      </c>
      <c r="BG179" s="228">
        <v>16</v>
      </c>
      <c r="BH179" s="229">
        <v>10.571400000000001</v>
      </c>
      <c r="BI179" s="230">
        <v>8206</v>
      </c>
      <c r="BJ179" s="230">
        <v>1951</v>
      </c>
      <c r="BK179" s="230">
        <v>6255</v>
      </c>
      <c r="BL179" s="229">
        <v>3.2050999999999998</v>
      </c>
      <c r="BM179" s="230">
        <v>3931</v>
      </c>
      <c r="BN179" s="230">
        <v>1430</v>
      </c>
      <c r="BO179" s="230">
        <v>2501</v>
      </c>
      <c r="BP179" s="229">
        <v>1.7486999999999999</v>
      </c>
      <c r="BQ179" s="230">
        <v>13862</v>
      </c>
      <c r="BR179" s="230">
        <v>4703</v>
      </c>
      <c r="BS179" s="230">
        <v>9159</v>
      </c>
      <c r="BT179" s="229">
        <v>1.9473</v>
      </c>
      <c r="BU179" s="230">
        <v>3001432</v>
      </c>
      <c r="BV179" s="230">
        <v>581292</v>
      </c>
      <c r="BW179" s="230">
        <v>2420140</v>
      </c>
      <c r="BX179" s="229">
        <v>4.1634000000000002</v>
      </c>
      <c r="BY179" s="230">
        <v>1427</v>
      </c>
      <c r="BZ179" s="230">
        <v>1381</v>
      </c>
      <c r="CA179" s="228">
        <v>46</v>
      </c>
      <c r="CB179" s="229">
        <v>3.3399999999999999E-2</v>
      </c>
      <c r="CC179" s="228">
        <v>197</v>
      </c>
      <c r="CD179" s="228">
        <v>505</v>
      </c>
      <c r="CE179" s="228">
        <v>-309</v>
      </c>
      <c r="CF179" s="229">
        <v>-0.61080000000000001</v>
      </c>
      <c r="CG179" s="230">
        <v>1217</v>
      </c>
      <c r="CH179" s="228">
        <v>868</v>
      </c>
      <c r="CI179" s="228">
        <v>349</v>
      </c>
      <c r="CJ179" s="229">
        <v>0.40150000000000002</v>
      </c>
      <c r="CK179" s="228">
        <v>14</v>
      </c>
      <c r="CL179" s="228">
        <v>7</v>
      </c>
      <c r="CM179" s="228">
        <v>6</v>
      </c>
      <c r="CN179" s="229">
        <v>0.83650000000000002</v>
      </c>
      <c r="CO179" s="228">
        <v>768</v>
      </c>
      <c r="CP179" s="228">
        <v>684</v>
      </c>
      <c r="CQ179" s="228">
        <v>84</v>
      </c>
      <c r="CR179" s="229">
        <v>0.12239999999999999</v>
      </c>
      <c r="CS179" s="228">
        <v>541</v>
      </c>
      <c r="CT179" s="228">
        <v>383</v>
      </c>
      <c r="CU179" s="228">
        <v>158</v>
      </c>
      <c r="CV179" s="229">
        <v>0.41339999999999999</v>
      </c>
      <c r="CW179" s="230">
        <v>2737</v>
      </c>
      <c r="CX179" s="230">
        <v>2448</v>
      </c>
      <c r="CY179" s="228">
        <v>288</v>
      </c>
      <c r="CZ179" s="229">
        <v>0.1177</v>
      </c>
      <c r="DA179" s="228">
        <v>20.67</v>
      </c>
      <c r="DB179" s="228">
        <v>22.68</v>
      </c>
      <c r="DC179" s="228">
        <v>-2.0099999999999998</v>
      </c>
      <c r="DD179" s="228">
        <v>-2.0099999999999998</v>
      </c>
      <c r="DE179" s="228">
        <v>25.73</v>
      </c>
      <c r="DF179" s="228">
        <v>25.38</v>
      </c>
      <c r="DG179" s="228">
        <v>-5.0599999999999996</v>
      </c>
      <c r="DH179" s="228">
        <v>0.35</v>
      </c>
      <c r="DI179" s="228">
        <v>20.32</v>
      </c>
      <c r="DJ179" s="228">
        <v>22.64</v>
      </c>
      <c r="DK179" s="228">
        <v>-2.3199999999999998</v>
      </c>
      <c r="DL179" s="228">
        <v>-2.3199999999999998</v>
      </c>
      <c r="DM179" s="228">
        <v>21.33</v>
      </c>
      <c r="DN179" s="228">
        <v>22.76</v>
      </c>
      <c r="DO179" s="228">
        <v>-1.43</v>
      </c>
      <c r="DP179" s="228">
        <v>-1.43</v>
      </c>
      <c r="DQ179" s="228">
        <v>0.7</v>
      </c>
      <c r="DR179" s="228">
        <v>0.56000000000000005</v>
      </c>
      <c r="DS179" s="228">
        <v>0.14000000000000001</v>
      </c>
      <c r="DT179" s="229">
        <v>0.25</v>
      </c>
      <c r="DU179" s="231">
        <v>1800</v>
      </c>
      <c r="DV179" s="231">
        <v>1880</v>
      </c>
      <c r="DW179" s="228">
        <v>0.48</v>
      </c>
      <c r="DX179" s="228">
        <v>0.73</v>
      </c>
      <c r="DY179" s="228">
        <v>-0.25</v>
      </c>
      <c r="DZ179" s="229">
        <v>-0.34250000000000003</v>
      </c>
      <c r="EA179" s="229">
        <v>0.86219999999999997</v>
      </c>
      <c r="EB179" s="230">
        <v>4608000</v>
      </c>
      <c r="EC179" s="229">
        <v>6.6E-3</v>
      </c>
      <c r="ED179" s="229">
        <v>0.86219999999999997</v>
      </c>
      <c r="EE179" s="228">
        <v>11.55</v>
      </c>
      <c r="EF179" s="229">
        <v>6.1000000000000004E-3</v>
      </c>
      <c r="EG179" s="230">
        <v>1054097</v>
      </c>
      <c r="EH179" s="230">
        <v>293429</v>
      </c>
      <c r="EI179" s="229">
        <v>2.5922999999999998</v>
      </c>
      <c r="EJ179" s="229">
        <v>0.35120000000000001</v>
      </c>
      <c r="EK179" s="231">
        <v>8373.33</v>
      </c>
      <c r="EL179" s="231">
        <v>3873.37</v>
      </c>
      <c r="EM179" s="231">
        <v>1731.82</v>
      </c>
      <c r="EN179" s="228">
        <v>87.41</v>
      </c>
      <c r="EO179" s="231">
        <v>13978.52</v>
      </c>
      <c r="EP179" s="231">
        <v>4622.5</v>
      </c>
      <c r="EQ179" s="231">
        <v>9356.02</v>
      </c>
      <c r="ER179" s="229">
        <v>2.024</v>
      </c>
      <c r="ES179" s="228">
        <v>772.46</v>
      </c>
      <c r="ET179" s="228">
        <v>518.28</v>
      </c>
      <c r="EU179" s="231">
        <v>1435.03</v>
      </c>
      <c r="EV179" s="231">
        <v>44735132</v>
      </c>
      <c r="EW179" s="231">
        <v>2725.77</v>
      </c>
      <c r="EX179" s="231">
        <v>2380.08</v>
      </c>
      <c r="EY179" s="228">
        <v>345.69</v>
      </c>
      <c r="EZ179" s="229">
        <v>0.1452</v>
      </c>
      <c r="FA179" s="229">
        <v>0.32200000000000001</v>
      </c>
      <c r="FB179" s="227" t="s">
        <v>555</v>
      </c>
      <c r="FC179">
        <f t="shared" si="3"/>
        <v>0</v>
      </c>
    </row>
    <row r="180" spans="1:159" ht="17.25" thickBot="1" x14ac:dyDescent="0.3">
      <c r="A180" s="226">
        <v>45957</v>
      </c>
      <c r="B180" s="227" t="s">
        <v>172</v>
      </c>
      <c r="C180" s="227" t="s">
        <v>283</v>
      </c>
      <c r="D180" s="228">
        <v>750</v>
      </c>
      <c r="E180" s="228">
        <v>1</v>
      </c>
      <c r="F180" s="228">
        <v>921.5</v>
      </c>
      <c r="G180" s="228">
        <v>904</v>
      </c>
      <c r="H180" s="228">
        <v>17.5</v>
      </c>
      <c r="I180" s="229">
        <v>1.9400000000000001E-2</v>
      </c>
      <c r="J180" s="228">
        <v>922.75</v>
      </c>
      <c r="K180" s="228">
        <v>904.5</v>
      </c>
      <c r="L180" s="228">
        <v>18.25</v>
      </c>
      <c r="M180" s="229">
        <v>2.0199999999999999E-2</v>
      </c>
      <c r="N180" s="228">
        <v>921.5</v>
      </c>
      <c r="O180" s="228">
        <v>904</v>
      </c>
      <c r="P180" s="228">
        <v>17.5</v>
      </c>
      <c r="Q180" s="229">
        <v>1.9400000000000001E-2</v>
      </c>
      <c r="R180" s="228">
        <v>929.2</v>
      </c>
      <c r="S180" s="228">
        <v>909.35</v>
      </c>
      <c r="T180" s="228">
        <v>19.850000000000001</v>
      </c>
      <c r="U180" s="229">
        <v>2.18E-2</v>
      </c>
      <c r="V180" s="228">
        <v>935.65</v>
      </c>
      <c r="W180" s="228">
        <v>914.9</v>
      </c>
      <c r="X180" s="228">
        <v>20.75</v>
      </c>
      <c r="Y180" s="229">
        <v>2.2700000000000001E-2</v>
      </c>
      <c r="Z180" s="228">
        <v>-1.25</v>
      </c>
      <c r="AA180" s="228">
        <v>-0.5</v>
      </c>
      <c r="AB180" s="228">
        <v>-0.75</v>
      </c>
      <c r="AC180" s="229">
        <v>-1.4E-3</v>
      </c>
      <c r="AD180" s="228">
        <v>-1.25</v>
      </c>
      <c r="AE180" s="228">
        <v>-0.5</v>
      </c>
      <c r="AF180" s="228">
        <v>-0.75</v>
      </c>
      <c r="AG180" s="229">
        <v>-1.4E-3</v>
      </c>
      <c r="AH180" s="228">
        <v>6.45</v>
      </c>
      <c r="AI180" s="228">
        <v>4.8499999999999996</v>
      </c>
      <c r="AJ180" s="228">
        <v>1.6</v>
      </c>
      <c r="AK180" s="229">
        <v>7.0000000000000001E-3</v>
      </c>
      <c r="AL180" s="228">
        <v>12.9</v>
      </c>
      <c r="AM180" s="228">
        <v>10.4</v>
      </c>
      <c r="AN180" s="228">
        <v>2.5</v>
      </c>
      <c r="AO180" s="229">
        <v>1.4E-2</v>
      </c>
      <c r="AP180" s="228">
        <v>916.57</v>
      </c>
      <c r="AQ180" s="228">
        <v>922.87</v>
      </c>
      <c r="AR180" s="228">
        <v>0</v>
      </c>
      <c r="AS180" s="230">
        <v>5375</v>
      </c>
      <c r="AT180" s="230">
        <v>5855</v>
      </c>
      <c r="AU180" s="228">
        <v>-480</v>
      </c>
      <c r="AV180" s="229">
        <v>-8.2000000000000003E-2</v>
      </c>
      <c r="AW180" s="230">
        <v>2583</v>
      </c>
      <c r="AX180" s="230">
        <v>3009</v>
      </c>
      <c r="AY180" s="228">
        <v>-426</v>
      </c>
      <c r="AZ180" s="229">
        <v>-0.14149999999999999</v>
      </c>
      <c r="BA180" s="230">
        <v>2741</v>
      </c>
      <c r="BB180" s="230">
        <v>2826</v>
      </c>
      <c r="BC180" s="228">
        <v>-85</v>
      </c>
      <c r="BD180" s="229">
        <v>-3.0099999999999998E-2</v>
      </c>
      <c r="BE180" s="228">
        <v>51</v>
      </c>
      <c r="BF180" s="228">
        <v>20</v>
      </c>
      <c r="BG180" s="228">
        <v>30</v>
      </c>
      <c r="BH180" s="229">
        <v>1.4864999999999999</v>
      </c>
      <c r="BI180" s="230">
        <v>13201</v>
      </c>
      <c r="BJ180" s="230">
        <v>7871</v>
      </c>
      <c r="BK180" s="230">
        <v>5330</v>
      </c>
      <c r="BL180" s="229">
        <v>0.67720000000000002</v>
      </c>
      <c r="BM180" s="230">
        <v>6353</v>
      </c>
      <c r="BN180" s="230">
        <v>5708</v>
      </c>
      <c r="BO180" s="228">
        <v>646</v>
      </c>
      <c r="BP180" s="229">
        <v>0.11310000000000001</v>
      </c>
      <c r="BQ180" s="230">
        <v>24929</v>
      </c>
      <c r="BR180" s="230">
        <v>19434</v>
      </c>
      <c r="BS180" s="230">
        <v>5495</v>
      </c>
      <c r="BT180" s="229">
        <v>0.2828</v>
      </c>
      <c r="BU180" s="230">
        <v>9543010</v>
      </c>
      <c r="BV180" s="230">
        <v>5489658</v>
      </c>
      <c r="BW180" s="230">
        <v>4053352</v>
      </c>
      <c r="BX180" s="229">
        <v>0.73839999999999995</v>
      </c>
      <c r="BY180" s="230">
        <v>8540</v>
      </c>
      <c r="BZ180" s="230">
        <v>8406</v>
      </c>
      <c r="CA180" s="228">
        <v>134</v>
      </c>
      <c r="CB180" s="229">
        <v>1.6E-2</v>
      </c>
      <c r="CC180" s="230">
        <v>1851</v>
      </c>
      <c r="CD180" s="230">
        <v>3428</v>
      </c>
      <c r="CE180" s="230">
        <v>-1577</v>
      </c>
      <c r="CF180" s="229">
        <v>-0.46010000000000001</v>
      </c>
      <c r="CG180" s="230">
        <v>6599</v>
      </c>
      <c r="CH180" s="230">
        <v>4901</v>
      </c>
      <c r="CI180" s="230">
        <v>1697</v>
      </c>
      <c r="CJ180" s="229">
        <v>0.3463</v>
      </c>
      <c r="CK180" s="228">
        <v>90</v>
      </c>
      <c r="CL180" s="228">
        <v>76</v>
      </c>
      <c r="CM180" s="228">
        <v>14</v>
      </c>
      <c r="CN180" s="229">
        <v>0.188</v>
      </c>
      <c r="CO180" s="230">
        <v>4815</v>
      </c>
      <c r="CP180" s="230">
        <v>4987</v>
      </c>
      <c r="CQ180" s="228">
        <v>-172</v>
      </c>
      <c r="CR180" s="229">
        <v>-3.44E-2</v>
      </c>
      <c r="CS180" s="230">
        <v>4148</v>
      </c>
      <c r="CT180" s="230">
        <v>3894</v>
      </c>
      <c r="CU180" s="228">
        <v>253</v>
      </c>
      <c r="CV180" s="229">
        <v>6.5100000000000005E-2</v>
      </c>
      <c r="CW180" s="230">
        <v>17503</v>
      </c>
      <c r="CX180" s="230">
        <v>17287</v>
      </c>
      <c r="CY180" s="228">
        <v>216</v>
      </c>
      <c r="CZ180" s="229">
        <v>1.2500000000000001E-2</v>
      </c>
      <c r="DA180" s="228">
        <v>23.18</v>
      </c>
      <c r="DB180" s="228">
        <v>21.58</v>
      </c>
      <c r="DC180" s="228">
        <v>1.6</v>
      </c>
      <c r="DD180" s="228">
        <v>1.6</v>
      </c>
      <c r="DE180" s="228">
        <v>26.14</v>
      </c>
      <c r="DF180" s="228">
        <v>26.08</v>
      </c>
      <c r="DG180" s="228">
        <v>-2.96</v>
      </c>
      <c r="DH180" s="228">
        <v>0.06</v>
      </c>
      <c r="DI180" s="228">
        <v>23.32</v>
      </c>
      <c r="DJ180" s="228">
        <v>21.8</v>
      </c>
      <c r="DK180" s="228">
        <v>1.52</v>
      </c>
      <c r="DL180" s="228">
        <v>1.52</v>
      </c>
      <c r="DM180" s="228">
        <v>22.92</v>
      </c>
      <c r="DN180" s="228">
        <v>21.26</v>
      </c>
      <c r="DO180" s="228">
        <v>1.66</v>
      </c>
      <c r="DP180" s="228">
        <v>1.66</v>
      </c>
      <c r="DQ180" s="228">
        <v>0.86</v>
      </c>
      <c r="DR180" s="228">
        <v>0.78</v>
      </c>
      <c r="DS180" s="228">
        <v>0.08</v>
      </c>
      <c r="DT180" s="229">
        <v>0.1026</v>
      </c>
      <c r="DU180" s="228">
        <v>880</v>
      </c>
      <c r="DV180" s="228">
        <v>890</v>
      </c>
      <c r="DW180" s="228">
        <v>0.48</v>
      </c>
      <c r="DX180" s="228">
        <v>0.73</v>
      </c>
      <c r="DY180" s="228">
        <v>-0.25</v>
      </c>
      <c r="DZ180" s="229">
        <v>-0.34250000000000003</v>
      </c>
      <c r="EA180" s="229">
        <v>0.7833</v>
      </c>
      <c r="EB180" s="230">
        <v>54015000</v>
      </c>
      <c r="EC180" s="229">
        <v>8.3999999999999995E-3</v>
      </c>
      <c r="ED180" s="229">
        <v>0.7833</v>
      </c>
      <c r="EE180" s="228">
        <v>6.3</v>
      </c>
      <c r="EF180" s="229">
        <v>6.8999999999999999E-3</v>
      </c>
      <c r="EG180" s="230">
        <v>5675739</v>
      </c>
      <c r="EH180" s="230">
        <v>2203374</v>
      </c>
      <c r="EI180" s="229">
        <v>1.5759000000000001</v>
      </c>
      <c r="EJ180" s="229">
        <v>0.5948</v>
      </c>
      <c r="EK180" s="231">
        <v>13386.01</v>
      </c>
      <c r="EL180" s="231">
        <v>6245.66</v>
      </c>
      <c r="EM180" s="231">
        <v>5365.86</v>
      </c>
      <c r="EN180" s="228">
        <v>512.41999999999996</v>
      </c>
      <c r="EO180" s="231">
        <v>24997.53</v>
      </c>
      <c r="EP180" s="231">
        <v>19241.240000000002</v>
      </c>
      <c r="EQ180" s="231">
        <v>5756.29</v>
      </c>
      <c r="ER180" s="229">
        <v>0.29920000000000002</v>
      </c>
      <c r="ES180" s="231">
        <v>4774.0200000000004</v>
      </c>
      <c r="ET180" s="231">
        <v>3931.98</v>
      </c>
      <c r="EU180" s="231">
        <v>8596.69</v>
      </c>
      <c r="EV180" s="231">
        <v>407307212</v>
      </c>
      <c r="EW180" s="231">
        <v>17302.689999999999</v>
      </c>
      <c r="EX180" s="231">
        <v>16876.25</v>
      </c>
      <c r="EY180" s="228">
        <v>426.44</v>
      </c>
      <c r="EZ180" s="229">
        <v>2.53E-2</v>
      </c>
      <c r="FA180" s="229">
        <v>0.46629999999999999</v>
      </c>
      <c r="FB180" s="227" t="s">
        <v>555</v>
      </c>
      <c r="FC180">
        <f t="shared" si="3"/>
        <v>0</v>
      </c>
    </row>
    <row r="181" spans="1:159" ht="17.25" thickBot="1" x14ac:dyDescent="0.3">
      <c r="A181" s="226">
        <v>45957</v>
      </c>
      <c r="B181" s="227" t="s">
        <v>157</v>
      </c>
      <c r="C181" s="227" t="s">
        <v>284</v>
      </c>
      <c r="D181" s="228">
        <v>25</v>
      </c>
      <c r="E181" s="228">
        <v>1</v>
      </c>
      <c r="F181" s="231">
        <v>28475</v>
      </c>
      <c r="G181" s="231">
        <v>28640</v>
      </c>
      <c r="H181" s="228">
        <v>-165</v>
      </c>
      <c r="I181" s="229">
        <v>-5.7999999999999996E-3</v>
      </c>
      <c r="J181" s="231">
        <v>28590</v>
      </c>
      <c r="K181" s="231">
        <v>28705</v>
      </c>
      <c r="L181" s="228">
        <v>-115</v>
      </c>
      <c r="M181" s="229">
        <v>-4.0000000000000001E-3</v>
      </c>
      <c r="N181" s="231">
        <v>28475</v>
      </c>
      <c r="O181" s="231">
        <v>28640</v>
      </c>
      <c r="P181" s="228">
        <v>-165</v>
      </c>
      <c r="Q181" s="229">
        <v>-5.7999999999999996E-3</v>
      </c>
      <c r="R181" s="231">
        <v>28340</v>
      </c>
      <c r="S181" s="231">
        <v>28545</v>
      </c>
      <c r="T181" s="228">
        <v>-205</v>
      </c>
      <c r="U181" s="229">
        <v>-7.1999999999999998E-3</v>
      </c>
      <c r="V181" s="231">
        <v>28380</v>
      </c>
      <c r="W181" s="231">
        <v>28575</v>
      </c>
      <c r="X181" s="228">
        <v>-195</v>
      </c>
      <c r="Y181" s="229">
        <v>-6.7999999999999996E-3</v>
      </c>
      <c r="Z181" s="228">
        <v>-115</v>
      </c>
      <c r="AA181" s="228">
        <v>-65</v>
      </c>
      <c r="AB181" s="228">
        <v>-50</v>
      </c>
      <c r="AC181" s="229">
        <v>-4.0000000000000001E-3</v>
      </c>
      <c r="AD181" s="228">
        <v>-115</v>
      </c>
      <c r="AE181" s="228">
        <v>-65</v>
      </c>
      <c r="AF181" s="228">
        <v>-50</v>
      </c>
      <c r="AG181" s="229">
        <v>-4.0000000000000001E-3</v>
      </c>
      <c r="AH181" s="228">
        <v>-250</v>
      </c>
      <c r="AI181" s="228">
        <v>-160</v>
      </c>
      <c r="AJ181" s="228">
        <v>-90</v>
      </c>
      <c r="AK181" s="229">
        <v>-8.6999999999999994E-3</v>
      </c>
      <c r="AL181" s="228">
        <v>-210</v>
      </c>
      <c r="AM181" s="228">
        <v>-130</v>
      </c>
      <c r="AN181" s="228">
        <v>-80</v>
      </c>
      <c r="AO181" s="229">
        <v>-7.3000000000000001E-3</v>
      </c>
      <c r="AP181" s="231">
        <v>28611.599999999999</v>
      </c>
      <c r="AQ181" s="231">
        <v>28467.88</v>
      </c>
      <c r="AR181" s="228">
        <v>0</v>
      </c>
      <c r="AS181" s="228">
        <v>594</v>
      </c>
      <c r="AT181" s="228">
        <v>594</v>
      </c>
      <c r="AU181" s="228">
        <v>0</v>
      </c>
      <c r="AV181" s="229">
        <v>1E-4</v>
      </c>
      <c r="AW181" s="228">
        <v>249</v>
      </c>
      <c r="AX181" s="228">
        <v>280</v>
      </c>
      <c r="AY181" s="228">
        <v>-31</v>
      </c>
      <c r="AZ181" s="229">
        <v>-0.11119999999999999</v>
      </c>
      <c r="BA181" s="228">
        <v>343</v>
      </c>
      <c r="BB181" s="228">
        <v>312</v>
      </c>
      <c r="BC181" s="228">
        <v>31</v>
      </c>
      <c r="BD181" s="229">
        <v>9.9599999999999994E-2</v>
      </c>
      <c r="BE181" s="228">
        <v>1</v>
      </c>
      <c r="BF181" s="228">
        <v>1</v>
      </c>
      <c r="BG181" s="228">
        <v>0</v>
      </c>
      <c r="BH181" s="229">
        <v>0.1176</v>
      </c>
      <c r="BI181" s="228">
        <v>673</v>
      </c>
      <c r="BJ181" s="228">
        <v>305</v>
      </c>
      <c r="BK181" s="228">
        <v>368</v>
      </c>
      <c r="BL181" s="229">
        <v>1.2071000000000001</v>
      </c>
      <c r="BM181" s="228">
        <v>184</v>
      </c>
      <c r="BN181" s="228">
        <v>51</v>
      </c>
      <c r="BO181" s="228">
        <v>133</v>
      </c>
      <c r="BP181" s="229">
        <v>2.5922000000000001</v>
      </c>
      <c r="BQ181" s="230">
        <v>1451</v>
      </c>
      <c r="BR181" s="228">
        <v>950</v>
      </c>
      <c r="BS181" s="228">
        <v>501</v>
      </c>
      <c r="BT181" s="229">
        <v>0.52739999999999998</v>
      </c>
      <c r="BU181" s="230">
        <v>36564</v>
      </c>
      <c r="BV181" s="230">
        <v>25361</v>
      </c>
      <c r="BW181" s="230">
        <v>11203</v>
      </c>
      <c r="BX181" s="229">
        <v>0.44169999999999998</v>
      </c>
      <c r="BY181" s="228">
        <v>838</v>
      </c>
      <c r="BZ181" s="228">
        <v>802</v>
      </c>
      <c r="CA181" s="228">
        <v>36</v>
      </c>
      <c r="CB181" s="229">
        <v>4.4600000000000001E-2</v>
      </c>
      <c r="CC181" s="228">
        <v>124</v>
      </c>
      <c r="CD181" s="228">
        <v>273</v>
      </c>
      <c r="CE181" s="228">
        <v>-149</v>
      </c>
      <c r="CF181" s="229">
        <v>-0.54610000000000003</v>
      </c>
      <c r="CG181" s="228">
        <v>711</v>
      </c>
      <c r="CH181" s="228">
        <v>527</v>
      </c>
      <c r="CI181" s="228">
        <v>184</v>
      </c>
      <c r="CJ181" s="229">
        <v>0.34989999999999999</v>
      </c>
      <c r="CK181" s="228">
        <v>3</v>
      </c>
      <c r="CL181" s="228">
        <v>3</v>
      </c>
      <c r="CM181" s="228">
        <v>1</v>
      </c>
      <c r="CN181" s="229">
        <v>0.30559999999999998</v>
      </c>
      <c r="CO181" s="228">
        <v>169</v>
      </c>
      <c r="CP181" s="228">
        <v>172</v>
      </c>
      <c r="CQ181" s="228">
        <v>-3</v>
      </c>
      <c r="CR181" s="229">
        <v>-2.0199999999999999E-2</v>
      </c>
      <c r="CS181" s="228">
        <v>102</v>
      </c>
      <c r="CT181" s="228">
        <v>95</v>
      </c>
      <c r="CU181" s="228">
        <v>7</v>
      </c>
      <c r="CV181" s="229">
        <v>7.2800000000000004E-2</v>
      </c>
      <c r="CW181" s="230">
        <v>1109</v>
      </c>
      <c r="CX181" s="230">
        <v>1070</v>
      </c>
      <c r="CY181" s="228">
        <v>39</v>
      </c>
      <c r="CZ181" s="229">
        <v>3.6700000000000003E-2</v>
      </c>
      <c r="DA181" s="228">
        <v>25.46</v>
      </c>
      <c r="DB181" s="228">
        <v>23.48</v>
      </c>
      <c r="DC181" s="228">
        <v>1.98</v>
      </c>
      <c r="DD181" s="228">
        <v>1.98</v>
      </c>
      <c r="DE181" s="228">
        <v>25.79</v>
      </c>
      <c r="DF181" s="228">
        <v>25.84</v>
      </c>
      <c r="DG181" s="228">
        <v>-0.33</v>
      </c>
      <c r="DH181" s="228">
        <v>-0.05</v>
      </c>
      <c r="DI181" s="228">
        <v>26.11</v>
      </c>
      <c r="DJ181" s="228">
        <v>23.48</v>
      </c>
      <c r="DK181" s="228">
        <v>2.63</v>
      </c>
      <c r="DL181" s="228">
        <v>2.63</v>
      </c>
      <c r="DM181" s="228">
        <v>23.97</v>
      </c>
      <c r="DN181" s="228">
        <v>23.46</v>
      </c>
      <c r="DO181" s="228">
        <v>0.51</v>
      </c>
      <c r="DP181" s="228">
        <v>0.51</v>
      </c>
      <c r="DQ181" s="228">
        <v>0.6</v>
      </c>
      <c r="DR181" s="228">
        <v>0.55000000000000004</v>
      </c>
      <c r="DS181" s="228">
        <v>0.05</v>
      </c>
      <c r="DT181" s="229">
        <v>9.0899999999999995E-2</v>
      </c>
      <c r="DU181" s="231">
        <v>30000</v>
      </c>
      <c r="DV181" s="231">
        <v>30000</v>
      </c>
      <c r="DW181" s="228">
        <v>0.27</v>
      </c>
      <c r="DX181" s="228">
        <v>0.17</v>
      </c>
      <c r="DY181" s="228">
        <v>0.1</v>
      </c>
      <c r="DZ181" s="229">
        <v>0.58819999999999995</v>
      </c>
      <c r="EA181" s="229">
        <v>0.85199999999999998</v>
      </c>
      <c r="EB181" s="230">
        <v>185800</v>
      </c>
      <c r="EC181" s="229">
        <v>-4.7000000000000002E-3</v>
      </c>
      <c r="ED181" s="229">
        <v>0.85199999999999998</v>
      </c>
      <c r="EE181" s="228">
        <v>-143.72</v>
      </c>
      <c r="EF181" s="229">
        <v>-5.0000000000000001E-3</v>
      </c>
      <c r="EG181" s="230">
        <v>24384</v>
      </c>
      <c r="EH181" s="230">
        <v>15612</v>
      </c>
      <c r="EI181" s="229">
        <v>0.56189999999999996</v>
      </c>
      <c r="EJ181" s="229">
        <v>0.66690000000000005</v>
      </c>
      <c r="EK181" s="228">
        <v>728.79</v>
      </c>
      <c r="EL181" s="228">
        <v>181.66</v>
      </c>
      <c r="EM181" s="228">
        <v>595.16999999999996</v>
      </c>
      <c r="EN181" s="228">
        <v>57.16</v>
      </c>
      <c r="EO181" s="231">
        <v>1505.62</v>
      </c>
      <c r="EP181" s="228">
        <v>972.36</v>
      </c>
      <c r="EQ181" s="228">
        <v>533.26</v>
      </c>
      <c r="ER181" s="229">
        <v>0.5484</v>
      </c>
      <c r="ES181" s="228">
        <v>177.56</v>
      </c>
      <c r="ET181" s="228">
        <v>103.47</v>
      </c>
      <c r="EU181" s="228">
        <v>834.71</v>
      </c>
      <c r="EV181" s="231">
        <v>1548028</v>
      </c>
      <c r="EW181" s="231">
        <v>1115.74</v>
      </c>
      <c r="EX181" s="231">
        <v>1083.93</v>
      </c>
      <c r="EY181" s="228">
        <v>31.81</v>
      </c>
      <c r="EZ181" s="229">
        <v>2.93E-2</v>
      </c>
      <c r="FA181" s="229">
        <v>0.2515</v>
      </c>
      <c r="FB181" s="227" t="s">
        <v>567</v>
      </c>
      <c r="FC181">
        <f t="shared" si="3"/>
        <v>0</v>
      </c>
    </row>
    <row r="182" spans="1:159" ht="17.25" thickBot="1" x14ac:dyDescent="0.3">
      <c r="A182" s="226">
        <v>45957</v>
      </c>
      <c r="B182" s="227" t="s">
        <v>175</v>
      </c>
      <c r="C182" s="227" t="s">
        <v>562</v>
      </c>
      <c r="D182" s="228">
        <v>825</v>
      </c>
      <c r="E182" s="228">
        <v>1</v>
      </c>
      <c r="F182" s="228">
        <v>719.95</v>
      </c>
      <c r="G182" s="228">
        <v>715.55</v>
      </c>
      <c r="H182" s="228">
        <v>4.4000000000000004</v>
      </c>
      <c r="I182" s="229">
        <v>6.1000000000000004E-3</v>
      </c>
      <c r="J182" s="228">
        <v>719.6</v>
      </c>
      <c r="K182" s="228">
        <v>715.45</v>
      </c>
      <c r="L182" s="228">
        <v>4.1500000000000004</v>
      </c>
      <c r="M182" s="229">
        <v>5.7999999999999996E-3</v>
      </c>
      <c r="N182" s="228">
        <v>719.95</v>
      </c>
      <c r="O182" s="228">
        <v>715.55</v>
      </c>
      <c r="P182" s="228">
        <v>4.4000000000000004</v>
      </c>
      <c r="Q182" s="229">
        <v>6.1000000000000004E-3</v>
      </c>
      <c r="R182" s="228">
        <v>719.65</v>
      </c>
      <c r="S182" s="228">
        <v>715.45</v>
      </c>
      <c r="T182" s="228">
        <v>4.2</v>
      </c>
      <c r="U182" s="229">
        <v>5.8999999999999999E-3</v>
      </c>
      <c r="V182" s="228">
        <v>724.3</v>
      </c>
      <c r="W182" s="228">
        <v>720.55</v>
      </c>
      <c r="X182" s="228">
        <v>3.75</v>
      </c>
      <c r="Y182" s="229">
        <v>5.1999999999999998E-3</v>
      </c>
      <c r="Z182" s="228">
        <v>0.35</v>
      </c>
      <c r="AA182" s="228">
        <v>0.1</v>
      </c>
      <c r="AB182" s="228">
        <v>0.25</v>
      </c>
      <c r="AC182" s="229">
        <v>5.0000000000000001E-4</v>
      </c>
      <c r="AD182" s="228">
        <v>0.35</v>
      </c>
      <c r="AE182" s="228">
        <v>0.1</v>
      </c>
      <c r="AF182" s="228">
        <v>0.25</v>
      </c>
      <c r="AG182" s="229">
        <v>5.0000000000000001E-4</v>
      </c>
      <c r="AH182" s="228">
        <v>0.05</v>
      </c>
      <c r="AI182" s="228">
        <v>0</v>
      </c>
      <c r="AJ182" s="228">
        <v>0.05</v>
      </c>
      <c r="AK182" s="229">
        <v>1E-4</v>
      </c>
      <c r="AL182" s="228">
        <v>4.7</v>
      </c>
      <c r="AM182" s="228">
        <v>5.0999999999999996</v>
      </c>
      <c r="AN182" s="228">
        <v>-0.4</v>
      </c>
      <c r="AO182" s="229">
        <v>6.4999999999999997E-3</v>
      </c>
      <c r="AP182" s="228">
        <v>723.69</v>
      </c>
      <c r="AQ182" s="228">
        <v>723.64</v>
      </c>
      <c r="AR182" s="228">
        <v>0</v>
      </c>
      <c r="AS182" s="230">
        <v>2385</v>
      </c>
      <c r="AT182" s="230">
        <v>2349</v>
      </c>
      <c r="AU182" s="228">
        <v>37</v>
      </c>
      <c r="AV182" s="229">
        <v>1.5599999999999999E-2</v>
      </c>
      <c r="AW182" s="230">
        <v>1074</v>
      </c>
      <c r="AX182" s="230">
        <v>1128</v>
      </c>
      <c r="AY182" s="228">
        <v>-54</v>
      </c>
      <c r="AZ182" s="229">
        <v>-4.7699999999999999E-2</v>
      </c>
      <c r="BA182" s="230">
        <v>1302</v>
      </c>
      <c r="BB182" s="230">
        <v>1215</v>
      </c>
      <c r="BC182" s="228">
        <v>87</v>
      </c>
      <c r="BD182" s="229">
        <v>7.1599999999999997E-2</v>
      </c>
      <c r="BE182" s="228">
        <v>9</v>
      </c>
      <c r="BF182" s="228">
        <v>6</v>
      </c>
      <c r="BG182" s="228">
        <v>3</v>
      </c>
      <c r="BH182" s="229">
        <v>0.55879999999999996</v>
      </c>
      <c r="BI182" s="230">
        <v>1688</v>
      </c>
      <c r="BJ182" s="230">
        <v>2619</v>
      </c>
      <c r="BK182" s="228">
        <v>-931</v>
      </c>
      <c r="BL182" s="229">
        <v>-0.3553</v>
      </c>
      <c r="BM182" s="230">
        <v>1029</v>
      </c>
      <c r="BN182" s="230">
        <v>1170</v>
      </c>
      <c r="BO182" s="228">
        <v>-141</v>
      </c>
      <c r="BP182" s="229">
        <v>-0.1206</v>
      </c>
      <c r="BQ182" s="230">
        <v>5102</v>
      </c>
      <c r="BR182" s="230">
        <v>6138</v>
      </c>
      <c r="BS182" s="230">
        <v>-1035</v>
      </c>
      <c r="BT182" s="229">
        <v>-0.16869999999999999</v>
      </c>
      <c r="BU182" s="230">
        <v>8469856</v>
      </c>
      <c r="BV182" s="230">
        <v>6256425</v>
      </c>
      <c r="BW182" s="230">
        <v>2213431</v>
      </c>
      <c r="BX182" s="229">
        <v>0.3538</v>
      </c>
      <c r="BY182" s="230">
        <v>3819</v>
      </c>
      <c r="BZ182" s="230">
        <v>3818</v>
      </c>
      <c r="CA182" s="228">
        <v>1</v>
      </c>
      <c r="CB182" s="229">
        <v>2.0000000000000001E-4</v>
      </c>
      <c r="CC182" s="228">
        <v>913</v>
      </c>
      <c r="CD182" s="230">
        <v>1784</v>
      </c>
      <c r="CE182" s="228">
        <v>-872</v>
      </c>
      <c r="CF182" s="229">
        <v>-0.48849999999999999</v>
      </c>
      <c r="CG182" s="230">
        <v>2885</v>
      </c>
      <c r="CH182" s="230">
        <v>2015</v>
      </c>
      <c r="CI182" s="228">
        <v>870</v>
      </c>
      <c r="CJ182" s="229">
        <v>0.43159999999999998</v>
      </c>
      <c r="CK182" s="228">
        <v>21</v>
      </c>
      <c r="CL182" s="228">
        <v>19</v>
      </c>
      <c r="CM182" s="228">
        <v>3</v>
      </c>
      <c r="CN182" s="229">
        <v>0.13919999999999999</v>
      </c>
      <c r="CO182" s="228">
        <v>644</v>
      </c>
      <c r="CP182" s="228">
        <v>631</v>
      </c>
      <c r="CQ182" s="228">
        <v>13</v>
      </c>
      <c r="CR182" s="229">
        <v>2.07E-2</v>
      </c>
      <c r="CS182" s="228">
        <v>666</v>
      </c>
      <c r="CT182" s="228">
        <v>650</v>
      </c>
      <c r="CU182" s="228">
        <v>16</v>
      </c>
      <c r="CV182" s="229">
        <v>2.4199999999999999E-2</v>
      </c>
      <c r="CW182" s="230">
        <v>5129</v>
      </c>
      <c r="CX182" s="230">
        <v>5099</v>
      </c>
      <c r="CY182" s="228">
        <v>30</v>
      </c>
      <c r="CZ182" s="229">
        <v>5.7999999999999996E-3</v>
      </c>
      <c r="DA182" s="228">
        <v>38.26</v>
      </c>
      <c r="DB182" s="228">
        <v>35.31</v>
      </c>
      <c r="DC182" s="228">
        <v>2.95</v>
      </c>
      <c r="DD182" s="228">
        <v>2.95</v>
      </c>
      <c r="DE182" s="228">
        <v>40.31</v>
      </c>
      <c r="DF182" s="228">
        <v>40.4</v>
      </c>
      <c r="DG182" s="228">
        <v>-2.0499999999999998</v>
      </c>
      <c r="DH182" s="228">
        <v>-0.09</v>
      </c>
      <c r="DI182" s="228">
        <v>38.36</v>
      </c>
      <c r="DJ182" s="228">
        <v>35.47</v>
      </c>
      <c r="DK182" s="228">
        <v>2.89</v>
      </c>
      <c r="DL182" s="228">
        <v>2.89</v>
      </c>
      <c r="DM182" s="228">
        <v>38.1</v>
      </c>
      <c r="DN182" s="228">
        <v>35.090000000000003</v>
      </c>
      <c r="DO182" s="228">
        <v>3.01</v>
      </c>
      <c r="DP182" s="228">
        <v>3.01</v>
      </c>
      <c r="DQ182" s="228">
        <v>1.03</v>
      </c>
      <c r="DR182" s="228">
        <v>1.03</v>
      </c>
      <c r="DS182" s="228">
        <v>0</v>
      </c>
      <c r="DT182" s="229">
        <v>0</v>
      </c>
      <c r="DU182" s="228">
        <v>740</v>
      </c>
      <c r="DV182" s="228">
        <v>660</v>
      </c>
      <c r="DW182" s="228">
        <v>0.61</v>
      </c>
      <c r="DX182" s="228">
        <v>0.45</v>
      </c>
      <c r="DY182" s="228">
        <v>0.16</v>
      </c>
      <c r="DZ182" s="229">
        <v>0.35560000000000003</v>
      </c>
      <c r="EA182" s="229">
        <v>0.76100000000000001</v>
      </c>
      <c r="EB182" s="230">
        <v>28248000</v>
      </c>
      <c r="EC182" s="229">
        <v>-4.0000000000000002E-4</v>
      </c>
      <c r="ED182" s="229">
        <v>0.76100000000000001</v>
      </c>
      <c r="EE182" s="228">
        <v>-0.05</v>
      </c>
      <c r="EF182" s="229">
        <v>-1E-4</v>
      </c>
      <c r="EG182" s="230">
        <v>5177353</v>
      </c>
      <c r="EH182" s="230">
        <v>3324532</v>
      </c>
      <c r="EI182" s="229">
        <v>0.55730000000000002</v>
      </c>
      <c r="EJ182" s="229">
        <v>0.61129999999999995</v>
      </c>
      <c r="EK182" s="231">
        <v>1748.02</v>
      </c>
      <c r="EL182" s="231">
        <v>1009.34</v>
      </c>
      <c r="EM182" s="231">
        <v>2397.64</v>
      </c>
      <c r="EN182" s="228">
        <v>227.7</v>
      </c>
      <c r="EO182" s="231">
        <v>5155.01</v>
      </c>
      <c r="EP182" s="231">
        <v>6159.4</v>
      </c>
      <c r="EQ182" s="231">
        <v>-1004.4</v>
      </c>
      <c r="ER182" s="229">
        <v>-0.16309999999999999</v>
      </c>
      <c r="ES182" s="228">
        <v>642.76</v>
      </c>
      <c r="ET182" s="228">
        <v>610.64</v>
      </c>
      <c r="EU182" s="231">
        <v>3817.55</v>
      </c>
      <c r="EV182" s="231">
        <v>210459276</v>
      </c>
      <c r="EW182" s="231">
        <v>5070.9399999999996</v>
      </c>
      <c r="EX182" s="231">
        <v>5010.87</v>
      </c>
      <c r="EY182" s="228">
        <v>60.07</v>
      </c>
      <c r="EZ182" s="229">
        <v>1.2E-2</v>
      </c>
      <c r="FA182" s="229">
        <v>0.33850000000000002</v>
      </c>
      <c r="FB182" s="227" t="s">
        <v>555</v>
      </c>
      <c r="FC182">
        <f t="shared" si="3"/>
        <v>0</v>
      </c>
    </row>
    <row r="183" spans="1:159" ht="17.25" thickBot="1" x14ac:dyDescent="0.3">
      <c r="A183" s="226">
        <v>45957</v>
      </c>
      <c r="B183" s="227" t="s">
        <v>184</v>
      </c>
      <c r="C183" s="227" t="s">
        <v>285</v>
      </c>
      <c r="D183" s="228">
        <v>125</v>
      </c>
      <c r="E183" s="228">
        <v>1</v>
      </c>
      <c r="F183" s="231">
        <v>3158.8</v>
      </c>
      <c r="G183" s="231">
        <v>3147.6</v>
      </c>
      <c r="H183" s="228">
        <v>11.2</v>
      </c>
      <c r="I183" s="229">
        <v>3.5999999999999999E-3</v>
      </c>
      <c r="J183" s="231">
        <v>3159.9</v>
      </c>
      <c r="K183" s="231">
        <v>3152.2</v>
      </c>
      <c r="L183" s="228">
        <v>7.7</v>
      </c>
      <c r="M183" s="229">
        <v>2.3999999999999998E-3</v>
      </c>
      <c r="N183" s="231">
        <v>3158.8</v>
      </c>
      <c r="O183" s="231">
        <v>3147.6</v>
      </c>
      <c r="P183" s="228">
        <v>11.2</v>
      </c>
      <c r="Q183" s="229">
        <v>3.5999999999999999E-3</v>
      </c>
      <c r="R183" s="231">
        <v>3160.2</v>
      </c>
      <c r="S183" s="231">
        <v>3150.1</v>
      </c>
      <c r="T183" s="228">
        <v>10.1</v>
      </c>
      <c r="U183" s="229">
        <v>3.2000000000000002E-3</v>
      </c>
      <c r="V183" s="231">
        <v>3180.7</v>
      </c>
      <c r="W183" s="231">
        <v>3164.9</v>
      </c>
      <c r="X183" s="228">
        <v>15.8</v>
      </c>
      <c r="Y183" s="229">
        <v>5.0000000000000001E-3</v>
      </c>
      <c r="Z183" s="228">
        <v>-1.1000000000000001</v>
      </c>
      <c r="AA183" s="228">
        <v>-4.5999999999999996</v>
      </c>
      <c r="AB183" s="228">
        <v>3.5</v>
      </c>
      <c r="AC183" s="229">
        <v>-2.9999999999999997E-4</v>
      </c>
      <c r="AD183" s="228">
        <v>-1.1000000000000001</v>
      </c>
      <c r="AE183" s="228">
        <v>-4.5999999999999996</v>
      </c>
      <c r="AF183" s="228">
        <v>3.5</v>
      </c>
      <c r="AG183" s="229">
        <v>-2.9999999999999997E-4</v>
      </c>
      <c r="AH183" s="228">
        <v>0.3</v>
      </c>
      <c r="AI183" s="228">
        <v>-2.1</v>
      </c>
      <c r="AJ183" s="228">
        <v>2.4</v>
      </c>
      <c r="AK183" s="229">
        <v>1E-4</v>
      </c>
      <c r="AL183" s="228">
        <v>20.8</v>
      </c>
      <c r="AM183" s="228">
        <v>12.7</v>
      </c>
      <c r="AN183" s="228">
        <v>8.1</v>
      </c>
      <c r="AO183" s="229">
        <v>6.6E-3</v>
      </c>
      <c r="AP183" s="231">
        <v>3157.17</v>
      </c>
      <c r="AQ183" s="231">
        <v>3161.72</v>
      </c>
      <c r="AR183" s="228">
        <v>0</v>
      </c>
      <c r="AS183" s="228">
        <v>547</v>
      </c>
      <c r="AT183" s="228">
        <v>808</v>
      </c>
      <c r="AU183" s="228">
        <v>-261</v>
      </c>
      <c r="AV183" s="229">
        <v>-0.32250000000000001</v>
      </c>
      <c r="AW183" s="228">
        <v>271</v>
      </c>
      <c r="AX183" s="228">
        <v>398</v>
      </c>
      <c r="AY183" s="228">
        <v>-128</v>
      </c>
      <c r="AZ183" s="229">
        <v>-0.3206</v>
      </c>
      <c r="BA183" s="228">
        <v>272</v>
      </c>
      <c r="BB183" s="228">
        <v>401</v>
      </c>
      <c r="BC183" s="228">
        <v>-130</v>
      </c>
      <c r="BD183" s="229">
        <v>-0.32279999999999998</v>
      </c>
      <c r="BE183" s="228">
        <v>5</v>
      </c>
      <c r="BF183" s="228">
        <v>8</v>
      </c>
      <c r="BG183" s="228">
        <v>-3</v>
      </c>
      <c r="BH183" s="229">
        <v>-0.39340000000000003</v>
      </c>
      <c r="BI183" s="228">
        <v>509</v>
      </c>
      <c r="BJ183" s="228">
        <v>614</v>
      </c>
      <c r="BK183" s="228">
        <v>-105</v>
      </c>
      <c r="BL183" s="229">
        <v>-0.1711</v>
      </c>
      <c r="BM183" s="228">
        <v>183</v>
      </c>
      <c r="BN183" s="228">
        <v>239</v>
      </c>
      <c r="BO183" s="228">
        <v>-57</v>
      </c>
      <c r="BP183" s="229">
        <v>-0.23619999999999999</v>
      </c>
      <c r="BQ183" s="230">
        <v>1239</v>
      </c>
      <c r="BR183" s="230">
        <v>1661</v>
      </c>
      <c r="BS183" s="228">
        <v>-422</v>
      </c>
      <c r="BT183" s="229">
        <v>-0.25409999999999999</v>
      </c>
      <c r="BU183" s="230">
        <v>134060</v>
      </c>
      <c r="BV183" s="230">
        <v>212940</v>
      </c>
      <c r="BW183" s="230">
        <v>-78880</v>
      </c>
      <c r="BX183" s="229">
        <v>-0.37040000000000001</v>
      </c>
      <c r="BY183" s="228">
        <v>727</v>
      </c>
      <c r="BZ183" s="228">
        <v>709</v>
      </c>
      <c r="CA183" s="228">
        <v>18</v>
      </c>
      <c r="CB183" s="229">
        <v>2.5100000000000001E-2</v>
      </c>
      <c r="CC183" s="228">
        <v>89</v>
      </c>
      <c r="CD183" s="228">
        <v>206</v>
      </c>
      <c r="CE183" s="228">
        <v>-118</v>
      </c>
      <c r="CF183" s="229">
        <v>-0.57020000000000004</v>
      </c>
      <c r="CG183" s="228">
        <v>624</v>
      </c>
      <c r="CH183" s="228">
        <v>491</v>
      </c>
      <c r="CI183" s="228">
        <v>134</v>
      </c>
      <c r="CJ183" s="229">
        <v>0.27239999999999998</v>
      </c>
      <c r="CK183" s="228">
        <v>14</v>
      </c>
      <c r="CL183" s="228">
        <v>12</v>
      </c>
      <c r="CM183" s="228">
        <v>2</v>
      </c>
      <c r="CN183" s="229">
        <v>0.15279999999999999</v>
      </c>
      <c r="CO183" s="228">
        <v>363</v>
      </c>
      <c r="CP183" s="228">
        <v>413</v>
      </c>
      <c r="CQ183" s="228">
        <v>-49</v>
      </c>
      <c r="CR183" s="229">
        <v>-0.1198</v>
      </c>
      <c r="CS183" s="228">
        <v>153</v>
      </c>
      <c r="CT183" s="228">
        <v>171</v>
      </c>
      <c r="CU183" s="228">
        <v>-18</v>
      </c>
      <c r="CV183" s="229">
        <v>-0.10340000000000001</v>
      </c>
      <c r="CW183" s="230">
        <v>1243</v>
      </c>
      <c r="CX183" s="230">
        <v>1293</v>
      </c>
      <c r="CY183" s="228">
        <v>-49</v>
      </c>
      <c r="CZ183" s="229">
        <v>-3.8199999999999998E-2</v>
      </c>
      <c r="DA183" s="228">
        <v>27.79</v>
      </c>
      <c r="DB183" s="228">
        <v>27.3</v>
      </c>
      <c r="DC183" s="228">
        <v>0.49</v>
      </c>
      <c r="DD183" s="228">
        <v>0.49</v>
      </c>
      <c r="DE183" s="228">
        <v>39.21</v>
      </c>
      <c r="DF183" s="228">
        <v>39.31</v>
      </c>
      <c r="DG183" s="228">
        <v>-11.42</v>
      </c>
      <c r="DH183" s="228">
        <v>-0.1</v>
      </c>
      <c r="DI183" s="228">
        <v>27.99</v>
      </c>
      <c r="DJ183" s="228">
        <v>27.4</v>
      </c>
      <c r="DK183" s="228">
        <v>0.59</v>
      </c>
      <c r="DL183" s="228">
        <v>0.59</v>
      </c>
      <c r="DM183" s="228">
        <v>27.23</v>
      </c>
      <c r="DN183" s="228">
        <v>27.05</v>
      </c>
      <c r="DO183" s="228">
        <v>0.18</v>
      </c>
      <c r="DP183" s="228">
        <v>0.18</v>
      </c>
      <c r="DQ183" s="228">
        <v>0.42</v>
      </c>
      <c r="DR183" s="228">
        <v>0.41</v>
      </c>
      <c r="DS183" s="228">
        <v>0.01</v>
      </c>
      <c r="DT183" s="229">
        <v>2.4400000000000002E-2</v>
      </c>
      <c r="DU183" s="231">
        <v>3300</v>
      </c>
      <c r="DV183" s="231">
        <v>3100</v>
      </c>
      <c r="DW183" s="228">
        <v>0.36</v>
      </c>
      <c r="DX183" s="228">
        <v>0.39</v>
      </c>
      <c r="DY183" s="228">
        <v>-0.03</v>
      </c>
      <c r="DZ183" s="229">
        <v>-7.6899999999999996E-2</v>
      </c>
      <c r="EA183" s="229">
        <v>0.878</v>
      </c>
      <c r="EB183" s="230">
        <v>1590750</v>
      </c>
      <c r="EC183" s="229">
        <v>4.0000000000000002E-4</v>
      </c>
      <c r="ED183" s="229">
        <v>0.878</v>
      </c>
      <c r="EE183" s="228">
        <v>4.55</v>
      </c>
      <c r="EF183" s="229">
        <v>1.4E-3</v>
      </c>
      <c r="EG183" s="230">
        <v>57627</v>
      </c>
      <c r="EH183" s="230">
        <v>120633</v>
      </c>
      <c r="EI183" s="229">
        <v>-0.52229999999999999</v>
      </c>
      <c r="EJ183" s="229">
        <v>0.4299</v>
      </c>
      <c r="EK183" s="228">
        <v>529.11</v>
      </c>
      <c r="EL183" s="228">
        <v>181.02</v>
      </c>
      <c r="EM183" s="228">
        <v>547.55999999999995</v>
      </c>
      <c r="EN183" s="228">
        <v>99.48</v>
      </c>
      <c r="EO183" s="231">
        <v>1257.69</v>
      </c>
      <c r="EP183" s="231">
        <v>1675.8</v>
      </c>
      <c r="EQ183" s="228">
        <v>-418.11</v>
      </c>
      <c r="ER183" s="229">
        <v>-0.2495</v>
      </c>
      <c r="ES183" s="228">
        <v>379.47</v>
      </c>
      <c r="ET183" s="228">
        <v>148.63</v>
      </c>
      <c r="EU183" s="228">
        <v>727.01</v>
      </c>
      <c r="EV183" s="231">
        <v>13354588</v>
      </c>
      <c r="EW183" s="231">
        <v>1255.1099999999999</v>
      </c>
      <c r="EX183" s="231">
        <v>1303.6500000000001</v>
      </c>
      <c r="EY183" s="228">
        <v>-48.54</v>
      </c>
      <c r="EZ183" s="229">
        <v>-3.7199999999999997E-2</v>
      </c>
      <c r="FA183" s="229">
        <v>0.29470000000000002</v>
      </c>
      <c r="FB183" s="227" t="s">
        <v>555</v>
      </c>
      <c r="FC183">
        <f t="shared" si="3"/>
        <v>0</v>
      </c>
    </row>
    <row r="184" spans="1:159" ht="17.25" thickBot="1" x14ac:dyDescent="0.3">
      <c r="A184" s="226">
        <v>45957</v>
      </c>
      <c r="B184" s="227" t="s">
        <v>498</v>
      </c>
      <c r="C184" s="227" t="s">
        <v>646</v>
      </c>
      <c r="D184" s="228">
        <v>75</v>
      </c>
      <c r="E184" s="228">
        <v>1</v>
      </c>
      <c r="F184" s="231">
        <v>14030</v>
      </c>
      <c r="G184" s="231">
        <v>14012</v>
      </c>
      <c r="H184" s="228">
        <v>18</v>
      </c>
      <c r="I184" s="229">
        <v>1.2999999999999999E-3</v>
      </c>
      <c r="J184" s="231">
        <v>14019</v>
      </c>
      <c r="K184" s="231">
        <v>14017</v>
      </c>
      <c r="L184" s="228">
        <v>2</v>
      </c>
      <c r="M184" s="229">
        <v>1E-4</v>
      </c>
      <c r="N184" s="231">
        <v>14030</v>
      </c>
      <c r="O184" s="231">
        <v>14012</v>
      </c>
      <c r="P184" s="228">
        <v>18</v>
      </c>
      <c r="Q184" s="229">
        <v>1.2999999999999999E-3</v>
      </c>
      <c r="R184" s="231">
        <v>14113</v>
      </c>
      <c r="S184" s="231">
        <v>14092</v>
      </c>
      <c r="T184" s="228">
        <v>21</v>
      </c>
      <c r="U184" s="229">
        <v>1.5E-3</v>
      </c>
      <c r="V184" s="231">
        <v>14214</v>
      </c>
      <c r="W184" s="231">
        <v>14200</v>
      </c>
      <c r="X184" s="228">
        <v>14</v>
      </c>
      <c r="Y184" s="229">
        <v>1E-3</v>
      </c>
      <c r="Z184" s="228">
        <v>11</v>
      </c>
      <c r="AA184" s="228">
        <v>-5</v>
      </c>
      <c r="AB184" s="228">
        <v>16</v>
      </c>
      <c r="AC184" s="229">
        <v>8.0000000000000004E-4</v>
      </c>
      <c r="AD184" s="228">
        <v>11</v>
      </c>
      <c r="AE184" s="228">
        <v>-5</v>
      </c>
      <c r="AF184" s="228">
        <v>16</v>
      </c>
      <c r="AG184" s="229">
        <v>8.0000000000000004E-4</v>
      </c>
      <c r="AH184" s="228">
        <v>94</v>
      </c>
      <c r="AI184" s="228">
        <v>75</v>
      </c>
      <c r="AJ184" s="228">
        <v>19</v>
      </c>
      <c r="AK184" s="229">
        <v>6.7000000000000002E-3</v>
      </c>
      <c r="AL184" s="228">
        <v>195</v>
      </c>
      <c r="AM184" s="228">
        <v>183</v>
      </c>
      <c r="AN184" s="228">
        <v>12</v>
      </c>
      <c r="AO184" s="229">
        <v>1.3899999999999999E-2</v>
      </c>
      <c r="AP184" s="231">
        <v>14046.62</v>
      </c>
      <c r="AQ184" s="231">
        <v>14128.47</v>
      </c>
      <c r="AR184" s="228">
        <v>0</v>
      </c>
      <c r="AS184" s="228">
        <v>934</v>
      </c>
      <c r="AT184" s="228">
        <v>948</v>
      </c>
      <c r="AU184" s="228">
        <v>-14</v>
      </c>
      <c r="AV184" s="229">
        <v>-1.44E-2</v>
      </c>
      <c r="AW184" s="228">
        <v>458</v>
      </c>
      <c r="AX184" s="228">
        <v>480</v>
      </c>
      <c r="AY184" s="228">
        <v>-22</v>
      </c>
      <c r="AZ184" s="229">
        <v>-4.5199999999999997E-2</v>
      </c>
      <c r="BA184" s="228">
        <v>473</v>
      </c>
      <c r="BB184" s="228">
        <v>466</v>
      </c>
      <c r="BC184" s="228">
        <v>7</v>
      </c>
      <c r="BD184" s="229">
        <v>1.49E-2</v>
      </c>
      <c r="BE184" s="228">
        <v>3</v>
      </c>
      <c r="BF184" s="228">
        <v>2</v>
      </c>
      <c r="BG184" s="228">
        <v>1</v>
      </c>
      <c r="BH184" s="229">
        <v>0.47620000000000001</v>
      </c>
      <c r="BI184" s="230">
        <v>1144</v>
      </c>
      <c r="BJ184" s="228">
        <v>799</v>
      </c>
      <c r="BK184" s="228">
        <v>345</v>
      </c>
      <c r="BL184" s="229">
        <v>0.43109999999999998</v>
      </c>
      <c r="BM184" s="228">
        <v>483</v>
      </c>
      <c r="BN184" s="228">
        <v>494</v>
      </c>
      <c r="BO184" s="228">
        <v>-11</v>
      </c>
      <c r="BP184" s="229">
        <v>-2.3E-2</v>
      </c>
      <c r="BQ184" s="230">
        <v>2561</v>
      </c>
      <c r="BR184" s="230">
        <v>2242</v>
      </c>
      <c r="BS184" s="228">
        <v>319</v>
      </c>
      <c r="BT184" s="229">
        <v>0.14249999999999999</v>
      </c>
      <c r="BU184" s="230">
        <v>52831</v>
      </c>
      <c r="BV184" s="230">
        <v>47939</v>
      </c>
      <c r="BW184" s="230">
        <v>4892</v>
      </c>
      <c r="BX184" s="229">
        <v>0.10199999999999999</v>
      </c>
      <c r="BY184" s="230">
        <v>1253</v>
      </c>
      <c r="BZ184" s="230">
        <v>1281</v>
      </c>
      <c r="CA184" s="228">
        <v>-28</v>
      </c>
      <c r="CB184" s="229">
        <v>-2.18E-2</v>
      </c>
      <c r="CC184" s="228">
        <v>212</v>
      </c>
      <c r="CD184" s="228">
        <v>602</v>
      </c>
      <c r="CE184" s="228">
        <v>-390</v>
      </c>
      <c r="CF184" s="229">
        <v>-0.6482</v>
      </c>
      <c r="CG184" s="230">
        <v>1028</v>
      </c>
      <c r="CH184" s="228">
        <v>668</v>
      </c>
      <c r="CI184" s="228">
        <v>360</v>
      </c>
      <c r="CJ184" s="229">
        <v>0.53959999999999997</v>
      </c>
      <c r="CK184" s="228">
        <v>13</v>
      </c>
      <c r="CL184" s="228">
        <v>11</v>
      </c>
      <c r="CM184" s="228">
        <v>2</v>
      </c>
      <c r="CN184" s="229">
        <v>0.16980000000000001</v>
      </c>
      <c r="CO184" s="228">
        <v>468</v>
      </c>
      <c r="CP184" s="228">
        <v>464</v>
      </c>
      <c r="CQ184" s="228">
        <v>5</v>
      </c>
      <c r="CR184" s="229">
        <v>9.7999999999999997E-3</v>
      </c>
      <c r="CS184" s="228">
        <v>275</v>
      </c>
      <c r="CT184" s="228">
        <v>278</v>
      </c>
      <c r="CU184" s="228">
        <v>-3</v>
      </c>
      <c r="CV184" s="229">
        <v>-1.0200000000000001E-2</v>
      </c>
      <c r="CW184" s="230">
        <v>1997</v>
      </c>
      <c r="CX184" s="230">
        <v>2023</v>
      </c>
      <c r="CY184" s="228">
        <v>-26</v>
      </c>
      <c r="CZ184" s="229">
        <v>-1.2999999999999999E-2</v>
      </c>
      <c r="DA184" s="228">
        <v>30.96</v>
      </c>
      <c r="DB184" s="228">
        <v>30.27</v>
      </c>
      <c r="DC184" s="228">
        <v>0.69</v>
      </c>
      <c r="DD184" s="228">
        <v>0.69</v>
      </c>
      <c r="DE184" s="228">
        <v>40.39</v>
      </c>
      <c r="DF184" s="228">
        <v>40.49</v>
      </c>
      <c r="DG184" s="228">
        <v>-9.43</v>
      </c>
      <c r="DH184" s="228">
        <v>-0.1</v>
      </c>
      <c r="DI184" s="228">
        <v>31.41</v>
      </c>
      <c r="DJ184" s="228">
        <v>30.55</v>
      </c>
      <c r="DK184" s="228">
        <v>0.86</v>
      </c>
      <c r="DL184" s="228">
        <v>0.86</v>
      </c>
      <c r="DM184" s="228">
        <v>29.99</v>
      </c>
      <c r="DN184" s="228">
        <v>29.95</v>
      </c>
      <c r="DO184" s="228">
        <v>0.04</v>
      </c>
      <c r="DP184" s="228">
        <v>0.04</v>
      </c>
      <c r="DQ184" s="228">
        <v>0.59</v>
      </c>
      <c r="DR184" s="228">
        <v>0.6</v>
      </c>
      <c r="DS184" s="228">
        <v>-0.01</v>
      </c>
      <c r="DT184" s="229">
        <v>-1.67E-2</v>
      </c>
      <c r="DU184" s="231">
        <v>15000</v>
      </c>
      <c r="DV184" s="231">
        <v>14000</v>
      </c>
      <c r="DW184" s="228">
        <v>0.42</v>
      </c>
      <c r="DX184" s="228">
        <v>0.62</v>
      </c>
      <c r="DY184" s="228">
        <v>-0.2</v>
      </c>
      <c r="DZ184" s="229">
        <v>-0.3226</v>
      </c>
      <c r="EA184" s="229">
        <v>0.83099999999999996</v>
      </c>
      <c r="EB184" s="230">
        <v>483825</v>
      </c>
      <c r="EC184" s="229">
        <v>5.8999999999999999E-3</v>
      </c>
      <c r="ED184" s="229">
        <v>0.83099999999999996</v>
      </c>
      <c r="EE184" s="228">
        <v>81.849999999999994</v>
      </c>
      <c r="EF184" s="229">
        <v>5.7999999999999996E-3</v>
      </c>
      <c r="EG184" s="230">
        <v>29327</v>
      </c>
      <c r="EH184" s="230">
        <v>27323</v>
      </c>
      <c r="EI184" s="229">
        <v>7.3300000000000004E-2</v>
      </c>
      <c r="EJ184" s="229">
        <v>0.55510000000000004</v>
      </c>
      <c r="EK184" s="231">
        <v>1218.46</v>
      </c>
      <c r="EL184" s="228">
        <v>461.7</v>
      </c>
      <c r="EM184" s="228">
        <v>938.31</v>
      </c>
      <c r="EN184" s="228">
        <v>37.26</v>
      </c>
      <c r="EO184" s="231">
        <v>2618.4699999999998</v>
      </c>
      <c r="EP184" s="231">
        <v>2268.08</v>
      </c>
      <c r="EQ184" s="228">
        <v>350.39</v>
      </c>
      <c r="ER184" s="229">
        <v>0.1545</v>
      </c>
      <c r="ES184" s="228">
        <v>495.62</v>
      </c>
      <c r="ET184" s="228">
        <v>268.62</v>
      </c>
      <c r="EU184" s="231">
        <v>1258.96</v>
      </c>
      <c r="EV184" s="231">
        <v>3644817</v>
      </c>
      <c r="EW184" s="231">
        <v>2023.19</v>
      </c>
      <c r="EX184" s="231">
        <v>2043.77</v>
      </c>
      <c r="EY184" s="228">
        <v>-20.58</v>
      </c>
      <c r="EZ184" s="229">
        <v>-1.01E-2</v>
      </c>
      <c r="FA184" s="229">
        <v>0.39050000000000001</v>
      </c>
      <c r="FB184" s="227" t="s">
        <v>556</v>
      </c>
      <c r="FC184">
        <f t="shared" si="3"/>
        <v>0</v>
      </c>
    </row>
    <row r="185" spans="1:159" ht="17.25" thickBot="1" x14ac:dyDescent="0.3">
      <c r="A185" s="226">
        <v>45957</v>
      </c>
      <c r="B185" s="227" t="s">
        <v>162</v>
      </c>
      <c r="C185" s="227" t="s">
        <v>614</v>
      </c>
      <c r="D185" s="228">
        <v>1050</v>
      </c>
      <c r="E185" s="228">
        <v>1</v>
      </c>
      <c r="F185" s="228">
        <v>484.75</v>
      </c>
      <c r="G185" s="228">
        <v>478.1</v>
      </c>
      <c r="H185" s="228">
        <v>6.65</v>
      </c>
      <c r="I185" s="229">
        <v>1.3899999999999999E-2</v>
      </c>
      <c r="J185" s="228">
        <v>483.85</v>
      </c>
      <c r="K185" s="228">
        <v>478.7</v>
      </c>
      <c r="L185" s="228">
        <v>5.15</v>
      </c>
      <c r="M185" s="229">
        <v>1.0800000000000001E-2</v>
      </c>
      <c r="N185" s="228">
        <v>484.75</v>
      </c>
      <c r="O185" s="228">
        <v>478.1</v>
      </c>
      <c r="P185" s="228">
        <v>6.65</v>
      </c>
      <c r="Q185" s="229">
        <v>1.3899999999999999E-2</v>
      </c>
      <c r="R185" s="228">
        <v>487.4</v>
      </c>
      <c r="S185" s="228">
        <v>480.8</v>
      </c>
      <c r="T185" s="228">
        <v>6.6</v>
      </c>
      <c r="U185" s="229">
        <v>1.37E-2</v>
      </c>
      <c r="V185" s="228">
        <v>489.75</v>
      </c>
      <c r="W185" s="228">
        <v>483.35</v>
      </c>
      <c r="X185" s="228">
        <v>6.4</v>
      </c>
      <c r="Y185" s="229">
        <v>1.32E-2</v>
      </c>
      <c r="Z185" s="228">
        <v>0.9</v>
      </c>
      <c r="AA185" s="228">
        <v>-0.6</v>
      </c>
      <c r="AB185" s="228">
        <v>1.5</v>
      </c>
      <c r="AC185" s="229">
        <v>1.9E-3</v>
      </c>
      <c r="AD185" s="228">
        <v>0.9</v>
      </c>
      <c r="AE185" s="228">
        <v>-0.6</v>
      </c>
      <c r="AF185" s="228">
        <v>1.5</v>
      </c>
      <c r="AG185" s="229">
        <v>1.9E-3</v>
      </c>
      <c r="AH185" s="228">
        <v>3.55</v>
      </c>
      <c r="AI185" s="228">
        <v>2.1</v>
      </c>
      <c r="AJ185" s="228">
        <v>1.45</v>
      </c>
      <c r="AK185" s="229">
        <v>7.3000000000000001E-3</v>
      </c>
      <c r="AL185" s="228">
        <v>5.9</v>
      </c>
      <c r="AM185" s="228">
        <v>4.6500000000000004</v>
      </c>
      <c r="AN185" s="228">
        <v>1.25</v>
      </c>
      <c r="AO185" s="229">
        <v>1.2200000000000001E-2</v>
      </c>
      <c r="AP185" s="228">
        <v>483.38</v>
      </c>
      <c r="AQ185" s="228">
        <v>486.38</v>
      </c>
      <c r="AR185" s="228">
        <v>0</v>
      </c>
      <c r="AS185" s="228">
        <v>999</v>
      </c>
      <c r="AT185" s="228">
        <v>648</v>
      </c>
      <c r="AU185" s="228">
        <v>350</v>
      </c>
      <c r="AV185" s="229">
        <v>0.54039999999999999</v>
      </c>
      <c r="AW185" s="228">
        <v>433</v>
      </c>
      <c r="AX185" s="228">
        <v>332</v>
      </c>
      <c r="AY185" s="228">
        <v>101</v>
      </c>
      <c r="AZ185" s="229">
        <v>0.30470000000000003</v>
      </c>
      <c r="BA185" s="228">
        <v>559</v>
      </c>
      <c r="BB185" s="228">
        <v>314</v>
      </c>
      <c r="BC185" s="228">
        <v>245</v>
      </c>
      <c r="BD185" s="229">
        <v>0.78239999999999998</v>
      </c>
      <c r="BE185" s="228">
        <v>6</v>
      </c>
      <c r="BF185" s="228">
        <v>3</v>
      </c>
      <c r="BG185" s="228">
        <v>4</v>
      </c>
      <c r="BH185" s="229">
        <v>1.4231</v>
      </c>
      <c r="BI185" s="230">
        <v>1044</v>
      </c>
      <c r="BJ185" s="228">
        <v>662</v>
      </c>
      <c r="BK185" s="228">
        <v>382</v>
      </c>
      <c r="BL185" s="229">
        <v>0.57679999999999998</v>
      </c>
      <c r="BM185" s="228">
        <v>595</v>
      </c>
      <c r="BN185" s="228">
        <v>392</v>
      </c>
      <c r="BO185" s="228">
        <v>204</v>
      </c>
      <c r="BP185" s="229">
        <v>0.52090000000000003</v>
      </c>
      <c r="BQ185" s="230">
        <v>2638</v>
      </c>
      <c r="BR185" s="230">
        <v>1702</v>
      </c>
      <c r="BS185" s="228">
        <v>936</v>
      </c>
      <c r="BT185" s="229">
        <v>0.55010000000000003</v>
      </c>
      <c r="BU185" s="230">
        <v>2587681</v>
      </c>
      <c r="BV185" s="230">
        <v>2978572</v>
      </c>
      <c r="BW185" s="230">
        <v>-390891</v>
      </c>
      <c r="BX185" s="229">
        <v>-0.13120000000000001</v>
      </c>
      <c r="BY185" s="228">
        <v>898</v>
      </c>
      <c r="BZ185" s="228">
        <v>862</v>
      </c>
      <c r="CA185" s="228">
        <v>36</v>
      </c>
      <c r="CB185" s="229">
        <v>4.2200000000000001E-2</v>
      </c>
      <c r="CC185" s="228">
        <v>136</v>
      </c>
      <c r="CD185" s="228">
        <v>439</v>
      </c>
      <c r="CE185" s="228">
        <v>-304</v>
      </c>
      <c r="CF185" s="229">
        <v>-0.69140000000000001</v>
      </c>
      <c r="CG185" s="228">
        <v>755</v>
      </c>
      <c r="CH185" s="228">
        <v>417</v>
      </c>
      <c r="CI185" s="228">
        <v>339</v>
      </c>
      <c r="CJ185" s="229">
        <v>0.8135</v>
      </c>
      <c r="CK185" s="228">
        <v>7</v>
      </c>
      <c r="CL185" s="228">
        <v>6</v>
      </c>
      <c r="CM185" s="228">
        <v>1</v>
      </c>
      <c r="CN185" s="229">
        <v>0.1789</v>
      </c>
      <c r="CO185" s="228">
        <v>400</v>
      </c>
      <c r="CP185" s="228">
        <v>309</v>
      </c>
      <c r="CQ185" s="228">
        <v>91</v>
      </c>
      <c r="CR185" s="229">
        <v>0.29310000000000003</v>
      </c>
      <c r="CS185" s="228">
        <v>288</v>
      </c>
      <c r="CT185" s="228">
        <v>240</v>
      </c>
      <c r="CU185" s="228">
        <v>48</v>
      </c>
      <c r="CV185" s="229">
        <v>0.19969999999999999</v>
      </c>
      <c r="CW185" s="230">
        <v>1586</v>
      </c>
      <c r="CX185" s="230">
        <v>1411</v>
      </c>
      <c r="CY185" s="228">
        <v>175</v>
      </c>
      <c r="CZ185" s="229">
        <v>0.124</v>
      </c>
      <c r="DA185" s="228">
        <v>38.96</v>
      </c>
      <c r="DB185" s="228">
        <v>37.619999999999997</v>
      </c>
      <c r="DC185" s="228">
        <v>1.34</v>
      </c>
      <c r="DD185" s="228">
        <v>1.34</v>
      </c>
      <c r="DE185" s="228">
        <v>41.03</v>
      </c>
      <c r="DF185" s="228">
        <v>41.11</v>
      </c>
      <c r="DG185" s="228">
        <v>-2.0699999999999998</v>
      </c>
      <c r="DH185" s="228">
        <v>-0.08</v>
      </c>
      <c r="DI185" s="228">
        <v>38.32</v>
      </c>
      <c r="DJ185" s="228">
        <v>37</v>
      </c>
      <c r="DK185" s="228">
        <v>1.32</v>
      </c>
      <c r="DL185" s="228">
        <v>1.32</v>
      </c>
      <c r="DM185" s="228">
        <v>40.08</v>
      </c>
      <c r="DN185" s="228">
        <v>38.44</v>
      </c>
      <c r="DO185" s="228">
        <v>1.64</v>
      </c>
      <c r="DP185" s="228">
        <v>1.64</v>
      </c>
      <c r="DQ185" s="228">
        <v>0.72</v>
      </c>
      <c r="DR185" s="228">
        <v>0.78</v>
      </c>
      <c r="DS185" s="228">
        <v>-0.06</v>
      </c>
      <c r="DT185" s="229">
        <v>-7.6899999999999996E-2</v>
      </c>
      <c r="DU185" s="228">
        <v>480</v>
      </c>
      <c r="DV185" s="228">
        <v>475</v>
      </c>
      <c r="DW185" s="228">
        <v>0.56999999999999995</v>
      </c>
      <c r="DX185" s="228">
        <v>0.59</v>
      </c>
      <c r="DY185" s="228">
        <v>-0.02</v>
      </c>
      <c r="DZ185" s="229">
        <v>-3.39E-2</v>
      </c>
      <c r="EA185" s="229">
        <v>0.84909999999999997</v>
      </c>
      <c r="EB185" s="230">
        <v>8722350</v>
      </c>
      <c r="EC185" s="229">
        <v>5.4999999999999997E-3</v>
      </c>
      <c r="ED185" s="229">
        <v>0.84909999999999997</v>
      </c>
      <c r="EE185" s="228">
        <v>3</v>
      </c>
      <c r="EF185" s="229">
        <v>6.1999999999999998E-3</v>
      </c>
      <c r="EG185" s="230">
        <v>1262191</v>
      </c>
      <c r="EH185" s="230">
        <v>1755978</v>
      </c>
      <c r="EI185" s="229">
        <v>-0.28120000000000001</v>
      </c>
      <c r="EJ185" s="229">
        <v>0.48780000000000001</v>
      </c>
      <c r="EK185" s="231">
        <v>1081.68</v>
      </c>
      <c r="EL185" s="228">
        <v>578.5</v>
      </c>
      <c r="EM185" s="228">
        <v>999.24</v>
      </c>
      <c r="EN185" s="228">
        <v>74.33</v>
      </c>
      <c r="EO185" s="231">
        <v>2659.42</v>
      </c>
      <c r="EP185" s="231">
        <v>1696.05</v>
      </c>
      <c r="EQ185" s="228">
        <v>963.37</v>
      </c>
      <c r="ER185" s="229">
        <v>0.56799999999999995</v>
      </c>
      <c r="ES185" s="228">
        <v>399.7</v>
      </c>
      <c r="ET185" s="228">
        <v>265.72000000000003</v>
      </c>
      <c r="EU185" s="228">
        <v>902.57</v>
      </c>
      <c r="EV185" s="231">
        <v>67126548</v>
      </c>
      <c r="EW185" s="231">
        <v>1567.99</v>
      </c>
      <c r="EX185" s="231">
        <v>1376.07</v>
      </c>
      <c r="EY185" s="228">
        <v>191.92</v>
      </c>
      <c r="EZ185" s="229">
        <v>0.13950000000000001</v>
      </c>
      <c r="FA185" s="229">
        <v>0.48749999999999999</v>
      </c>
      <c r="FB185" s="227" t="s">
        <v>555</v>
      </c>
      <c r="FC185">
        <f t="shared" si="3"/>
        <v>0</v>
      </c>
    </row>
    <row r="186" spans="1:159" ht="17.25" thickBot="1" x14ac:dyDescent="0.3">
      <c r="A186" s="226">
        <v>45957</v>
      </c>
      <c r="B186" s="227" t="s">
        <v>197</v>
      </c>
      <c r="C186" s="227" t="s">
        <v>286</v>
      </c>
      <c r="D186" s="228">
        <v>200</v>
      </c>
      <c r="E186" s="228">
        <v>1</v>
      </c>
      <c r="F186" s="231">
        <v>3014.6</v>
      </c>
      <c r="G186" s="231">
        <v>3082.6</v>
      </c>
      <c r="H186" s="228">
        <v>-68</v>
      </c>
      <c r="I186" s="229">
        <v>-2.2100000000000002E-2</v>
      </c>
      <c r="J186" s="231">
        <v>3019.4</v>
      </c>
      <c r="K186" s="231">
        <v>3082</v>
      </c>
      <c r="L186" s="228">
        <v>-62.6</v>
      </c>
      <c r="M186" s="229">
        <v>-2.0299999999999999E-2</v>
      </c>
      <c r="N186" s="231">
        <v>3014.6</v>
      </c>
      <c r="O186" s="231">
        <v>3082.6</v>
      </c>
      <c r="P186" s="228">
        <v>-68</v>
      </c>
      <c r="Q186" s="229">
        <v>-2.2100000000000002E-2</v>
      </c>
      <c r="R186" s="231">
        <v>3028.8</v>
      </c>
      <c r="S186" s="231">
        <v>3099</v>
      </c>
      <c r="T186" s="228">
        <v>-70.2</v>
      </c>
      <c r="U186" s="229">
        <v>-2.2700000000000001E-2</v>
      </c>
      <c r="V186" s="231">
        <v>3043.9</v>
      </c>
      <c r="W186" s="231">
        <v>3115.8</v>
      </c>
      <c r="X186" s="228">
        <v>-71.900000000000006</v>
      </c>
      <c r="Y186" s="229">
        <v>-2.3099999999999999E-2</v>
      </c>
      <c r="Z186" s="228">
        <v>-4.8</v>
      </c>
      <c r="AA186" s="228">
        <v>0.6</v>
      </c>
      <c r="AB186" s="228">
        <v>-5.4</v>
      </c>
      <c r="AC186" s="229">
        <v>-1.6000000000000001E-3</v>
      </c>
      <c r="AD186" s="228">
        <v>-4.8</v>
      </c>
      <c r="AE186" s="228">
        <v>0.6</v>
      </c>
      <c r="AF186" s="228">
        <v>-5.4</v>
      </c>
      <c r="AG186" s="229">
        <v>-1.6000000000000001E-3</v>
      </c>
      <c r="AH186" s="228">
        <v>9.4</v>
      </c>
      <c r="AI186" s="228">
        <v>17</v>
      </c>
      <c r="AJ186" s="228">
        <v>-7.6</v>
      </c>
      <c r="AK186" s="229">
        <v>3.0999999999999999E-3</v>
      </c>
      <c r="AL186" s="228">
        <v>24.5</v>
      </c>
      <c r="AM186" s="228">
        <v>33.799999999999997</v>
      </c>
      <c r="AN186" s="228">
        <v>-9.3000000000000007</v>
      </c>
      <c r="AO186" s="229">
        <v>8.0999999999999996E-3</v>
      </c>
      <c r="AP186" s="231">
        <v>3031.75</v>
      </c>
      <c r="AQ186" s="231">
        <v>3045.91</v>
      </c>
      <c r="AR186" s="228">
        <v>0</v>
      </c>
      <c r="AS186" s="230">
        <v>1710</v>
      </c>
      <c r="AT186" s="228">
        <v>703</v>
      </c>
      <c r="AU186" s="230">
        <v>1008</v>
      </c>
      <c r="AV186" s="229">
        <v>1.4341999999999999</v>
      </c>
      <c r="AW186" s="228">
        <v>635</v>
      </c>
      <c r="AX186" s="228">
        <v>337</v>
      </c>
      <c r="AY186" s="228">
        <v>298</v>
      </c>
      <c r="AZ186" s="229">
        <v>0.88429999999999997</v>
      </c>
      <c r="BA186" s="230">
        <v>1068</v>
      </c>
      <c r="BB186" s="228">
        <v>364</v>
      </c>
      <c r="BC186" s="228">
        <v>703</v>
      </c>
      <c r="BD186" s="229">
        <v>1.9298</v>
      </c>
      <c r="BE186" s="228">
        <v>7</v>
      </c>
      <c r="BF186" s="228">
        <v>1</v>
      </c>
      <c r="BG186" s="228">
        <v>6</v>
      </c>
      <c r="BH186" s="229">
        <v>6.1176000000000004</v>
      </c>
      <c r="BI186" s="230">
        <v>3042</v>
      </c>
      <c r="BJ186" s="228">
        <v>598</v>
      </c>
      <c r="BK186" s="230">
        <v>2444</v>
      </c>
      <c r="BL186" s="229">
        <v>4.0883000000000003</v>
      </c>
      <c r="BM186" s="230">
        <v>2352</v>
      </c>
      <c r="BN186" s="228">
        <v>431</v>
      </c>
      <c r="BO186" s="230">
        <v>1921</v>
      </c>
      <c r="BP186" s="229">
        <v>4.4554</v>
      </c>
      <c r="BQ186" s="230">
        <v>7105</v>
      </c>
      <c r="BR186" s="230">
        <v>1732</v>
      </c>
      <c r="BS186" s="230">
        <v>5373</v>
      </c>
      <c r="BT186" s="229">
        <v>3.1027999999999998</v>
      </c>
      <c r="BU186" s="230">
        <v>1395243</v>
      </c>
      <c r="BV186" s="230">
        <v>590728</v>
      </c>
      <c r="BW186" s="230">
        <v>804515</v>
      </c>
      <c r="BX186" s="229">
        <v>1.3619000000000001</v>
      </c>
      <c r="BY186" s="228">
        <v>997</v>
      </c>
      <c r="BZ186" s="228">
        <v>821</v>
      </c>
      <c r="CA186" s="228">
        <v>176</v>
      </c>
      <c r="CB186" s="229">
        <v>0.214</v>
      </c>
      <c r="CC186" s="228">
        <v>154</v>
      </c>
      <c r="CD186" s="228">
        <v>374</v>
      </c>
      <c r="CE186" s="228">
        <v>-220</v>
      </c>
      <c r="CF186" s="229">
        <v>-0.5877</v>
      </c>
      <c r="CG186" s="228">
        <v>836</v>
      </c>
      <c r="CH186" s="228">
        <v>443</v>
      </c>
      <c r="CI186" s="228">
        <v>393</v>
      </c>
      <c r="CJ186" s="229">
        <v>0.88800000000000001</v>
      </c>
      <c r="CK186" s="228">
        <v>7</v>
      </c>
      <c r="CL186" s="228">
        <v>5</v>
      </c>
      <c r="CM186" s="228">
        <v>2</v>
      </c>
      <c r="CN186" s="229">
        <v>0.46150000000000002</v>
      </c>
      <c r="CO186" s="228">
        <v>777</v>
      </c>
      <c r="CP186" s="228">
        <v>449</v>
      </c>
      <c r="CQ186" s="228">
        <v>328</v>
      </c>
      <c r="CR186" s="229">
        <v>0.73160000000000003</v>
      </c>
      <c r="CS186" s="228">
        <v>551</v>
      </c>
      <c r="CT186" s="228">
        <v>379</v>
      </c>
      <c r="CU186" s="228">
        <v>172</v>
      </c>
      <c r="CV186" s="229">
        <v>0.45419999999999999</v>
      </c>
      <c r="CW186" s="230">
        <v>2324</v>
      </c>
      <c r="CX186" s="230">
        <v>1648</v>
      </c>
      <c r="CY186" s="228">
        <v>676</v>
      </c>
      <c r="CZ186" s="229">
        <v>0.41020000000000001</v>
      </c>
      <c r="DA186" s="228">
        <v>28.52</v>
      </c>
      <c r="DB186" s="228">
        <v>29.16</v>
      </c>
      <c r="DC186" s="228">
        <v>-0.64</v>
      </c>
      <c r="DD186" s="228">
        <v>-0.64</v>
      </c>
      <c r="DE186" s="228">
        <v>31.99</v>
      </c>
      <c r="DF186" s="228">
        <v>31.95</v>
      </c>
      <c r="DG186" s="228">
        <v>-3.47</v>
      </c>
      <c r="DH186" s="228">
        <v>0.04</v>
      </c>
      <c r="DI186" s="228">
        <v>28.48</v>
      </c>
      <c r="DJ186" s="228">
        <v>29.28</v>
      </c>
      <c r="DK186" s="228">
        <v>-0.8</v>
      </c>
      <c r="DL186" s="228">
        <v>-0.8</v>
      </c>
      <c r="DM186" s="228">
        <v>28.58</v>
      </c>
      <c r="DN186" s="228">
        <v>28.85</v>
      </c>
      <c r="DO186" s="228">
        <v>-0.27</v>
      </c>
      <c r="DP186" s="228">
        <v>-0.27</v>
      </c>
      <c r="DQ186" s="228">
        <v>0.71</v>
      </c>
      <c r="DR186" s="228">
        <v>0.84</v>
      </c>
      <c r="DS186" s="228">
        <v>-0.13</v>
      </c>
      <c r="DT186" s="229">
        <v>-0.15479999999999999</v>
      </c>
      <c r="DU186" s="231">
        <v>3200</v>
      </c>
      <c r="DV186" s="231">
        <v>3000</v>
      </c>
      <c r="DW186" s="228">
        <v>0.77</v>
      </c>
      <c r="DX186" s="228">
        <v>0.72</v>
      </c>
      <c r="DY186" s="228">
        <v>0.05</v>
      </c>
      <c r="DZ186" s="229">
        <v>6.9400000000000003E-2</v>
      </c>
      <c r="EA186" s="229">
        <v>0.84550000000000003</v>
      </c>
      <c r="EB186" s="230">
        <v>1483800</v>
      </c>
      <c r="EC186" s="229">
        <v>4.7000000000000002E-3</v>
      </c>
      <c r="ED186" s="229">
        <v>0.84550000000000003</v>
      </c>
      <c r="EE186" s="228">
        <v>14.16</v>
      </c>
      <c r="EF186" s="229">
        <v>4.7000000000000002E-3</v>
      </c>
      <c r="EG186" s="230">
        <v>706313</v>
      </c>
      <c r="EH186" s="230">
        <v>228876</v>
      </c>
      <c r="EI186" s="229">
        <v>2.0859999999999999</v>
      </c>
      <c r="EJ186" s="229">
        <v>0.50619999999999998</v>
      </c>
      <c r="EK186" s="231">
        <v>3206.35</v>
      </c>
      <c r="EL186" s="231">
        <v>2333.83</v>
      </c>
      <c r="EM186" s="231">
        <v>1725.19</v>
      </c>
      <c r="EN186" s="228">
        <v>71.099999999999994</v>
      </c>
      <c r="EO186" s="231">
        <v>7265.36</v>
      </c>
      <c r="EP186" s="231">
        <v>1781.65</v>
      </c>
      <c r="EQ186" s="231">
        <v>5483.71</v>
      </c>
      <c r="ER186" s="229">
        <v>3.0779000000000001</v>
      </c>
      <c r="ES186" s="228">
        <v>817.81</v>
      </c>
      <c r="ET186" s="228">
        <v>538.86</v>
      </c>
      <c r="EU186" s="231">
        <v>1000.51</v>
      </c>
      <c r="EV186" s="231">
        <v>21205300</v>
      </c>
      <c r="EW186" s="231">
        <v>2357.19</v>
      </c>
      <c r="EX186" s="231">
        <v>1688.94</v>
      </c>
      <c r="EY186" s="228">
        <v>668.25</v>
      </c>
      <c r="EZ186" s="229">
        <v>0.3957</v>
      </c>
      <c r="FA186" s="229">
        <v>0.36359999999999998</v>
      </c>
      <c r="FB186" s="227" t="s">
        <v>567</v>
      </c>
      <c r="FC186">
        <f t="shared" si="3"/>
        <v>0</v>
      </c>
    </row>
    <row r="187" spans="1:159" ht="17.25" thickBot="1" x14ac:dyDescent="0.3">
      <c r="A187" s="226">
        <v>45957</v>
      </c>
      <c r="B187" s="227" t="s">
        <v>170</v>
      </c>
      <c r="C187" s="227" t="s">
        <v>288</v>
      </c>
      <c r="D187" s="228">
        <v>350</v>
      </c>
      <c r="E187" s="228">
        <v>1</v>
      </c>
      <c r="F187" s="231">
        <v>1695.5</v>
      </c>
      <c r="G187" s="231">
        <v>1697.6</v>
      </c>
      <c r="H187" s="228">
        <v>-2.1</v>
      </c>
      <c r="I187" s="229">
        <v>-1.1999999999999999E-3</v>
      </c>
      <c r="J187" s="231">
        <v>1693.6</v>
      </c>
      <c r="K187" s="231">
        <v>1699</v>
      </c>
      <c r="L187" s="228">
        <v>-5.4</v>
      </c>
      <c r="M187" s="229">
        <v>-3.2000000000000002E-3</v>
      </c>
      <c r="N187" s="231">
        <v>1695.5</v>
      </c>
      <c r="O187" s="231">
        <v>1697.6</v>
      </c>
      <c r="P187" s="228">
        <v>-2.1</v>
      </c>
      <c r="Q187" s="229">
        <v>-1.1999999999999999E-3</v>
      </c>
      <c r="R187" s="231">
        <v>1704.8</v>
      </c>
      <c r="S187" s="231">
        <v>1706.9</v>
      </c>
      <c r="T187" s="228">
        <v>-2.1</v>
      </c>
      <c r="U187" s="229">
        <v>-1.1999999999999999E-3</v>
      </c>
      <c r="V187" s="231">
        <v>1715.8</v>
      </c>
      <c r="W187" s="231">
        <v>1716.8</v>
      </c>
      <c r="X187" s="228">
        <v>-1</v>
      </c>
      <c r="Y187" s="229">
        <v>-5.9999999999999995E-4</v>
      </c>
      <c r="Z187" s="228">
        <v>1.9</v>
      </c>
      <c r="AA187" s="228">
        <v>-1.4</v>
      </c>
      <c r="AB187" s="228">
        <v>3.3</v>
      </c>
      <c r="AC187" s="229">
        <v>1.1000000000000001E-3</v>
      </c>
      <c r="AD187" s="228">
        <v>1.9</v>
      </c>
      <c r="AE187" s="228">
        <v>-1.4</v>
      </c>
      <c r="AF187" s="228">
        <v>3.3</v>
      </c>
      <c r="AG187" s="229">
        <v>1.1000000000000001E-3</v>
      </c>
      <c r="AH187" s="228">
        <v>11.2</v>
      </c>
      <c r="AI187" s="228">
        <v>7.9</v>
      </c>
      <c r="AJ187" s="228">
        <v>3.3</v>
      </c>
      <c r="AK187" s="229">
        <v>6.6E-3</v>
      </c>
      <c r="AL187" s="228">
        <v>22.2</v>
      </c>
      <c r="AM187" s="228">
        <v>17.8</v>
      </c>
      <c r="AN187" s="228">
        <v>4.4000000000000004</v>
      </c>
      <c r="AO187" s="229">
        <v>1.3100000000000001E-2</v>
      </c>
      <c r="AP187" s="231">
        <v>1694.89</v>
      </c>
      <c r="AQ187" s="231">
        <v>1704.5</v>
      </c>
      <c r="AR187" s="228">
        <v>0</v>
      </c>
      <c r="AS187" s="230">
        <v>1846</v>
      </c>
      <c r="AT187" s="230">
        <v>1772</v>
      </c>
      <c r="AU187" s="228">
        <v>74</v>
      </c>
      <c r="AV187" s="229">
        <v>4.1700000000000001E-2</v>
      </c>
      <c r="AW187" s="228">
        <v>890</v>
      </c>
      <c r="AX187" s="228">
        <v>888</v>
      </c>
      <c r="AY187" s="228">
        <v>2</v>
      </c>
      <c r="AZ187" s="229">
        <v>2.5000000000000001E-3</v>
      </c>
      <c r="BA187" s="228">
        <v>953</v>
      </c>
      <c r="BB187" s="228">
        <v>883</v>
      </c>
      <c r="BC187" s="228">
        <v>70</v>
      </c>
      <c r="BD187" s="229">
        <v>7.8799999999999995E-2</v>
      </c>
      <c r="BE187" s="228">
        <v>3</v>
      </c>
      <c r="BF187" s="228">
        <v>1</v>
      </c>
      <c r="BG187" s="228">
        <v>2</v>
      </c>
      <c r="BH187" s="229">
        <v>2.1875</v>
      </c>
      <c r="BI187" s="230">
        <v>1204</v>
      </c>
      <c r="BJ187" s="230">
        <v>1042</v>
      </c>
      <c r="BK187" s="228">
        <v>162</v>
      </c>
      <c r="BL187" s="229">
        <v>0.1555</v>
      </c>
      <c r="BM187" s="228">
        <v>728</v>
      </c>
      <c r="BN187" s="228">
        <v>773</v>
      </c>
      <c r="BO187" s="228">
        <v>-45</v>
      </c>
      <c r="BP187" s="229">
        <v>-5.8000000000000003E-2</v>
      </c>
      <c r="BQ187" s="230">
        <v>3778</v>
      </c>
      <c r="BR187" s="230">
        <v>3587</v>
      </c>
      <c r="BS187" s="228">
        <v>191</v>
      </c>
      <c r="BT187" s="229">
        <v>5.33E-2</v>
      </c>
      <c r="BU187" s="230">
        <v>2253999</v>
      </c>
      <c r="BV187" s="230">
        <v>1010702</v>
      </c>
      <c r="BW187" s="230">
        <v>1243297</v>
      </c>
      <c r="BX187" s="229">
        <v>1.2301</v>
      </c>
      <c r="BY187" s="230">
        <v>2992</v>
      </c>
      <c r="BZ187" s="230">
        <v>2942</v>
      </c>
      <c r="CA187" s="228">
        <v>50</v>
      </c>
      <c r="CB187" s="229">
        <v>1.7000000000000001E-2</v>
      </c>
      <c r="CC187" s="228">
        <v>416</v>
      </c>
      <c r="CD187" s="230">
        <v>1171</v>
      </c>
      <c r="CE187" s="228">
        <v>-756</v>
      </c>
      <c r="CF187" s="229">
        <v>-0.6452</v>
      </c>
      <c r="CG187" s="230">
        <v>2567</v>
      </c>
      <c r="CH187" s="230">
        <v>1762</v>
      </c>
      <c r="CI187" s="228">
        <v>805</v>
      </c>
      <c r="CJ187" s="229">
        <v>0.45650000000000002</v>
      </c>
      <c r="CK187" s="228">
        <v>10</v>
      </c>
      <c r="CL187" s="228">
        <v>9</v>
      </c>
      <c r="CM187" s="228">
        <v>1</v>
      </c>
      <c r="CN187" s="229">
        <v>0.1067</v>
      </c>
      <c r="CO187" s="228">
        <v>767</v>
      </c>
      <c r="CP187" s="228">
        <v>887</v>
      </c>
      <c r="CQ187" s="228">
        <v>-120</v>
      </c>
      <c r="CR187" s="229">
        <v>-0.13519999999999999</v>
      </c>
      <c r="CS187" s="228">
        <v>632</v>
      </c>
      <c r="CT187" s="228">
        <v>747</v>
      </c>
      <c r="CU187" s="228">
        <v>-115</v>
      </c>
      <c r="CV187" s="229">
        <v>-0.15359999999999999</v>
      </c>
      <c r="CW187" s="230">
        <v>4392</v>
      </c>
      <c r="CX187" s="230">
        <v>4577</v>
      </c>
      <c r="CY187" s="228">
        <v>-185</v>
      </c>
      <c r="CZ187" s="229">
        <v>-4.0399999999999998E-2</v>
      </c>
      <c r="DA187" s="228">
        <v>21.87</v>
      </c>
      <c r="DB187" s="228">
        <v>21.98</v>
      </c>
      <c r="DC187" s="228">
        <v>-0.11</v>
      </c>
      <c r="DD187" s="228">
        <v>-0.11</v>
      </c>
      <c r="DE187" s="228">
        <v>23.65</v>
      </c>
      <c r="DF187" s="228">
        <v>23.71</v>
      </c>
      <c r="DG187" s="228">
        <v>-1.78</v>
      </c>
      <c r="DH187" s="228">
        <v>-0.06</v>
      </c>
      <c r="DI187" s="228">
        <v>22.03</v>
      </c>
      <c r="DJ187" s="228">
        <v>21.96</v>
      </c>
      <c r="DK187" s="228">
        <v>7.0000000000000007E-2</v>
      </c>
      <c r="DL187" s="228">
        <v>7.0000000000000007E-2</v>
      </c>
      <c r="DM187" s="228">
        <v>21.58</v>
      </c>
      <c r="DN187" s="228">
        <v>22.03</v>
      </c>
      <c r="DO187" s="228">
        <v>-0.45</v>
      </c>
      <c r="DP187" s="228">
        <v>-0.45</v>
      </c>
      <c r="DQ187" s="228">
        <v>0.82</v>
      </c>
      <c r="DR187" s="228">
        <v>0.84</v>
      </c>
      <c r="DS187" s="228">
        <v>-0.02</v>
      </c>
      <c r="DT187" s="229">
        <v>-2.3800000000000002E-2</v>
      </c>
      <c r="DU187" s="231">
        <v>1700</v>
      </c>
      <c r="DV187" s="231">
        <v>1500</v>
      </c>
      <c r="DW187" s="228">
        <v>0.6</v>
      </c>
      <c r="DX187" s="228">
        <v>0.74</v>
      </c>
      <c r="DY187" s="228">
        <v>-0.14000000000000001</v>
      </c>
      <c r="DZ187" s="229">
        <v>-0.18920000000000001</v>
      </c>
      <c r="EA187" s="229">
        <v>0.86109999999999998</v>
      </c>
      <c r="EB187" s="230">
        <v>10447150</v>
      </c>
      <c r="EC187" s="229">
        <v>5.4999999999999997E-3</v>
      </c>
      <c r="ED187" s="229">
        <v>0.86109999999999998</v>
      </c>
      <c r="EE187" s="228">
        <v>9.61</v>
      </c>
      <c r="EF187" s="229">
        <v>5.7000000000000002E-3</v>
      </c>
      <c r="EG187" s="230">
        <v>1551127</v>
      </c>
      <c r="EH187" s="230">
        <v>614098</v>
      </c>
      <c r="EI187" s="229">
        <v>1.5259</v>
      </c>
      <c r="EJ187" s="229">
        <v>0.68820000000000003</v>
      </c>
      <c r="EK187" s="231">
        <v>1226.0899999999999</v>
      </c>
      <c r="EL187" s="228">
        <v>715.68</v>
      </c>
      <c r="EM187" s="231">
        <v>1850.68</v>
      </c>
      <c r="EN187" s="228">
        <v>164.58</v>
      </c>
      <c r="EO187" s="231">
        <v>3792.46</v>
      </c>
      <c r="EP187" s="231">
        <v>3589.23</v>
      </c>
      <c r="EQ187" s="228">
        <v>203.23</v>
      </c>
      <c r="ER187" s="229">
        <v>5.6599999999999998E-2</v>
      </c>
      <c r="ES187" s="228">
        <v>778.57</v>
      </c>
      <c r="ET187" s="228">
        <v>595.62</v>
      </c>
      <c r="EU187" s="231">
        <v>3006.66</v>
      </c>
      <c r="EV187" s="231">
        <v>109220043</v>
      </c>
      <c r="EW187" s="231">
        <v>4380.8500000000004</v>
      </c>
      <c r="EX187" s="231">
        <v>4557.6400000000003</v>
      </c>
      <c r="EY187" s="228">
        <v>-176.79</v>
      </c>
      <c r="EZ187" s="229">
        <v>-3.8800000000000001E-2</v>
      </c>
      <c r="FA187" s="229">
        <v>0.23719999999999999</v>
      </c>
      <c r="FB187" s="227" t="s">
        <v>567</v>
      </c>
      <c r="FC187">
        <f t="shared" si="3"/>
        <v>0</v>
      </c>
    </row>
    <row r="188" spans="1:159" ht="17.25" thickBot="1" x14ac:dyDescent="0.3">
      <c r="A188" s="226">
        <v>45957</v>
      </c>
      <c r="B188" s="227" t="s">
        <v>184</v>
      </c>
      <c r="C188" s="227" t="s">
        <v>574</v>
      </c>
      <c r="D188" s="228">
        <v>175</v>
      </c>
      <c r="E188" s="228">
        <v>1</v>
      </c>
      <c r="F188" s="231">
        <v>4004</v>
      </c>
      <c r="G188" s="231">
        <v>4015.3</v>
      </c>
      <c r="H188" s="228">
        <v>-11.3</v>
      </c>
      <c r="I188" s="229">
        <v>-2.8E-3</v>
      </c>
      <c r="J188" s="231">
        <v>4000.9</v>
      </c>
      <c r="K188" s="231">
        <v>4003.7</v>
      </c>
      <c r="L188" s="228">
        <v>-2.8</v>
      </c>
      <c r="M188" s="229">
        <v>-6.9999999999999999E-4</v>
      </c>
      <c r="N188" s="231">
        <v>4004</v>
      </c>
      <c r="O188" s="231">
        <v>4015.3</v>
      </c>
      <c r="P188" s="228">
        <v>-11.3</v>
      </c>
      <c r="Q188" s="229">
        <v>-2.8E-3</v>
      </c>
      <c r="R188" s="231">
        <v>4018.4</v>
      </c>
      <c r="S188" s="231">
        <v>4027.2</v>
      </c>
      <c r="T188" s="228">
        <v>-8.8000000000000007</v>
      </c>
      <c r="U188" s="229">
        <v>-2.2000000000000001E-3</v>
      </c>
      <c r="V188" s="231">
        <v>4043.2</v>
      </c>
      <c r="W188" s="231">
        <v>4057.9</v>
      </c>
      <c r="X188" s="228">
        <v>-14.7</v>
      </c>
      <c r="Y188" s="229">
        <v>-3.5999999999999999E-3</v>
      </c>
      <c r="Z188" s="228">
        <v>3.1</v>
      </c>
      <c r="AA188" s="228">
        <v>11.6</v>
      </c>
      <c r="AB188" s="228">
        <v>-8.5</v>
      </c>
      <c r="AC188" s="229">
        <v>8.0000000000000004E-4</v>
      </c>
      <c r="AD188" s="228">
        <v>3.1</v>
      </c>
      <c r="AE188" s="228">
        <v>11.6</v>
      </c>
      <c r="AF188" s="228">
        <v>-8.5</v>
      </c>
      <c r="AG188" s="229">
        <v>8.0000000000000004E-4</v>
      </c>
      <c r="AH188" s="228">
        <v>17.5</v>
      </c>
      <c r="AI188" s="228">
        <v>23.5</v>
      </c>
      <c r="AJ188" s="228">
        <v>-6</v>
      </c>
      <c r="AK188" s="229">
        <v>4.4000000000000003E-3</v>
      </c>
      <c r="AL188" s="228">
        <v>42.3</v>
      </c>
      <c r="AM188" s="228">
        <v>54.2</v>
      </c>
      <c r="AN188" s="228">
        <v>-11.9</v>
      </c>
      <c r="AO188" s="229">
        <v>1.06E-2</v>
      </c>
      <c r="AP188" s="231">
        <v>3989.17</v>
      </c>
      <c r="AQ188" s="231">
        <v>3998.91</v>
      </c>
      <c r="AR188" s="228">
        <v>0</v>
      </c>
      <c r="AS188" s="228">
        <v>952</v>
      </c>
      <c r="AT188" s="228">
        <v>709</v>
      </c>
      <c r="AU188" s="228">
        <v>243</v>
      </c>
      <c r="AV188" s="229">
        <v>0.34279999999999999</v>
      </c>
      <c r="AW188" s="228">
        <v>344</v>
      </c>
      <c r="AX188" s="228">
        <v>345</v>
      </c>
      <c r="AY188" s="228">
        <v>-1</v>
      </c>
      <c r="AZ188" s="229">
        <v>-2E-3</v>
      </c>
      <c r="BA188" s="228">
        <v>603</v>
      </c>
      <c r="BB188" s="228">
        <v>361</v>
      </c>
      <c r="BC188" s="228">
        <v>241</v>
      </c>
      <c r="BD188" s="229">
        <v>0.66810000000000003</v>
      </c>
      <c r="BE188" s="228">
        <v>5</v>
      </c>
      <c r="BF188" s="228">
        <v>3</v>
      </c>
      <c r="BG188" s="228">
        <v>2</v>
      </c>
      <c r="BH188" s="229">
        <v>0.82499999999999996</v>
      </c>
      <c r="BI188" s="230">
        <v>2457</v>
      </c>
      <c r="BJ188" s="228">
        <v>564</v>
      </c>
      <c r="BK188" s="230">
        <v>1893</v>
      </c>
      <c r="BL188" s="229">
        <v>3.3570000000000002</v>
      </c>
      <c r="BM188" s="230">
        <v>1461</v>
      </c>
      <c r="BN188" s="228">
        <v>420</v>
      </c>
      <c r="BO188" s="230">
        <v>1041</v>
      </c>
      <c r="BP188" s="229">
        <v>2.4792999999999998</v>
      </c>
      <c r="BQ188" s="230">
        <v>4870</v>
      </c>
      <c r="BR188" s="230">
        <v>1693</v>
      </c>
      <c r="BS188" s="230">
        <v>3177</v>
      </c>
      <c r="BT188" s="229">
        <v>1.877</v>
      </c>
      <c r="BU188" s="230">
        <v>998674</v>
      </c>
      <c r="BV188" s="230">
        <v>802384</v>
      </c>
      <c r="BW188" s="230">
        <v>196290</v>
      </c>
      <c r="BX188" s="229">
        <v>0.24460000000000001</v>
      </c>
      <c r="BY188" s="228">
        <v>642</v>
      </c>
      <c r="BZ188" s="228">
        <v>591</v>
      </c>
      <c r="CA188" s="228">
        <v>52</v>
      </c>
      <c r="CB188" s="229">
        <v>8.77E-2</v>
      </c>
      <c r="CC188" s="228">
        <v>76</v>
      </c>
      <c r="CD188" s="228">
        <v>208</v>
      </c>
      <c r="CE188" s="228">
        <v>-132</v>
      </c>
      <c r="CF188" s="229">
        <v>-0.63239999999999996</v>
      </c>
      <c r="CG188" s="228">
        <v>561</v>
      </c>
      <c r="CH188" s="228">
        <v>380</v>
      </c>
      <c r="CI188" s="228">
        <v>181</v>
      </c>
      <c r="CJ188" s="229">
        <v>0.47620000000000001</v>
      </c>
      <c r="CK188" s="228">
        <v>5</v>
      </c>
      <c r="CL188" s="228">
        <v>3</v>
      </c>
      <c r="CM188" s="228">
        <v>2</v>
      </c>
      <c r="CN188" s="229">
        <v>0.86839999999999995</v>
      </c>
      <c r="CO188" s="228">
        <v>329</v>
      </c>
      <c r="CP188" s="228">
        <v>272</v>
      </c>
      <c r="CQ188" s="228">
        <v>57</v>
      </c>
      <c r="CR188" s="229">
        <v>0.21029999999999999</v>
      </c>
      <c r="CS188" s="228">
        <v>216</v>
      </c>
      <c r="CT188" s="228">
        <v>144</v>
      </c>
      <c r="CU188" s="228">
        <v>72</v>
      </c>
      <c r="CV188" s="229">
        <v>0.49590000000000001</v>
      </c>
      <c r="CW188" s="230">
        <v>1187</v>
      </c>
      <c r="CX188" s="230">
        <v>1007</v>
      </c>
      <c r="CY188" s="228">
        <v>181</v>
      </c>
      <c r="CZ188" s="229">
        <v>0.17929999999999999</v>
      </c>
      <c r="DA188" s="228">
        <v>30.66</v>
      </c>
      <c r="DB188" s="228">
        <v>34.11</v>
      </c>
      <c r="DC188" s="228">
        <v>-3.45</v>
      </c>
      <c r="DD188" s="228">
        <v>-3.45</v>
      </c>
      <c r="DE188" s="228">
        <v>41.12</v>
      </c>
      <c r="DF188" s="228">
        <v>41.22</v>
      </c>
      <c r="DG188" s="228">
        <v>-10.46</v>
      </c>
      <c r="DH188" s="228">
        <v>-0.1</v>
      </c>
      <c r="DI188" s="228">
        <v>30.39</v>
      </c>
      <c r="DJ188" s="228">
        <v>34.26</v>
      </c>
      <c r="DK188" s="228">
        <v>-3.87</v>
      </c>
      <c r="DL188" s="228">
        <v>-3.87</v>
      </c>
      <c r="DM188" s="228">
        <v>31.07</v>
      </c>
      <c r="DN188" s="228">
        <v>33.909999999999997</v>
      </c>
      <c r="DO188" s="228">
        <v>-2.84</v>
      </c>
      <c r="DP188" s="228">
        <v>-2.84</v>
      </c>
      <c r="DQ188" s="228">
        <v>0.66</v>
      </c>
      <c r="DR188" s="228">
        <v>0.53</v>
      </c>
      <c r="DS188" s="228">
        <v>0.13</v>
      </c>
      <c r="DT188" s="229">
        <v>0.24529999999999999</v>
      </c>
      <c r="DU188" s="231">
        <v>4000</v>
      </c>
      <c r="DV188" s="231">
        <v>3900</v>
      </c>
      <c r="DW188" s="228">
        <v>0.59</v>
      </c>
      <c r="DX188" s="228">
        <v>0.74</v>
      </c>
      <c r="DY188" s="228">
        <v>-0.15</v>
      </c>
      <c r="DZ188" s="229">
        <v>-0.20269999999999999</v>
      </c>
      <c r="EA188" s="229">
        <v>0.88100000000000001</v>
      </c>
      <c r="EB188" s="230">
        <v>955850</v>
      </c>
      <c r="EC188" s="229">
        <v>3.5999999999999999E-3</v>
      </c>
      <c r="ED188" s="229">
        <v>0.88100000000000001</v>
      </c>
      <c r="EE188" s="228">
        <v>9.74</v>
      </c>
      <c r="EF188" s="229">
        <v>2.3999999999999998E-3</v>
      </c>
      <c r="EG188" s="230">
        <v>489865</v>
      </c>
      <c r="EH188" s="230">
        <v>426176</v>
      </c>
      <c r="EI188" s="229">
        <v>0.14940000000000001</v>
      </c>
      <c r="EJ188" s="229">
        <v>0.49049999999999999</v>
      </c>
      <c r="EK188" s="231">
        <v>2556.4</v>
      </c>
      <c r="EL188" s="231">
        <v>1434.66</v>
      </c>
      <c r="EM188" s="228">
        <v>949.67</v>
      </c>
      <c r="EN188" s="228">
        <v>38.590000000000003</v>
      </c>
      <c r="EO188" s="231">
        <v>4940.7299999999996</v>
      </c>
      <c r="EP188" s="231">
        <v>1756.22</v>
      </c>
      <c r="EQ188" s="231">
        <v>3184.51</v>
      </c>
      <c r="ER188" s="229">
        <v>1.8132999999999999</v>
      </c>
      <c r="ES188" s="228">
        <v>350.11</v>
      </c>
      <c r="ET188" s="228">
        <v>213.73</v>
      </c>
      <c r="EU188" s="228">
        <v>644.54</v>
      </c>
      <c r="EV188" s="231">
        <v>7242074</v>
      </c>
      <c r="EW188" s="231">
        <v>1208.3699999999999</v>
      </c>
      <c r="EX188" s="231">
        <v>1034.99</v>
      </c>
      <c r="EY188" s="228">
        <v>173.38</v>
      </c>
      <c r="EZ188" s="229">
        <v>0.16750000000000001</v>
      </c>
      <c r="FA188" s="229">
        <v>0.40939999999999999</v>
      </c>
      <c r="FB188" s="227" t="s">
        <v>567</v>
      </c>
      <c r="FC188">
        <f t="shared" si="3"/>
        <v>0</v>
      </c>
    </row>
    <row r="189" spans="1:159" ht="17.25" thickBot="1" x14ac:dyDescent="0.3">
      <c r="A189" s="226">
        <v>45957</v>
      </c>
      <c r="B189" s="227" t="s">
        <v>161</v>
      </c>
      <c r="C189" s="227" t="s">
        <v>685</v>
      </c>
      <c r="D189" s="228">
        <v>8000</v>
      </c>
      <c r="E189" s="228">
        <v>1</v>
      </c>
      <c r="F189" s="228">
        <v>53.7</v>
      </c>
      <c r="G189" s="228">
        <v>53.76</v>
      </c>
      <c r="H189" s="228">
        <v>-0.06</v>
      </c>
      <c r="I189" s="229">
        <v>-1.1000000000000001E-3</v>
      </c>
      <c r="J189" s="228">
        <v>53.71</v>
      </c>
      <c r="K189" s="228">
        <v>53.82</v>
      </c>
      <c r="L189" s="228">
        <v>-0.11</v>
      </c>
      <c r="M189" s="229">
        <v>-2E-3</v>
      </c>
      <c r="N189" s="228">
        <v>53.7</v>
      </c>
      <c r="O189" s="228">
        <v>53.76</v>
      </c>
      <c r="P189" s="228">
        <v>-0.06</v>
      </c>
      <c r="Q189" s="229">
        <v>-1.1000000000000001E-3</v>
      </c>
      <c r="R189" s="228">
        <v>53.99</v>
      </c>
      <c r="S189" s="228">
        <v>53.98</v>
      </c>
      <c r="T189" s="228">
        <v>0.01</v>
      </c>
      <c r="U189" s="229">
        <v>2.0000000000000001E-4</v>
      </c>
      <c r="V189" s="228">
        <v>54.34</v>
      </c>
      <c r="W189" s="228">
        <v>54.34</v>
      </c>
      <c r="X189" s="228">
        <v>0</v>
      </c>
      <c r="Y189" s="229">
        <v>0</v>
      </c>
      <c r="Z189" s="228">
        <v>-0.01</v>
      </c>
      <c r="AA189" s="228">
        <v>-0.06</v>
      </c>
      <c r="AB189" s="228">
        <v>0.05</v>
      </c>
      <c r="AC189" s="229">
        <v>-2.0000000000000001E-4</v>
      </c>
      <c r="AD189" s="228">
        <v>-0.01</v>
      </c>
      <c r="AE189" s="228">
        <v>-0.06</v>
      </c>
      <c r="AF189" s="228">
        <v>0.05</v>
      </c>
      <c r="AG189" s="229">
        <v>-2.0000000000000001E-4</v>
      </c>
      <c r="AH189" s="228">
        <v>0.28000000000000003</v>
      </c>
      <c r="AI189" s="228">
        <v>0.16</v>
      </c>
      <c r="AJ189" s="228">
        <v>0.12</v>
      </c>
      <c r="AK189" s="229">
        <v>5.1999999999999998E-3</v>
      </c>
      <c r="AL189" s="228">
        <v>0.63</v>
      </c>
      <c r="AM189" s="228">
        <v>0.52</v>
      </c>
      <c r="AN189" s="228">
        <v>0.11</v>
      </c>
      <c r="AO189" s="229">
        <v>1.17E-2</v>
      </c>
      <c r="AP189" s="228">
        <v>53.82</v>
      </c>
      <c r="AQ189" s="228">
        <v>54.07</v>
      </c>
      <c r="AR189" s="228">
        <v>0</v>
      </c>
      <c r="AS189" s="228">
        <v>779</v>
      </c>
      <c r="AT189" s="228">
        <v>786</v>
      </c>
      <c r="AU189" s="228">
        <v>-6</v>
      </c>
      <c r="AV189" s="229">
        <v>-8.3000000000000001E-3</v>
      </c>
      <c r="AW189" s="228">
        <v>384</v>
      </c>
      <c r="AX189" s="228">
        <v>393</v>
      </c>
      <c r="AY189" s="228">
        <v>-9</v>
      </c>
      <c r="AZ189" s="229">
        <v>-2.3400000000000001E-2</v>
      </c>
      <c r="BA189" s="228">
        <v>385</v>
      </c>
      <c r="BB189" s="228">
        <v>385</v>
      </c>
      <c r="BC189" s="228">
        <v>0</v>
      </c>
      <c r="BD189" s="229">
        <v>1E-3</v>
      </c>
      <c r="BE189" s="228">
        <v>10</v>
      </c>
      <c r="BF189" s="228">
        <v>8</v>
      </c>
      <c r="BG189" s="228">
        <v>2</v>
      </c>
      <c r="BH189" s="229">
        <v>0.29830000000000001</v>
      </c>
      <c r="BI189" s="228">
        <v>274</v>
      </c>
      <c r="BJ189" s="228">
        <v>544</v>
      </c>
      <c r="BK189" s="228">
        <v>-270</v>
      </c>
      <c r="BL189" s="229">
        <v>-0.49690000000000001</v>
      </c>
      <c r="BM189" s="228">
        <v>149</v>
      </c>
      <c r="BN189" s="228">
        <v>306</v>
      </c>
      <c r="BO189" s="228">
        <v>-157</v>
      </c>
      <c r="BP189" s="229">
        <v>-0.51259999999999994</v>
      </c>
      <c r="BQ189" s="230">
        <v>1202</v>
      </c>
      <c r="BR189" s="230">
        <v>1635</v>
      </c>
      <c r="BS189" s="228">
        <v>-434</v>
      </c>
      <c r="BT189" s="229">
        <v>-0.2651</v>
      </c>
      <c r="BU189" s="230">
        <v>28733060</v>
      </c>
      <c r="BV189" s="230">
        <v>50011039</v>
      </c>
      <c r="BW189" s="230">
        <v>-21277979</v>
      </c>
      <c r="BX189" s="229">
        <v>-0.42549999999999999</v>
      </c>
      <c r="BY189" s="230">
        <v>1235</v>
      </c>
      <c r="BZ189" s="230">
        <v>1265</v>
      </c>
      <c r="CA189" s="228">
        <v>-30</v>
      </c>
      <c r="CB189" s="229">
        <v>-2.3400000000000001E-2</v>
      </c>
      <c r="CC189" s="228">
        <v>360</v>
      </c>
      <c r="CD189" s="228">
        <v>623</v>
      </c>
      <c r="CE189" s="228">
        <v>-263</v>
      </c>
      <c r="CF189" s="229">
        <v>-0.42170000000000002</v>
      </c>
      <c r="CG189" s="228">
        <v>840</v>
      </c>
      <c r="CH189" s="228">
        <v>614</v>
      </c>
      <c r="CI189" s="228">
        <v>226</v>
      </c>
      <c r="CJ189" s="229">
        <v>0.36820000000000003</v>
      </c>
      <c r="CK189" s="228">
        <v>36</v>
      </c>
      <c r="CL189" s="228">
        <v>29</v>
      </c>
      <c r="CM189" s="228">
        <v>7</v>
      </c>
      <c r="CN189" s="229">
        <v>0.24179999999999999</v>
      </c>
      <c r="CO189" s="228">
        <v>935</v>
      </c>
      <c r="CP189" s="228">
        <v>920</v>
      </c>
      <c r="CQ189" s="228">
        <v>15</v>
      </c>
      <c r="CR189" s="229">
        <v>1.6299999999999999E-2</v>
      </c>
      <c r="CS189" s="228">
        <v>411</v>
      </c>
      <c r="CT189" s="228">
        <v>403</v>
      </c>
      <c r="CU189" s="228">
        <v>9</v>
      </c>
      <c r="CV189" s="229">
        <v>2.1499999999999998E-2</v>
      </c>
      <c r="CW189" s="230">
        <v>2582</v>
      </c>
      <c r="CX189" s="230">
        <v>2588</v>
      </c>
      <c r="CY189" s="228">
        <v>-6</v>
      </c>
      <c r="CZ189" s="229">
        <v>-2.3E-3</v>
      </c>
      <c r="DA189" s="228">
        <v>33.65</v>
      </c>
      <c r="DB189" s="228">
        <v>34.130000000000003</v>
      </c>
      <c r="DC189" s="228">
        <v>-0.48</v>
      </c>
      <c r="DD189" s="228">
        <v>-0.48</v>
      </c>
      <c r="DE189" s="228">
        <v>49.94</v>
      </c>
      <c r="DF189" s="228">
        <v>50.07</v>
      </c>
      <c r="DG189" s="228">
        <v>-16.29</v>
      </c>
      <c r="DH189" s="228">
        <v>-0.13</v>
      </c>
      <c r="DI189" s="228">
        <v>34.1</v>
      </c>
      <c r="DJ189" s="228">
        <v>35.22</v>
      </c>
      <c r="DK189" s="228">
        <v>-1.1200000000000001</v>
      </c>
      <c r="DL189" s="228">
        <v>-1.1200000000000001</v>
      </c>
      <c r="DM189" s="228">
        <v>32.92</v>
      </c>
      <c r="DN189" s="228">
        <v>32.799999999999997</v>
      </c>
      <c r="DO189" s="228">
        <v>0.12</v>
      </c>
      <c r="DP189" s="228">
        <v>0.12</v>
      </c>
      <c r="DQ189" s="228">
        <v>0.44</v>
      </c>
      <c r="DR189" s="228">
        <v>0.44</v>
      </c>
      <c r="DS189" s="228">
        <v>0</v>
      </c>
      <c r="DT189" s="229">
        <v>0</v>
      </c>
      <c r="DU189" s="228">
        <v>60</v>
      </c>
      <c r="DV189" s="228">
        <v>55</v>
      </c>
      <c r="DW189" s="228">
        <v>0.54</v>
      </c>
      <c r="DX189" s="228">
        <v>0.56000000000000005</v>
      </c>
      <c r="DY189" s="228">
        <v>-0.02</v>
      </c>
      <c r="DZ189" s="229">
        <v>-3.5700000000000003E-2</v>
      </c>
      <c r="EA189" s="229">
        <v>0.70860000000000001</v>
      </c>
      <c r="EB189" s="230">
        <v>119640000</v>
      </c>
      <c r="EC189" s="229">
        <v>5.4000000000000003E-3</v>
      </c>
      <c r="ED189" s="229">
        <v>0.70860000000000001</v>
      </c>
      <c r="EE189" s="228">
        <v>0.25</v>
      </c>
      <c r="EF189" s="229">
        <v>4.5999999999999999E-3</v>
      </c>
      <c r="EG189" s="230">
        <v>13764484</v>
      </c>
      <c r="EH189" s="230">
        <v>24569425</v>
      </c>
      <c r="EI189" s="229">
        <v>-0.43980000000000002</v>
      </c>
      <c r="EJ189" s="229">
        <v>0.47899999999999998</v>
      </c>
      <c r="EK189" s="228">
        <v>285.95</v>
      </c>
      <c r="EL189" s="228">
        <v>155.16999999999999</v>
      </c>
      <c r="EM189" s="228">
        <v>782.73</v>
      </c>
      <c r="EN189" s="228">
        <v>113.31</v>
      </c>
      <c r="EO189" s="231">
        <v>1223.8499999999999</v>
      </c>
      <c r="EP189" s="231">
        <v>1694.37</v>
      </c>
      <c r="EQ189" s="228">
        <v>-470.52</v>
      </c>
      <c r="ER189" s="229">
        <v>-0.2777</v>
      </c>
      <c r="ES189" s="231">
        <v>1022.43</v>
      </c>
      <c r="ET189" s="228">
        <v>417.48</v>
      </c>
      <c r="EU189" s="231">
        <v>1240.3599999999999</v>
      </c>
      <c r="EV189" s="231">
        <v>1813533848</v>
      </c>
      <c r="EW189" s="231">
        <v>2680.27</v>
      </c>
      <c r="EX189" s="231">
        <v>2684.66</v>
      </c>
      <c r="EY189" s="228">
        <v>-4.3899999999999997</v>
      </c>
      <c r="EZ189" s="229">
        <v>-1.6000000000000001E-3</v>
      </c>
      <c r="FA189" s="229">
        <v>0.2651</v>
      </c>
      <c r="FB189" s="227" t="s">
        <v>568</v>
      </c>
      <c r="FC189">
        <f t="shared" si="3"/>
        <v>0</v>
      </c>
    </row>
    <row r="190" spans="1:159" ht="17.25" thickBot="1" x14ac:dyDescent="0.3">
      <c r="A190" s="226">
        <v>45957</v>
      </c>
      <c r="B190" s="227" t="s">
        <v>170</v>
      </c>
      <c r="C190" s="227" t="s">
        <v>520</v>
      </c>
      <c r="D190" s="228">
        <v>1000</v>
      </c>
      <c r="E190" s="228">
        <v>1</v>
      </c>
      <c r="F190" s="228">
        <v>661.55</v>
      </c>
      <c r="G190" s="228">
        <v>659</v>
      </c>
      <c r="H190" s="228">
        <v>2.5499999999999998</v>
      </c>
      <c r="I190" s="229">
        <v>3.8999999999999998E-3</v>
      </c>
      <c r="J190" s="228">
        <v>660.4</v>
      </c>
      <c r="K190" s="228">
        <v>659.85</v>
      </c>
      <c r="L190" s="228">
        <v>0.55000000000000004</v>
      </c>
      <c r="M190" s="229">
        <v>8.0000000000000004E-4</v>
      </c>
      <c r="N190" s="228">
        <v>661.55</v>
      </c>
      <c r="O190" s="228">
        <v>659</v>
      </c>
      <c r="P190" s="228">
        <v>2.5499999999999998</v>
      </c>
      <c r="Q190" s="229">
        <v>3.8999999999999998E-3</v>
      </c>
      <c r="R190" s="228">
        <v>664.9</v>
      </c>
      <c r="S190" s="228">
        <v>662.95</v>
      </c>
      <c r="T190" s="228">
        <v>1.95</v>
      </c>
      <c r="U190" s="229">
        <v>2.8999999999999998E-3</v>
      </c>
      <c r="V190" s="228">
        <v>668.15</v>
      </c>
      <c r="W190" s="228">
        <v>666.9</v>
      </c>
      <c r="X190" s="228">
        <v>1.25</v>
      </c>
      <c r="Y190" s="229">
        <v>1.9E-3</v>
      </c>
      <c r="Z190" s="228">
        <v>1.1499999999999999</v>
      </c>
      <c r="AA190" s="228">
        <v>-0.85</v>
      </c>
      <c r="AB190" s="228">
        <v>2</v>
      </c>
      <c r="AC190" s="229">
        <v>1.6999999999999999E-3</v>
      </c>
      <c r="AD190" s="228">
        <v>1.1499999999999999</v>
      </c>
      <c r="AE190" s="228">
        <v>-0.85</v>
      </c>
      <c r="AF190" s="228">
        <v>2</v>
      </c>
      <c r="AG190" s="229">
        <v>1.6999999999999999E-3</v>
      </c>
      <c r="AH190" s="228">
        <v>4.5</v>
      </c>
      <c r="AI190" s="228">
        <v>3.1</v>
      </c>
      <c r="AJ190" s="228">
        <v>1.4</v>
      </c>
      <c r="AK190" s="229">
        <v>6.7999999999999996E-3</v>
      </c>
      <c r="AL190" s="228">
        <v>7.75</v>
      </c>
      <c r="AM190" s="228">
        <v>7.05</v>
      </c>
      <c r="AN190" s="228">
        <v>0.7</v>
      </c>
      <c r="AO190" s="229">
        <v>1.17E-2</v>
      </c>
      <c r="AP190" s="228">
        <v>662.58</v>
      </c>
      <c r="AQ190" s="228">
        <v>666.33</v>
      </c>
      <c r="AR190" s="228">
        <v>0</v>
      </c>
      <c r="AS190" s="228">
        <v>390</v>
      </c>
      <c r="AT190" s="228">
        <v>627</v>
      </c>
      <c r="AU190" s="228">
        <v>-237</v>
      </c>
      <c r="AV190" s="229">
        <v>-0.37809999999999999</v>
      </c>
      <c r="AW190" s="228">
        <v>194</v>
      </c>
      <c r="AX190" s="228">
        <v>322</v>
      </c>
      <c r="AY190" s="228">
        <v>-128</v>
      </c>
      <c r="AZ190" s="229">
        <v>-0.39800000000000002</v>
      </c>
      <c r="BA190" s="228">
        <v>194</v>
      </c>
      <c r="BB190" s="228">
        <v>303</v>
      </c>
      <c r="BC190" s="228">
        <v>-109</v>
      </c>
      <c r="BD190" s="229">
        <v>-0.35920000000000002</v>
      </c>
      <c r="BE190" s="228">
        <v>2</v>
      </c>
      <c r="BF190" s="228">
        <v>1</v>
      </c>
      <c r="BG190" s="228">
        <v>0</v>
      </c>
      <c r="BH190" s="229">
        <v>9.0899999999999995E-2</v>
      </c>
      <c r="BI190" s="228">
        <v>147</v>
      </c>
      <c r="BJ190" s="228">
        <v>299</v>
      </c>
      <c r="BK190" s="228">
        <v>-152</v>
      </c>
      <c r="BL190" s="229">
        <v>-0.50839999999999996</v>
      </c>
      <c r="BM190" s="228">
        <v>67</v>
      </c>
      <c r="BN190" s="228">
        <v>116</v>
      </c>
      <c r="BO190" s="228">
        <v>-49</v>
      </c>
      <c r="BP190" s="229">
        <v>-0.42449999999999999</v>
      </c>
      <c r="BQ190" s="228">
        <v>603</v>
      </c>
      <c r="BR190" s="230">
        <v>1041</v>
      </c>
      <c r="BS190" s="228">
        <v>-438</v>
      </c>
      <c r="BT190" s="229">
        <v>-0.42059999999999997</v>
      </c>
      <c r="BU190" s="230">
        <v>335568</v>
      </c>
      <c r="BV190" s="230">
        <v>712625</v>
      </c>
      <c r="BW190" s="230">
        <v>-377057</v>
      </c>
      <c r="BX190" s="229">
        <v>-0.52910000000000001</v>
      </c>
      <c r="BY190" s="228">
        <v>602</v>
      </c>
      <c r="BZ190" s="228">
        <v>624</v>
      </c>
      <c r="CA190" s="228">
        <v>-21</v>
      </c>
      <c r="CB190" s="229">
        <v>-3.3799999999999997E-2</v>
      </c>
      <c r="CC190" s="228">
        <v>52</v>
      </c>
      <c r="CD190" s="228">
        <v>208</v>
      </c>
      <c r="CE190" s="228">
        <v>-156</v>
      </c>
      <c r="CF190" s="229">
        <v>-0.74919999999999998</v>
      </c>
      <c r="CG190" s="228">
        <v>544</v>
      </c>
      <c r="CH190" s="228">
        <v>410</v>
      </c>
      <c r="CI190" s="228">
        <v>134</v>
      </c>
      <c r="CJ190" s="229">
        <v>0.32629999999999998</v>
      </c>
      <c r="CK190" s="228">
        <v>7</v>
      </c>
      <c r="CL190" s="228">
        <v>6</v>
      </c>
      <c r="CM190" s="228">
        <v>1</v>
      </c>
      <c r="CN190" s="229">
        <v>0.1477</v>
      </c>
      <c r="CO190" s="228">
        <v>172</v>
      </c>
      <c r="CP190" s="228">
        <v>191</v>
      </c>
      <c r="CQ190" s="228">
        <v>-19</v>
      </c>
      <c r="CR190" s="229">
        <v>-9.9900000000000003E-2</v>
      </c>
      <c r="CS190" s="228">
        <v>132</v>
      </c>
      <c r="CT190" s="228">
        <v>138</v>
      </c>
      <c r="CU190" s="228">
        <v>-6</v>
      </c>
      <c r="CV190" s="229">
        <v>-4.0300000000000002E-2</v>
      </c>
      <c r="CW190" s="228">
        <v>907</v>
      </c>
      <c r="CX190" s="228">
        <v>952</v>
      </c>
      <c r="CY190" s="228">
        <v>-46</v>
      </c>
      <c r="CZ190" s="229">
        <v>-4.8000000000000001E-2</v>
      </c>
      <c r="DA190" s="228">
        <v>30.55</v>
      </c>
      <c r="DB190" s="228">
        <v>30.14</v>
      </c>
      <c r="DC190" s="228">
        <v>0.41</v>
      </c>
      <c r="DD190" s="228">
        <v>0.41</v>
      </c>
      <c r="DE190" s="228">
        <v>33.22</v>
      </c>
      <c r="DF190" s="228">
        <v>33.29</v>
      </c>
      <c r="DG190" s="228">
        <v>-2.67</v>
      </c>
      <c r="DH190" s="228">
        <v>-7.0000000000000007E-2</v>
      </c>
      <c r="DI190" s="228">
        <v>30.68</v>
      </c>
      <c r="DJ190" s="228">
        <v>30.21</v>
      </c>
      <c r="DK190" s="228">
        <v>0.47</v>
      </c>
      <c r="DL190" s="228">
        <v>0.47</v>
      </c>
      <c r="DM190" s="228">
        <v>30.32</v>
      </c>
      <c r="DN190" s="228">
        <v>30.04</v>
      </c>
      <c r="DO190" s="228">
        <v>0.28000000000000003</v>
      </c>
      <c r="DP190" s="228">
        <v>0.28000000000000003</v>
      </c>
      <c r="DQ190" s="228">
        <v>0.77</v>
      </c>
      <c r="DR190" s="228">
        <v>0.72</v>
      </c>
      <c r="DS190" s="228">
        <v>0.05</v>
      </c>
      <c r="DT190" s="229">
        <v>6.9400000000000003E-2</v>
      </c>
      <c r="DU190" s="228">
        <v>680</v>
      </c>
      <c r="DV190" s="228">
        <v>600</v>
      </c>
      <c r="DW190" s="228">
        <v>0.45</v>
      </c>
      <c r="DX190" s="228">
        <v>0.39</v>
      </c>
      <c r="DY190" s="228">
        <v>0.06</v>
      </c>
      <c r="DZ190" s="229">
        <v>0.15379999999999999</v>
      </c>
      <c r="EA190" s="229">
        <v>0.91349999999999998</v>
      </c>
      <c r="EB190" s="230">
        <v>6284000</v>
      </c>
      <c r="EC190" s="229">
        <v>5.1000000000000004E-3</v>
      </c>
      <c r="ED190" s="229">
        <v>0.91349999999999998</v>
      </c>
      <c r="EE190" s="228">
        <v>3.75</v>
      </c>
      <c r="EF190" s="229">
        <v>5.7000000000000002E-3</v>
      </c>
      <c r="EG190" s="230">
        <v>157631</v>
      </c>
      <c r="EH190" s="230">
        <v>296263</v>
      </c>
      <c r="EI190" s="229">
        <v>-0.46789999999999998</v>
      </c>
      <c r="EJ190" s="229">
        <v>0.46970000000000001</v>
      </c>
      <c r="EK190" s="228">
        <v>151.04</v>
      </c>
      <c r="EL190" s="228">
        <v>64.06</v>
      </c>
      <c r="EM190" s="228">
        <v>391.58</v>
      </c>
      <c r="EN190" s="228">
        <v>42.27</v>
      </c>
      <c r="EO190" s="228">
        <v>606.66999999999996</v>
      </c>
      <c r="EP190" s="231">
        <v>1049.06</v>
      </c>
      <c r="EQ190" s="228">
        <v>-442.38</v>
      </c>
      <c r="ER190" s="229">
        <v>-0.42170000000000002</v>
      </c>
      <c r="ES190" s="228">
        <v>173.84</v>
      </c>
      <c r="ET190" s="228">
        <v>125.62</v>
      </c>
      <c r="EU190" s="228">
        <v>605.29</v>
      </c>
      <c r="EV190" s="231">
        <v>28408333</v>
      </c>
      <c r="EW190" s="228">
        <v>904.76</v>
      </c>
      <c r="EX190" s="228">
        <v>947.87</v>
      </c>
      <c r="EY190" s="228">
        <v>-43.11</v>
      </c>
      <c r="EZ190" s="229">
        <v>-4.5499999999999999E-2</v>
      </c>
      <c r="FA190" s="229">
        <v>0.4824</v>
      </c>
      <c r="FB190" s="227" t="s">
        <v>556</v>
      </c>
      <c r="FC190">
        <f t="shared" si="3"/>
        <v>0</v>
      </c>
    </row>
    <row r="191" spans="1:159" ht="17.25" thickBot="1" x14ac:dyDescent="0.3">
      <c r="A191" s="226">
        <v>45957</v>
      </c>
      <c r="B191" s="227" t="s">
        <v>168</v>
      </c>
      <c r="C191" s="227" t="s">
        <v>291</v>
      </c>
      <c r="D191" s="228">
        <v>550</v>
      </c>
      <c r="E191" s="228">
        <v>1</v>
      </c>
      <c r="F191" s="231">
        <v>1169.9000000000001</v>
      </c>
      <c r="G191" s="231">
        <v>1153.9000000000001</v>
      </c>
      <c r="H191" s="228">
        <v>16</v>
      </c>
      <c r="I191" s="229">
        <v>1.3899999999999999E-2</v>
      </c>
      <c r="J191" s="231">
        <v>1169.9000000000001</v>
      </c>
      <c r="K191" s="231">
        <v>1155.3</v>
      </c>
      <c r="L191" s="228">
        <v>14.6</v>
      </c>
      <c r="M191" s="229">
        <v>1.26E-2</v>
      </c>
      <c r="N191" s="231">
        <v>1169.9000000000001</v>
      </c>
      <c r="O191" s="231">
        <v>1153.9000000000001</v>
      </c>
      <c r="P191" s="228">
        <v>16</v>
      </c>
      <c r="Q191" s="229">
        <v>1.3899999999999999E-2</v>
      </c>
      <c r="R191" s="231">
        <v>1176.8</v>
      </c>
      <c r="S191" s="231">
        <v>1160.3</v>
      </c>
      <c r="T191" s="228">
        <v>16.5</v>
      </c>
      <c r="U191" s="229">
        <v>1.4200000000000001E-2</v>
      </c>
      <c r="V191" s="231">
        <v>1184.7</v>
      </c>
      <c r="W191" s="231">
        <v>1167</v>
      </c>
      <c r="X191" s="228">
        <v>17.7</v>
      </c>
      <c r="Y191" s="229">
        <v>1.52E-2</v>
      </c>
      <c r="Z191" s="228">
        <v>0</v>
      </c>
      <c r="AA191" s="228">
        <v>-1.4</v>
      </c>
      <c r="AB191" s="228">
        <v>1.4</v>
      </c>
      <c r="AC191" s="229">
        <v>0</v>
      </c>
      <c r="AD191" s="228">
        <v>0</v>
      </c>
      <c r="AE191" s="228">
        <v>-1.4</v>
      </c>
      <c r="AF191" s="228">
        <v>1.4</v>
      </c>
      <c r="AG191" s="229">
        <v>0</v>
      </c>
      <c r="AH191" s="228">
        <v>6.9</v>
      </c>
      <c r="AI191" s="228">
        <v>5</v>
      </c>
      <c r="AJ191" s="228">
        <v>1.9</v>
      </c>
      <c r="AK191" s="229">
        <v>5.8999999999999999E-3</v>
      </c>
      <c r="AL191" s="228">
        <v>14.8</v>
      </c>
      <c r="AM191" s="228">
        <v>11.7</v>
      </c>
      <c r="AN191" s="228">
        <v>3.1</v>
      </c>
      <c r="AO191" s="229">
        <v>1.2699999999999999E-2</v>
      </c>
      <c r="AP191" s="231">
        <v>1170.71</v>
      </c>
      <c r="AQ191" s="231">
        <v>1177.53</v>
      </c>
      <c r="AR191" s="228">
        <v>0</v>
      </c>
      <c r="AS191" s="230">
        <v>1503</v>
      </c>
      <c r="AT191" s="230">
        <v>1613</v>
      </c>
      <c r="AU191" s="228">
        <v>-110</v>
      </c>
      <c r="AV191" s="229">
        <v>-6.8500000000000005E-2</v>
      </c>
      <c r="AW191" s="228">
        <v>659</v>
      </c>
      <c r="AX191" s="228">
        <v>806</v>
      </c>
      <c r="AY191" s="228">
        <v>-147</v>
      </c>
      <c r="AZ191" s="229">
        <v>-0.182</v>
      </c>
      <c r="BA191" s="228">
        <v>837</v>
      </c>
      <c r="BB191" s="228">
        <v>806</v>
      </c>
      <c r="BC191" s="228">
        <v>32</v>
      </c>
      <c r="BD191" s="229">
        <v>3.95E-2</v>
      </c>
      <c r="BE191" s="228">
        <v>6</v>
      </c>
      <c r="BF191" s="228">
        <v>2</v>
      </c>
      <c r="BG191" s="228">
        <v>4</v>
      </c>
      <c r="BH191" s="229">
        <v>2.2667000000000002</v>
      </c>
      <c r="BI191" s="230">
        <v>1081</v>
      </c>
      <c r="BJ191" s="228">
        <v>688</v>
      </c>
      <c r="BK191" s="228">
        <v>393</v>
      </c>
      <c r="BL191" s="229">
        <v>0.5716</v>
      </c>
      <c r="BM191" s="228">
        <v>327</v>
      </c>
      <c r="BN191" s="228">
        <v>357</v>
      </c>
      <c r="BO191" s="228">
        <v>-30</v>
      </c>
      <c r="BP191" s="229">
        <v>-8.3500000000000005E-2</v>
      </c>
      <c r="BQ191" s="230">
        <v>2911</v>
      </c>
      <c r="BR191" s="230">
        <v>2658</v>
      </c>
      <c r="BS191" s="228">
        <v>253</v>
      </c>
      <c r="BT191" s="229">
        <v>9.5100000000000004E-2</v>
      </c>
      <c r="BU191" s="230">
        <v>1061712</v>
      </c>
      <c r="BV191" s="230">
        <v>1128172</v>
      </c>
      <c r="BW191" s="230">
        <v>-66460</v>
      </c>
      <c r="BX191" s="229">
        <v>-5.8900000000000001E-2</v>
      </c>
      <c r="BY191" s="230">
        <v>2088</v>
      </c>
      <c r="BZ191" s="230">
        <v>1997</v>
      </c>
      <c r="CA191" s="228">
        <v>91</v>
      </c>
      <c r="CB191" s="229">
        <v>4.5600000000000002E-2</v>
      </c>
      <c r="CC191" s="228">
        <v>177</v>
      </c>
      <c r="CD191" s="228">
        <v>725</v>
      </c>
      <c r="CE191" s="228">
        <v>-548</v>
      </c>
      <c r="CF191" s="229">
        <v>-0.75549999999999995</v>
      </c>
      <c r="CG191" s="230">
        <v>1901</v>
      </c>
      <c r="CH191" s="230">
        <v>1265</v>
      </c>
      <c r="CI191" s="228">
        <v>636</v>
      </c>
      <c r="CJ191" s="229">
        <v>0.50329999999999997</v>
      </c>
      <c r="CK191" s="228">
        <v>9</v>
      </c>
      <c r="CL191" s="228">
        <v>7</v>
      </c>
      <c r="CM191" s="228">
        <v>2</v>
      </c>
      <c r="CN191" s="229">
        <v>0.3458</v>
      </c>
      <c r="CO191" s="228">
        <v>364</v>
      </c>
      <c r="CP191" s="228">
        <v>371</v>
      </c>
      <c r="CQ191" s="228">
        <v>-7</v>
      </c>
      <c r="CR191" s="229">
        <v>-1.9900000000000001E-2</v>
      </c>
      <c r="CS191" s="228">
        <v>216</v>
      </c>
      <c r="CT191" s="228">
        <v>229</v>
      </c>
      <c r="CU191" s="228">
        <v>-13</v>
      </c>
      <c r="CV191" s="229">
        <v>-5.7599999999999998E-2</v>
      </c>
      <c r="CW191" s="230">
        <v>2667</v>
      </c>
      <c r="CX191" s="230">
        <v>2597</v>
      </c>
      <c r="CY191" s="228">
        <v>70</v>
      </c>
      <c r="CZ191" s="229">
        <v>2.7099999999999999E-2</v>
      </c>
      <c r="DA191" s="228">
        <v>24.24</v>
      </c>
      <c r="DB191" s="228">
        <v>23.34</v>
      </c>
      <c r="DC191" s="228">
        <v>0.9</v>
      </c>
      <c r="DD191" s="228">
        <v>0.9</v>
      </c>
      <c r="DE191" s="228">
        <v>26.79</v>
      </c>
      <c r="DF191" s="228">
        <v>26.8</v>
      </c>
      <c r="DG191" s="228">
        <v>-2.5499999999999998</v>
      </c>
      <c r="DH191" s="228">
        <v>-0.01</v>
      </c>
      <c r="DI191" s="228">
        <v>24.03</v>
      </c>
      <c r="DJ191" s="228">
        <v>22.95</v>
      </c>
      <c r="DK191" s="228">
        <v>1.08</v>
      </c>
      <c r="DL191" s="228">
        <v>1.08</v>
      </c>
      <c r="DM191" s="228">
        <v>24.87</v>
      </c>
      <c r="DN191" s="228">
        <v>23.92</v>
      </c>
      <c r="DO191" s="228">
        <v>0.95</v>
      </c>
      <c r="DP191" s="228">
        <v>0.95</v>
      </c>
      <c r="DQ191" s="228">
        <v>0.59</v>
      </c>
      <c r="DR191" s="228">
        <v>0.62</v>
      </c>
      <c r="DS191" s="228">
        <v>-0.03</v>
      </c>
      <c r="DT191" s="229">
        <v>-4.8399999999999999E-2</v>
      </c>
      <c r="DU191" s="231">
        <v>1280</v>
      </c>
      <c r="DV191" s="231">
        <v>1100</v>
      </c>
      <c r="DW191" s="228">
        <v>0.3</v>
      </c>
      <c r="DX191" s="228">
        <v>0.52</v>
      </c>
      <c r="DY191" s="228">
        <v>-0.22</v>
      </c>
      <c r="DZ191" s="229">
        <v>-0.42309999999999998</v>
      </c>
      <c r="EA191" s="229">
        <v>0.91510000000000002</v>
      </c>
      <c r="EB191" s="230">
        <v>10868550</v>
      </c>
      <c r="EC191" s="229">
        <v>5.8999999999999999E-3</v>
      </c>
      <c r="ED191" s="229">
        <v>0.91510000000000002</v>
      </c>
      <c r="EE191" s="228">
        <v>6.82</v>
      </c>
      <c r="EF191" s="229">
        <v>5.7999999999999996E-3</v>
      </c>
      <c r="EG191" s="230">
        <v>546071</v>
      </c>
      <c r="EH191" s="230">
        <v>691800</v>
      </c>
      <c r="EI191" s="229">
        <v>-0.2107</v>
      </c>
      <c r="EJ191" s="229">
        <v>0.51429999999999998</v>
      </c>
      <c r="EK191" s="231">
        <v>1102.92</v>
      </c>
      <c r="EL191" s="228">
        <v>321.22000000000003</v>
      </c>
      <c r="EM191" s="231">
        <v>1508.7</v>
      </c>
      <c r="EN191" s="228">
        <v>127.35</v>
      </c>
      <c r="EO191" s="231">
        <v>2932.84</v>
      </c>
      <c r="EP191" s="231">
        <v>2638.06</v>
      </c>
      <c r="EQ191" s="228">
        <v>294.77999999999997</v>
      </c>
      <c r="ER191" s="229">
        <v>0.11169999999999999</v>
      </c>
      <c r="ES191" s="228">
        <v>376.02</v>
      </c>
      <c r="ET191" s="228">
        <v>203.96</v>
      </c>
      <c r="EU191" s="231">
        <v>2098.92</v>
      </c>
      <c r="EV191" s="231">
        <v>65471528</v>
      </c>
      <c r="EW191" s="231">
        <v>2678.9</v>
      </c>
      <c r="EX191" s="231">
        <v>2575.5700000000002</v>
      </c>
      <c r="EY191" s="228">
        <v>103.33</v>
      </c>
      <c r="EZ191" s="229">
        <v>4.0099999999999997E-2</v>
      </c>
      <c r="FA191" s="229">
        <v>0.34820000000000001</v>
      </c>
      <c r="FB191" s="227" t="s">
        <v>555</v>
      </c>
      <c r="FC191">
        <f t="shared" si="3"/>
        <v>0</v>
      </c>
    </row>
    <row r="192" spans="1:159" ht="17.25" thickBot="1" x14ac:dyDescent="0.3">
      <c r="A192" s="226">
        <v>45957</v>
      </c>
      <c r="B192" s="227" t="s">
        <v>221</v>
      </c>
      <c r="C192" s="227" t="s">
        <v>604</v>
      </c>
      <c r="D192" s="228">
        <v>100</v>
      </c>
      <c r="E192" s="228">
        <v>1</v>
      </c>
      <c r="F192" s="231">
        <v>5586.5</v>
      </c>
      <c r="G192" s="231">
        <v>5531.5</v>
      </c>
      <c r="H192" s="228">
        <v>55</v>
      </c>
      <c r="I192" s="229">
        <v>9.9000000000000008E-3</v>
      </c>
      <c r="J192" s="231">
        <v>5585.5</v>
      </c>
      <c r="K192" s="231">
        <v>5544</v>
      </c>
      <c r="L192" s="228">
        <v>41.5</v>
      </c>
      <c r="M192" s="229">
        <v>7.4999999999999997E-3</v>
      </c>
      <c r="N192" s="231">
        <v>5586.5</v>
      </c>
      <c r="O192" s="231">
        <v>5531.5</v>
      </c>
      <c r="P192" s="228">
        <v>55</v>
      </c>
      <c r="Q192" s="229">
        <v>9.9000000000000008E-3</v>
      </c>
      <c r="R192" s="231">
        <v>5552.5</v>
      </c>
      <c r="S192" s="231">
        <v>5466.5</v>
      </c>
      <c r="T192" s="228">
        <v>86</v>
      </c>
      <c r="U192" s="229">
        <v>1.5699999999999999E-2</v>
      </c>
      <c r="V192" s="231">
        <v>5517</v>
      </c>
      <c r="W192" s="231">
        <v>5426</v>
      </c>
      <c r="X192" s="228">
        <v>91</v>
      </c>
      <c r="Y192" s="229">
        <v>1.6799999999999999E-2</v>
      </c>
      <c r="Z192" s="228">
        <v>1</v>
      </c>
      <c r="AA192" s="228">
        <v>-12.5</v>
      </c>
      <c r="AB192" s="228">
        <v>13.5</v>
      </c>
      <c r="AC192" s="229">
        <v>2.0000000000000001E-4</v>
      </c>
      <c r="AD192" s="228">
        <v>1</v>
      </c>
      <c r="AE192" s="228">
        <v>-12.5</v>
      </c>
      <c r="AF192" s="228">
        <v>13.5</v>
      </c>
      <c r="AG192" s="229">
        <v>2.0000000000000001E-4</v>
      </c>
      <c r="AH192" s="228">
        <v>-33</v>
      </c>
      <c r="AI192" s="228">
        <v>-77.5</v>
      </c>
      <c r="AJ192" s="228">
        <v>44.5</v>
      </c>
      <c r="AK192" s="229">
        <v>-5.8999999999999999E-3</v>
      </c>
      <c r="AL192" s="228">
        <v>-68.5</v>
      </c>
      <c r="AM192" s="228">
        <v>-118</v>
      </c>
      <c r="AN192" s="228">
        <v>49.5</v>
      </c>
      <c r="AO192" s="229">
        <v>-1.23E-2</v>
      </c>
      <c r="AP192" s="231">
        <v>5594.06</v>
      </c>
      <c r="AQ192" s="231">
        <v>5547.31</v>
      </c>
      <c r="AR192" s="228">
        <v>0</v>
      </c>
      <c r="AS192" s="230">
        <v>1103</v>
      </c>
      <c r="AT192" s="230">
        <v>1351</v>
      </c>
      <c r="AU192" s="228">
        <v>-248</v>
      </c>
      <c r="AV192" s="229">
        <v>-0.1835</v>
      </c>
      <c r="AW192" s="228">
        <v>552</v>
      </c>
      <c r="AX192" s="228">
        <v>681</v>
      </c>
      <c r="AY192" s="228">
        <v>-129</v>
      </c>
      <c r="AZ192" s="229">
        <v>-0.18959999999999999</v>
      </c>
      <c r="BA192" s="228">
        <v>536</v>
      </c>
      <c r="BB192" s="228">
        <v>660</v>
      </c>
      <c r="BC192" s="228">
        <v>-124</v>
      </c>
      <c r="BD192" s="229">
        <v>-0.18820000000000001</v>
      </c>
      <c r="BE192" s="228">
        <v>16</v>
      </c>
      <c r="BF192" s="228">
        <v>10</v>
      </c>
      <c r="BG192" s="228">
        <v>5</v>
      </c>
      <c r="BH192" s="229">
        <v>0.54139999999999999</v>
      </c>
      <c r="BI192" s="228">
        <v>958</v>
      </c>
      <c r="BJ192" s="230">
        <v>1311</v>
      </c>
      <c r="BK192" s="228">
        <v>-353</v>
      </c>
      <c r="BL192" s="229">
        <v>-0.26919999999999999</v>
      </c>
      <c r="BM192" s="228">
        <v>404</v>
      </c>
      <c r="BN192" s="228">
        <v>520</v>
      </c>
      <c r="BO192" s="228">
        <v>-116</v>
      </c>
      <c r="BP192" s="229">
        <v>-0.22359999999999999</v>
      </c>
      <c r="BQ192" s="230">
        <v>2465</v>
      </c>
      <c r="BR192" s="230">
        <v>3182</v>
      </c>
      <c r="BS192" s="228">
        <v>-717</v>
      </c>
      <c r="BT192" s="229">
        <v>-0.2253</v>
      </c>
      <c r="BU192" s="230">
        <v>237724</v>
      </c>
      <c r="BV192" s="230">
        <v>249119</v>
      </c>
      <c r="BW192" s="230">
        <v>-11395</v>
      </c>
      <c r="BX192" s="229">
        <v>-4.5699999999999998E-2</v>
      </c>
      <c r="BY192" s="230">
        <v>1611</v>
      </c>
      <c r="BZ192" s="230">
        <v>1820</v>
      </c>
      <c r="CA192" s="228">
        <v>-209</v>
      </c>
      <c r="CB192" s="229">
        <v>-0.11459999999999999</v>
      </c>
      <c r="CC192" s="228">
        <v>251</v>
      </c>
      <c r="CD192" s="228">
        <v>632</v>
      </c>
      <c r="CE192" s="228">
        <v>-381</v>
      </c>
      <c r="CF192" s="229">
        <v>-0.60340000000000005</v>
      </c>
      <c r="CG192" s="230">
        <v>1333</v>
      </c>
      <c r="CH192" s="230">
        <v>1161</v>
      </c>
      <c r="CI192" s="228">
        <v>172</v>
      </c>
      <c r="CJ192" s="229">
        <v>0.1477</v>
      </c>
      <c r="CK192" s="228">
        <v>28</v>
      </c>
      <c r="CL192" s="228">
        <v>27</v>
      </c>
      <c r="CM192" s="228">
        <v>1</v>
      </c>
      <c r="CN192" s="229">
        <v>4.4200000000000003E-2</v>
      </c>
      <c r="CO192" s="228">
        <v>500</v>
      </c>
      <c r="CP192" s="228">
        <v>655</v>
      </c>
      <c r="CQ192" s="228">
        <v>-155</v>
      </c>
      <c r="CR192" s="229">
        <v>-0.2361</v>
      </c>
      <c r="CS192" s="228">
        <v>324</v>
      </c>
      <c r="CT192" s="228">
        <v>337</v>
      </c>
      <c r="CU192" s="228">
        <v>-13</v>
      </c>
      <c r="CV192" s="229">
        <v>-3.78E-2</v>
      </c>
      <c r="CW192" s="230">
        <v>2436</v>
      </c>
      <c r="CX192" s="230">
        <v>2811</v>
      </c>
      <c r="CY192" s="228">
        <v>-376</v>
      </c>
      <c r="CZ192" s="229">
        <v>-0.13370000000000001</v>
      </c>
      <c r="DA192" s="228">
        <v>27.69</v>
      </c>
      <c r="DB192" s="228">
        <v>28.13</v>
      </c>
      <c r="DC192" s="228">
        <v>-0.44</v>
      </c>
      <c r="DD192" s="228">
        <v>-0.44</v>
      </c>
      <c r="DE192" s="228">
        <v>36.32</v>
      </c>
      <c r="DF192" s="228">
        <v>36.380000000000003</v>
      </c>
      <c r="DG192" s="228">
        <v>-8.6300000000000008</v>
      </c>
      <c r="DH192" s="228">
        <v>-0.06</v>
      </c>
      <c r="DI192" s="228">
        <v>27.84</v>
      </c>
      <c r="DJ192" s="228">
        <v>28.42</v>
      </c>
      <c r="DK192" s="228">
        <v>-0.57999999999999996</v>
      </c>
      <c r="DL192" s="228">
        <v>-0.57999999999999996</v>
      </c>
      <c r="DM192" s="228">
        <v>27.18</v>
      </c>
      <c r="DN192" s="228">
        <v>27.21</v>
      </c>
      <c r="DO192" s="228">
        <v>-0.03</v>
      </c>
      <c r="DP192" s="228">
        <v>-0.03</v>
      </c>
      <c r="DQ192" s="228">
        <v>0.65</v>
      </c>
      <c r="DR192" s="228">
        <v>0.52</v>
      </c>
      <c r="DS192" s="228">
        <v>0.13</v>
      </c>
      <c r="DT192" s="229">
        <v>0.25</v>
      </c>
      <c r="DU192" s="231">
        <v>6000</v>
      </c>
      <c r="DV192" s="231">
        <v>5000</v>
      </c>
      <c r="DW192" s="228">
        <v>0.42</v>
      </c>
      <c r="DX192" s="228">
        <v>0.4</v>
      </c>
      <c r="DY192" s="228">
        <v>0.02</v>
      </c>
      <c r="DZ192" s="229">
        <v>0.05</v>
      </c>
      <c r="EA192" s="229">
        <v>0.84450000000000003</v>
      </c>
      <c r="EB192" s="230">
        <v>2126300</v>
      </c>
      <c r="EC192" s="229">
        <v>-6.1000000000000004E-3</v>
      </c>
      <c r="ED192" s="229">
        <v>0.84450000000000003</v>
      </c>
      <c r="EE192" s="228">
        <v>-46.75</v>
      </c>
      <c r="EF192" s="229">
        <v>-8.3999999999999995E-3</v>
      </c>
      <c r="EG192" s="230">
        <v>107110</v>
      </c>
      <c r="EH192" s="230">
        <v>92017</v>
      </c>
      <c r="EI192" s="229">
        <v>0.16400000000000001</v>
      </c>
      <c r="EJ192" s="229">
        <v>0.4506</v>
      </c>
      <c r="EK192" s="228">
        <v>994.44</v>
      </c>
      <c r="EL192" s="228">
        <v>388.79</v>
      </c>
      <c r="EM192" s="231">
        <v>1100.05</v>
      </c>
      <c r="EN192" s="228">
        <v>138.53</v>
      </c>
      <c r="EO192" s="231">
        <v>2483.2800000000002</v>
      </c>
      <c r="EP192" s="231">
        <v>3171.02</v>
      </c>
      <c r="EQ192" s="228">
        <v>-687.74</v>
      </c>
      <c r="ER192" s="229">
        <v>-0.21690000000000001</v>
      </c>
      <c r="ES192" s="228">
        <v>518.12</v>
      </c>
      <c r="ET192" s="228">
        <v>305.07</v>
      </c>
      <c r="EU192" s="231">
        <v>1602.63</v>
      </c>
      <c r="EV192" s="231">
        <v>4309631</v>
      </c>
      <c r="EW192" s="231">
        <v>2425.8200000000002</v>
      </c>
      <c r="EX192" s="231">
        <v>2778.83</v>
      </c>
      <c r="EY192" s="228">
        <v>-353.01</v>
      </c>
      <c r="EZ192" s="229">
        <v>-0.127</v>
      </c>
      <c r="FA192" s="229">
        <v>1.0116000000000001</v>
      </c>
      <c r="FB192" s="227" t="s">
        <v>556</v>
      </c>
      <c r="FC192">
        <f t="shared" si="3"/>
        <v>0</v>
      </c>
    </row>
    <row r="193" spans="1:159" ht="17.25" thickBot="1" x14ac:dyDescent="0.3">
      <c r="A193" s="226">
        <v>45957</v>
      </c>
      <c r="B193" s="227" t="s">
        <v>161</v>
      </c>
      <c r="C193" s="227" t="s">
        <v>293</v>
      </c>
      <c r="D193" s="228">
        <v>1450</v>
      </c>
      <c r="E193" s="228">
        <v>1</v>
      </c>
      <c r="F193" s="228">
        <v>400.85</v>
      </c>
      <c r="G193" s="228">
        <v>396.4</v>
      </c>
      <c r="H193" s="228">
        <v>4.45</v>
      </c>
      <c r="I193" s="229">
        <v>1.12E-2</v>
      </c>
      <c r="J193" s="228">
        <v>400.25</v>
      </c>
      <c r="K193" s="228">
        <v>396.85</v>
      </c>
      <c r="L193" s="228">
        <v>3.4</v>
      </c>
      <c r="M193" s="229">
        <v>8.6E-3</v>
      </c>
      <c r="N193" s="228">
        <v>400.85</v>
      </c>
      <c r="O193" s="228">
        <v>396.4</v>
      </c>
      <c r="P193" s="228">
        <v>4.45</v>
      </c>
      <c r="Q193" s="229">
        <v>1.12E-2</v>
      </c>
      <c r="R193" s="228">
        <v>402.85</v>
      </c>
      <c r="S193" s="228">
        <v>398.45</v>
      </c>
      <c r="T193" s="228">
        <v>4.4000000000000004</v>
      </c>
      <c r="U193" s="229">
        <v>1.0999999999999999E-2</v>
      </c>
      <c r="V193" s="228">
        <v>405.7</v>
      </c>
      <c r="W193" s="228">
        <v>401.5</v>
      </c>
      <c r="X193" s="228">
        <v>4.2</v>
      </c>
      <c r="Y193" s="229">
        <v>1.0500000000000001E-2</v>
      </c>
      <c r="Z193" s="228">
        <v>0.6</v>
      </c>
      <c r="AA193" s="228">
        <v>-0.45</v>
      </c>
      <c r="AB193" s="228">
        <v>1.05</v>
      </c>
      <c r="AC193" s="229">
        <v>1.5E-3</v>
      </c>
      <c r="AD193" s="228">
        <v>0.6</v>
      </c>
      <c r="AE193" s="228">
        <v>-0.45</v>
      </c>
      <c r="AF193" s="228">
        <v>1.05</v>
      </c>
      <c r="AG193" s="229">
        <v>1.5E-3</v>
      </c>
      <c r="AH193" s="228">
        <v>2.6</v>
      </c>
      <c r="AI193" s="228">
        <v>1.6</v>
      </c>
      <c r="AJ193" s="228">
        <v>1</v>
      </c>
      <c r="AK193" s="229">
        <v>6.4999999999999997E-3</v>
      </c>
      <c r="AL193" s="228">
        <v>5.45</v>
      </c>
      <c r="AM193" s="228">
        <v>4.6500000000000004</v>
      </c>
      <c r="AN193" s="228">
        <v>0.8</v>
      </c>
      <c r="AO193" s="229">
        <v>1.3599999999999999E-2</v>
      </c>
      <c r="AP193" s="228">
        <v>400.59</v>
      </c>
      <c r="AQ193" s="228">
        <v>402.73</v>
      </c>
      <c r="AR193" s="228">
        <v>0</v>
      </c>
      <c r="AS193" s="230">
        <v>1902</v>
      </c>
      <c r="AT193" s="230">
        <v>1170</v>
      </c>
      <c r="AU193" s="228">
        <v>732</v>
      </c>
      <c r="AV193" s="229">
        <v>0.626</v>
      </c>
      <c r="AW193" s="228">
        <v>944</v>
      </c>
      <c r="AX193" s="228">
        <v>604</v>
      </c>
      <c r="AY193" s="228">
        <v>340</v>
      </c>
      <c r="AZ193" s="229">
        <v>0.56279999999999997</v>
      </c>
      <c r="BA193" s="228">
        <v>948</v>
      </c>
      <c r="BB193" s="228">
        <v>560</v>
      </c>
      <c r="BC193" s="228">
        <v>387</v>
      </c>
      <c r="BD193" s="229">
        <v>0.69159999999999999</v>
      </c>
      <c r="BE193" s="228">
        <v>10</v>
      </c>
      <c r="BF193" s="228">
        <v>5</v>
      </c>
      <c r="BG193" s="228">
        <v>5</v>
      </c>
      <c r="BH193" s="229">
        <v>0.9032</v>
      </c>
      <c r="BI193" s="230">
        <v>1131</v>
      </c>
      <c r="BJ193" s="230">
        <v>1131</v>
      </c>
      <c r="BK193" s="228">
        <v>0</v>
      </c>
      <c r="BL193" s="229">
        <v>4.0000000000000002E-4</v>
      </c>
      <c r="BM193" s="228">
        <v>875</v>
      </c>
      <c r="BN193" s="228">
        <v>783</v>
      </c>
      <c r="BO193" s="228">
        <v>92</v>
      </c>
      <c r="BP193" s="229">
        <v>0.1172</v>
      </c>
      <c r="BQ193" s="230">
        <v>3908</v>
      </c>
      <c r="BR193" s="230">
        <v>3084</v>
      </c>
      <c r="BS193" s="228">
        <v>825</v>
      </c>
      <c r="BT193" s="229">
        <v>0.26740000000000003</v>
      </c>
      <c r="BU193" s="230">
        <v>3251929</v>
      </c>
      <c r="BV193" s="230">
        <v>5218704</v>
      </c>
      <c r="BW193" s="230">
        <v>-1966775</v>
      </c>
      <c r="BX193" s="229">
        <v>-0.37690000000000001</v>
      </c>
      <c r="BY193" s="230">
        <v>2256</v>
      </c>
      <c r="BZ193" s="230">
        <v>2311</v>
      </c>
      <c r="CA193" s="228">
        <v>-55</v>
      </c>
      <c r="CB193" s="229">
        <v>-2.3900000000000001E-2</v>
      </c>
      <c r="CC193" s="228">
        <v>382</v>
      </c>
      <c r="CD193" s="230">
        <v>1158</v>
      </c>
      <c r="CE193" s="228">
        <v>-776</v>
      </c>
      <c r="CF193" s="229">
        <v>-0.67020000000000002</v>
      </c>
      <c r="CG193" s="230">
        <v>1847</v>
      </c>
      <c r="CH193" s="230">
        <v>1133</v>
      </c>
      <c r="CI193" s="228">
        <v>714</v>
      </c>
      <c r="CJ193" s="229">
        <v>0.63060000000000005</v>
      </c>
      <c r="CK193" s="228">
        <v>27</v>
      </c>
      <c r="CL193" s="228">
        <v>21</v>
      </c>
      <c r="CM193" s="228">
        <v>6</v>
      </c>
      <c r="CN193" s="229">
        <v>0.29210000000000003</v>
      </c>
      <c r="CO193" s="230">
        <v>1043</v>
      </c>
      <c r="CP193" s="230">
        <v>1123</v>
      </c>
      <c r="CQ193" s="228">
        <v>-80</v>
      </c>
      <c r="CR193" s="229">
        <v>-7.0999999999999994E-2</v>
      </c>
      <c r="CS193" s="228">
        <v>947</v>
      </c>
      <c r="CT193" s="228">
        <v>933</v>
      </c>
      <c r="CU193" s="228">
        <v>14</v>
      </c>
      <c r="CV193" s="229">
        <v>1.5299999999999999E-2</v>
      </c>
      <c r="CW193" s="230">
        <v>4247</v>
      </c>
      <c r="CX193" s="230">
        <v>4367</v>
      </c>
      <c r="CY193" s="228">
        <v>-121</v>
      </c>
      <c r="CZ193" s="229">
        <v>-2.7699999999999999E-2</v>
      </c>
      <c r="DA193" s="228">
        <v>21.04</v>
      </c>
      <c r="DB193" s="228">
        <v>22.14</v>
      </c>
      <c r="DC193" s="228">
        <v>-1.1000000000000001</v>
      </c>
      <c r="DD193" s="228">
        <v>-1.1000000000000001</v>
      </c>
      <c r="DE193" s="228">
        <v>32.81</v>
      </c>
      <c r="DF193" s="228">
        <v>32.86</v>
      </c>
      <c r="DG193" s="228">
        <v>-11.77</v>
      </c>
      <c r="DH193" s="228">
        <v>-0.05</v>
      </c>
      <c r="DI193" s="228">
        <v>21.05</v>
      </c>
      <c r="DJ193" s="228">
        <v>22.41</v>
      </c>
      <c r="DK193" s="228">
        <v>-1.36</v>
      </c>
      <c r="DL193" s="228">
        <v>-1.36</v>
      </c>
      <c r="DM193" s="228">
        <v>21.04</v>
      </c>
      <c r="DN193" s="228">
        <v>21.7</v>
      </c>
      <c r="DO193" s="228">
        <v>-0.66</v>
      </c>
      <c r="DP193" s="228">
        <v>-0.66</v>
      </c>
      <c r="DQ193" s="228">
        <v>0.91</v>
      </c>
      <c r="DR193" s="228">
        <v>0.83</v>
      </c>
      <c r="DS193" s="228">
        <v>0.08</v>
      </c>
      <c r="DT193" s="229">
        <v>9.64E-2</v>
      </c>
      <c r="DU193" s="228">
        <v>400</v>
      </c>
      <c r="DV193" s="228">
        <v>390</v>
      </c>
      <c r="DW193" s="228">
        <v>0.77</v>
      </c>
      <c r="DX193" s="228">
        <v>0.69</v>
      </c>
      <c r="DY193" s="228">
        <v>0.08</v>
      </c>
      <c r="DZ193" s="229">
        <v>0.1159</v>
      </c>
      <c r="EA193" s="229">
        <v>0.83079999999999998</v>
      </c>
      <c r="EB193" s="230">
        <v>28781050</v>
      </c>
      <c r="EC193" s="229">
        <v>5.0000000000000001E-3</v>
      </c>
      <c r="ED193" s="229">
        <v>0.83079999999999998</v>
      </c>
      <c r="EE193" s="228">
        <v>2.14</v>
      </c>
      <c r="EF193" s="229">
        <v>5.3E-3</v>
      </c>
      <c r="EG193" s="230">
        <v>1659481</v>
      </c>
      <c r="EH193" s="230">
        <v>2881843</v>
      </c>
      <c r="EI193" s="229">
        <v>-0.42420000000000002</v>
      </c>
      <c r="EJ193" s="229">
        <v>0.51029999999999998</v>
      </c>
      <c r="EK193" s="231">
        <v>1162.52</v>
      </c>
      <c r="EL193" s="228">
        <v>889.13</v>
      </c>
      <c r="EM193" s="231">
        <v>1906.14</v>
      </c>
      <c r="EN193" s="228">
        <v>130.74</v>
      </c>
      <c r="EO193" s="231">
        <v>3957.8</v>
      </c>
      <c r="EP193" s="231">
        <v>3094.79</v>
      </c>
      <c r="EQ193" s="228">
        <v>863</v>
      </c>
      <c r="ER193" s="229">
        <v>0.27889999999999998</v>
      </c>
      <c r="ES193" s="231">
        <v>1069.8499999999999</v>
      </c>
      <c r="ET193" s="228">
        <v>940</v>
      </c>
      <c r="EU193" s="231">
        <v>2265.54</v>
      </c>
      <c r="EV193" s="231">
        <v>169808198</v>
      </c>
      <c r="EW193" s="231">
        <v>4275.38</v>
      </c>
      <c r="EX193" s="231">
        <v>4361.3900000000003</v>
      </c>
      <c r="EY193" s="228">
        <v>-86.01</v>
      </c>
      <c r="EZ193" s="229">
        <v>-1.9699999999999999E-2</v>
      </c>
      <c r="FA193" s="229">
        <v>0.62390000000000001</v>
      </c>
      <c r="FB193" s="227" t="s">
        <v>556</v>
      </c>
      <c r="FC193">
        <f t="shared" si="3"/>
        <v>0</v>
      </c>
    </row>
    <row r="194" spans="1:159" ht="17.25" thickBot="1" x14ac:dyDescent="0.3">
      <c r="A194" s="226">
        <v>45957</v>
      </c>
      <c r="B194" s="227" t="s">
        <v>227</v>
      </c>
      <c r="C194" s="227" t="s">
        <v>294</v>
      </c>
      <c r="D194" s="228">
        <v>5500</v>
      </c>
      <c r="E194" s="228">
        <v>1</v>
      </c>
      <c r="F194" s="228">
        <v>176.82</v>
      </c>
      <c r="G194" s="228">
        <v>174.65</v>
      </c>
      <c r="H194" s="228">
        <v>2.17</v>
      </c>
      <c r="I194" s="229">
        <v>1.24E-2</v>
      </c>
      <c r="J194" s="228">
        <v>176.66</v>
      </c>
      <c r="K194" s="228">
        <v>174.44</v>
      </c>
      <c r="L194" s="228">
        <v>2.2200000000000002</v>
      </c>
      <c r="M194" s="229">
        <v>1.2699999999999999E-2</v>
      </c>
      <c r="N194" s="228">
        <v>176.82</v>
      </c>
      <c r="O194" s="228">
        <v>174.65</v>
      </c>
      <c r="P194" s="228">
        <v>2.17</v>
      </c>
      <c r="Q194" s="229">
        <v>1.24E-2</v>
      </c>
      <c r="R194" s="228">
        <v>177.85</v>
      </c>
      <c r="S194" s="228">
        <v>175.63</v>
      </c>
      <c r="T194" s="228">
        <v>2.2200000000000002</v>
      </c>
      <c r="U194" s="229">
        <v>1.26E-2</v>
      </c>
      <c r="V194" s="228">
        <v>179.02</v>
      </c>
      <c r="W194" s="228">
        <v>176.8</v>
      </c>
      <c r="X194" s="228">
        <v>2.2200000000000002</v>
      </c>
      <c r="Y194" s="229">
        <v>1.26E-2</v>
      </c>
      <c r="Z194" s="228">
        <v>0.16</v>
      </c>
      <c r="AA194" s="228">
        <v>0.21</v>
      </c>
      <c r="AB194" s="228">
        <v>-0.05</v>
      </c>
      <c r="AC194" s="229">
        <v>8.9999999999999998E-4</v>
      </c>
      <c r="AD194" s="228">
        <v>0.16</v>
      </c>
      <c r="AE194" s="228">
        <v>0.21</v>
      </c>
      <c r="AF194" s="228">
        <v>-0.05</v>
      </c>
      <c r="AG194" s="229">
        <v>8.9999999999999998E-4</v>
      </c>
      <c r="AH194" s="228">
        <v>1.19</v>
      </c>
      <c r="AI194" s="228">
        <v>1.19</v>
      </c>
      <c r="AJ194" s="228">
        <v>0</v>
      </c>
      <c r="AK194" s="229">
        <v>6.7000000000000002E-3</v>
      </c>
      <c r="AL194" s="228">
        <v>2.36</v>
      </c>
      <c r="AM194" s="228">
        <v>2.36</v>
      </c>
      <c r="AN194" s="228">
        <v>0</v>
      </c>
      <c r="AO194" s="229">
        <v>1.34E-2</v>
      </c>
      <c r="AP194" s="228">
        <v>176.99</v>
      </c>
      <c r="AQ194" s="228">
        <v>177.99</v>
      </c>
      <c r="AR194" s="228">
        <v>0</v>
      </c>
      <c r="AS194" s="230">
        <v>2929</v>
      </c>
      <c r="AT194" s="230">
        <v>2582</v>
      </c>
      <c r="AU194" s="228">
        <v>347</v>
      </c>
      <c r="AV194" s="229">
        <v>0.13450000000000001</v>
      </c>
      <c r="AW194" s="230">
        <v>1342</v>
      </c>
      <c r="AX194" s="230">
        <v>1300</v>
      </c>
      <c r="AY194" s="228">
        <v>42</v>
      </c>
      <c r="AZ194" s="229">
        <v>3.2500000000000001E-2</v>
      </c>
      <c r="BA194" s="230">
        <v>1553</v>
      </c>
      <c r="BB194" s="230">
        <v>1258</v>
      </c>
      <c r="BC194" s="228">
        <v>295</v>
      </c>
      <c r="BD194" s="229">
        <v>0.23430000000000001</v>
      </c>
      <c r="BE194" s="228">
        <v>34</v>
      </c>
      <c r="BF194" s="228">
        <v>24</v>
      </c>
      <c r="BG194" s="228">
        <v>10</v>
      </c>
      <c r="BH194" s="229">
        <v>0.43090000000000001</v>
      </c>
      <c r="BI194" s="230">
        <v>2971</v>
      </c>
      <c r="BJ194" s="230">
        <v>3721</v>
      </c>
      <c r="BK194" s="228">
        <v>-750</v>
      </c>
      <c r="BL194" s="229">
        <v>-0.20169999999999999</v>
      </c>
      <c r="BM194" s="230">
        <v>2018</v>
      </c>
      <c r="BN194" s="230">
        <v>1615</v>
      </c>
      <c r="BO194" s="228">
        <v>403</v>
      </c>
      <c r="BP194" s="229">
        <v>0.24970000000000001</v>
      </c>
      <c r="BQ194" s="230">
        <v>7918</v>
      </c>
      <c r="BR194" s="230">
        <v>7918</v>
      </c>
      <c r="BS194" s="228">
        <v>0</v>
      </c>
      <c r="BT194" s="229">
        <v>0</v>
      </c>
      <c r="BU194" s="230">
        <v>25947464</v>
      </c>
      <c r="BV194" s="230">
        <v>27017473</v>
      </c>
      <c r="BW194" s="230">
        <v>-1070009</v>
      </c>
      <c r="BX194" s="229">
        <v>-3.9600000000000003E-2</v>
      </c>
      <c r="BY194" s="230">
        <v>3833</v>
      </c>
      <c r="BZ194" s="230">
        <v>3764</v>
      </c>
      <c r="CA194" s="228">
        <v>69</v>
      </c>
      <c r="CB194" s="229">
        <v>1.84E-2</v>
      </c>
      <c r="CC194" s="228">
        <v>658</v>
      </c>
      <c r="CD194" s="230">
        <v>1725</v>
      </c>
      <c r="CE194" s="230">
        <v>-1067</v>
      </c>
      <c r="CF194" s="229">
        <v>-0.61870000000000003</v>
      </c>
      <c r="CG194" s="230">
        <v>3130</v>
      </c>
      <c r="CH194" s="230">
        <v>2003</v>
      </c>
      <c r="CI194" s="230">
        <v>1128</v>
      </c>
      <c r="CJ194" s="229">
        <v>0.56299999999999994</v>
      </c>
      <c r="CK194" s="228">
        <v>45</v>
      </c>
      <c r="CL194" s="228">
        <v>37</v>
      </c>
      <c r="CM194" s="228">
        <v>9</v>
      </c>
      <c r="CN194" s="229">
        <v>0.23669999999999999</v>
      </c>
      <c r="CO194" s="230">
        <v>2010</v>
      </c>
      <c r="CP194" s="230">
        <v>2186</v>
      </c>
      <c r="CQ194" s="228">
        <v>-176</v>
      </c>
      <c r="CR194" s="229">
        <v>-8.0500000000000002E-2</v>
      </c>
      <c r="CS194" s="230">
        <v>1633</v>
      </c>
      <c r="CT194" s="230">
        <v>1636</v>
      </c>
      <c r="CU194" s="228">
        <v>-3</v>
      </c>
      <c r="CV194" s="229">
        <v>-2E-3</v>
      </c>
      <c r="CW194" s="230">
        <v>7476</v>
      </c>
      <c r="CX194" s="230">
        <v>7586</v>
      </c>
      <c r="CY194" s="228">
        <v>-110</v>
      </c>
      <c r="CZ194" s="229">
        <v>-1.4500000000000001E-2</v>
      </c>
      <c r="DA194" s="228">
        <v>26.74</v>
      </c>
      <c r="DB194" s="228">
        <v>26.11</v>
      </c>
      <c r="DC194" s="228">
        <v>0.63</v>
      </c>
      <c r="DD194" s="228">
        <v>0.63</v>
      </c>
      <c r="DE194" s="228">
        <v>33.9</v>
      </c>
      <c r="DF194" s="228">
        <v>33.94</v>
      </c>
      <c r="DG194" s="228">
        <v>-7.16</v>
      </c>
      <c r="DH194" s="228">
        <v>-0.04</v>
      </c>
      <c r="DI194" s="228">
        <v>26.81</v>
      </c>
      <c r="DJ194" s="228">
        <v>26.31</v>
      </c>
      <c r="DK194" s="228">
        <v>0.5</v>
      </c>
      <c r="DL194" s="228">
        <v>0.5</v>
      </c>
      <c r="DM194" s="228">
        <v>26.63</v>
      </c>
      <c r="DN194" s="228">
        <v>25.66</v>
      </c>
      <c r="DO194" s="228">
        <v>0.97</v>
      </c>
      <c r="DP194" s="228">
        <v>0.97</v>
      </c>
      <c r="DQ194" s="228">
        <v>0.81</v>
      </c>
      <c r="DR194" s="228">
        <v>0.75</v>
      </c>
      <c r="DS194" s="228">
        <v>0.06</v>
      </c>
      <c r="DT194" s="229">
        <v>0.08</v>
      </c>
      <c r="DU194" s="228">
        <v>180</v>
      </c>
      <c r="DV194" s="228">
        <v>170</v>
      </c>
      <c r="DW194" s="228">
        <v>0.68</v>
      </c>
      <c r="DX194" s="228">
        <v>0.43</v>
      </c>
      <c r="DY194" s="228">
        <v>0.25</v>
      </c>
      <c r="DZ194" s="229">
        <v>0.58140000000000003</v>
      </c>
      <c r="EA194" s="229">
        <v>0.82840000000000003</v>
      </c>
      <c r="EB194" s="230">
        <v>115329500</v>
      </c>
      <c r="EC194" s="229">
        <v>5.7999999999999996E-3</v>
      </c>
      <c r="ED194" s="229">
        <v>0.82840000000000003</v>
      </c>
      <c r="EE194" s="228">
        <v>1</v>
      </c>
      <c r="EF194" s="229">
        <v>5.7000000000000002E-3</v>
      </c>
      <c r="EG194" s="230">
        <v>13138167</v>
      </c>
      <c r="EH194" s="230">
        <v>12172643</v>
      </c>
      <c r="EI194" s="229">
        <v>7.9299999999999995E-2</v>
      </c>
      <c r="EJ194" s="229">
        <v>0.50629999999999997</v>
      </c>
      <c r="EK194" s="231">
        <v>3050.79</v>
      </c>
      <c r="EL194" s="231">
        <v>1988.61</v>
      </c>
      <c r="EM194" s="231">
        <v>2941.55</v>
      </c>
      <c r="EN194" s="228">
        <v>142.19999999999999</v>
      </c>
      <c r="EO194" s="231">
        <v>7980.95</v>
      </c>
      <c r="EP194" s="231">
        <v>7956.27</v>
      </c>
      <c r="EQ194" s="228">
        <v>24.68</v>
      </c>
      <c r="ER194" s="229">
        <v>3.0999999999999999E-3</v>
      </c>
      <c r="ES194" s="231">
        <v>2060.52</v>
      </c>
      <c r="ET194" s="231">
        <v>1533.97</v>
      </c>
      <c r="EU194" s="231">
        <v>3851.85</v>
      </c>
      <c r="EV194" s="231">
        <v>833987639</v>
      </c>
      <c r="EW194" s="231">
        <v>7446.33</v>
      </c>
      <c r="EX194" s="231">
        <v>7490.57</v>
      </c>
      <c r="EY194" s="228">
        <v>-44.24</v>
      </c>
      <c r="EZ194" s="229">
        <v>-5.8999999999999999E-3</v>
      </c>
      <c r="FA194" s="229">
        <v>0.50700000000000001</v>
      </c>
      <c r="FB194" s="227" t="s">
        <v>555</v>
      </c>
      <c r="FC194">
        <f t="shared" si="3"/>
        <v>0</v>
      </c>
    </row>
    <row r="195" spans="1:159" ht="17.25" thickBot="1" x14ac:dyDescent="0.3">
      <c r="A195" s="226">
        <v>45957</v>
      </c>
      <c r="B195" s="227" t="s">
        <v>221</v>
      </c>
      <c r="C195" s="227" t="s">
        <v>664</v>
      </c>
      <c r="D195" s="228">
        <v>800</v>
      </c>
      <c r="E195" s="228">
        <v>1</v>
      </c>
      <c r="F195" s="228">
        <v>697.8</v>
      </c>
      <c r="G195" s="228">
        <v>691.15</v>
      </c>
      <c r="H195" s="228">
        <v>6.65</v>
      </c>
      <c r="I195" s="229">
        <v>9.5999999999999992E-3</v>
      </c>
      <c r="J195" s="228">
        <v>695.8</v>
      </c>
      <c r="K195" s="228">
        <v>689.65</v>
      </c>
      <c r="L195" s="228">
        <v>6.15</v>
      </c>
      <c r="M195" s="229">
        <v>8.8999999999999999E-3</v>
      </c>
      <c r="N195" s="228">
        <v>697.8</v>
      </c>
      <c r="O195" s="228">
        <v>691.15</v>
      </c>
      <c r="P195" s="228">
        <v>6.65</v>
      </c>
      <c r="Q195" s="229">
        <v>9.5999999999999992E-3</v>
      </c>
      <c r="R195" s="228">
        <v>698.75</v>
      </c>
      <c r="S195" s="228">
        <v>691.3</v>
      </c>
      <c r="T195" s="228">
        <v>7.45</v>
      </c>
      <c r="U195" s="229">
        <v>1.0800000000000001E-2</v>
      </c>
      <c r="V195" s="228">
        <v>701.3</v>
      </c>
      <c r="W195" s="228">
        <v>693.4</v>
      </c>
      <c r="X195" s="228">
        <v>7.9</v>
      </c>
      <c r="Y195" s="229">
        <v>1.14E-2</v>
      </c>
      <c r="Z195" s="228">
        <v>2</v>
      </c>
      <c r="AA195" s="228">
        <v>1.5</v>
      </c>
      <c r="AB195" s="228">
        <v>0.5</v>
      </c>
      <c r="AC195" s="229">
        <v>2.8999999999999998E-3</v>
      </c>
      <c r="AD195" s="228">
        <v>2</v>
      </c>
      <c r="AE195" s="228">
        <v>1.5</v>
      </c>
      <c r="AF195" s="228">
        <v>0.5</v>
      </c>
      <c r="AG195" s="229">
        <v>2.8999999999999998E-3</v>
      </c>
      <c r="AH195" s="228">
        <v>2.95</v>
      </c>
      <c r="AI195" s="228">
        <v>1.65</v>
      </c>
      <c r="AJ195" s="228">
        <v>1.3</v>
      </c>
      <c r="AK195" s="229">
        <v>4.1999999999999997E-3</v>
      </c>
      <c r="AL195" s="228">
        <v>5.5</v>
      </c>
      <c r="AM195" s="228">
        <v>3.75</v>
      </c>
      <c r="AN195" s="228">
        <v>1.75</v>
      </c>
      <c r="AO195" s="229">
        <v>7.9000000000000008E-3</v>
      </c>
      <c r="AP195" s="228">
        <v>696.77</v>
      </c>
      <c r="AQ195" s="228">
        <v>697.92</v>
      </c>
      <c r="AR195" s="228">
        <v>0</v>
      </c>
      <c r="AS195" s="228">
        <v>602</v>
      </c>
      <c r="AT195" s="228">
        <v>591</v>
      </c>
      <c r="AU195" s="228">
        <v>11</v>
      </c>
      <c r="AV195" s="229">
        <v>1.89E-2</v>
      </c>
      <c r="AW195" s="228">
        <v>296</v>
      </c>
      <c r="AX195" s="228">
        <v>289</v>
      </c>
      <c r="AY195" s="228">
        <v>7</v>
      </c>
      <c r="AZ195" s="229">
        <v>2.5899999999999999E-2</v>
      </c>
      <c r="BA195" s="228">
        <v>298</v>
      </c>
      <c r="BB195" s="228">
        <v>294</v>
      </c>
      <c r="BC195" s="228">
        <v>4</v>
      </c>
      <c r="BD195" s="229">
        <v>1.35E-2</v>
      </c>
      <c r="BE195" s="228">
        <v>8</v>
      </c>
      <c r="BF195" s="228">
        <v>8</v>
      </c>
      <c r="BG195" s="228">
        <v>0</v>
      </c>
      <c r="BH195" s="229">
        <v>-3.4200000000000001E-2</v>
      </c>
      <c r="BI195" s="228">
        <v>329</v>
      </c>
      <c r="BJ195" s="228">
        <v>329</v>
      </c>
      <c r="BK195" s="228">
        <v>-1</v>
      </c>
      <c r="BL195" s="229">
        <v>-1.6999999999999999E-3</v>
      </c>
      <c r="BM195" s="228">
        <v>166</v>
      </c>
      <c r="BN195" s="228">
        <v>154</v>
      </c>
      <c r="BO195" s="228">
        <v>12</v>
      </c>
      <c r="BP195" s="229">
        <v>7.8200000000000006E-2</v>
      </c>
      <c r="BQ195" s="230">
        <v>1097</v>
      </c>
      <c r="BR195" s="230">
        <v>1075</v>
      </c>
      <c r="BS195" s="228">
        <v>23</v>
      </c>
      <c r="BT195" s="229">
        <v>2.1100000000000001E-2</v>
      </c>
      <c r="BU195" s="230">
        <v>561361</v>
      </c>
      <c r="BV195" s="230">
        <v>410196</v>
      </c>
      <c r="BW195" s="230">
        <v>151165</v>
      </c>
      <c r="BX195" s="229">
        <v>0.36849999999999999</v>
      </c>
      <c r="BY195" s="228">
        <v>751</v>
      </c>
      <c r="BZ195" s="228">
        <v>757</v>
      </c>
      <c r="CA195" s="228">
        <v>-6</v>
      </c>
      <c r="CB195" s="229">
        <v>-7.4000000000000003E-3</v>
      </c>
      <c r="CC195" s="228">
        <v>158</v>
      </c>
      <c r="CD195" s="228">
        <v>325</v>
      </c>
      <c r="CE195" s="228">
        <v>-166</v>
      </c>
      <c r="CF195" s="229">
        <v>-0.51259999999999994</v>
      </c>
      <c r="CG195" s="228">
        <v>574</v>
      </c>
      <c r="CH195" s="228">
        <v>416</v>
      </c>
      <c r="CI195" s="228">
        <v>158</v>
      </c>
      <c r="CJ195" s="229">
        <v>0.37959999999999999</v>
      </c>
      <c r="CK195" s="228">
        <v>19</v>
      </c>
      <c r="CL195" s="228">
        <v>16</v>
      </c>
      <c r="CM195" s="228">
        <v>3</v>
      </c>
      <c r="CN195" s="229">
        <v>0.17480000000000001</v>
      </c>
      <c r="CO195" s="228">
        <v>329</v>
      </c>
      <c r="CP195" s="228">
        <v>340</v>
      </c>
      <c r="CQ195" s="228">
        <v>-11</v>
      </c>
      <c r="CR195" s="229">
        <v>-3.1899999999999998E-2</v>
      </c>
      <c r="CS195" s="228">
        <v>185</v>
      </c>
      <c r="CT195" s="228">
        <v>192</v>
      </c>
      <c r="CU195" s="228">
        <v>-6</v>
      </c>
      <c r="CV195" s="229">
        <v>-3.3799999999999997E-2</v>
      </c>
      <c r="CW195" s="230">
        <v>1266</v>
      </c>
      <c r="CX195" s="230">
        <v>1288</v>
      </c>
      <c r="CY195" s="228">
        <v>-23</v>
      </c>
      <c r="CZ195" s="229">
        <v>-1.78E-2</v>
      </c>
      <c r="DA195" s="228">
        <v>23.85</v>
      </c>
      <c r="DB195" s="228">
        <v>23.97</v>
      </c>
      <c r="DC195" s="228">
        <v>-0.12</v>
      </c>
      <c r="DD195" s="228">
        <v>-0.12</v>
      </c>
      <c r="DE195" s="228">
        <v>31.23</v>
      </c>
      <c r="DF195" s="228">
        <v>31.28</v>
      </c>
      <c r="DG195" s="228">
        <v>-7.38</v>
      </c>
      <c r="DH195" s="228">
        <v>-0.05</v>
      </c>
      <c r="DI195" s="228">
        <v>24.07</v>
      </c>
      <c r="DJ195" s="228">
        <v>24.65</v>
      </c>
      <c r="DK195" s="228">
        <v>-0.57999999999999996</v>
      </c>
      <c r="DL195" s="228">
        <v>-0.57999999999999996</v>
      </c>
      <c r="DM195" s="228">
        <v>23.48</v>
      </c>
      <c r="DN195" s="228">
        <v>23.11</v>
      </c>
      <c r="DO195" s="228">
        <v>0.37</v>
      </c>
      <c r="DP195" s="228">
        <v>0.37</v>
      </c>
      <c r="DQ195" s="228">
        <v>0.56000000000000005</v>
      </c>
      <c r="DR195" s="228">
        <v>0.56000000000000005</v>
      </c>
      <c r="DS195" s="228">
        <v>0</v>
      </c>
      <c r="DT195" s="229">
        <v>0</v>
      </c>
      <c r="DU195" s="228">
        <v>750</v>
      </c>
      <c r="DV195" s="228">
        <v>700</v>
      </c>
      <c r="DW195" s="228">
        <v>0.51</v>
      </c>
      <c r="DX195" s="228">
        <v>0.47</v>
      </c>
      <c r="DY195" s="228">
        <v>0.04</v>
      </c>
      <c r="DZ195" s="229">
        <v>8.5099999999999995E-2</v>
      </c>
      <c r="EA195" s="229">
        <v>0.78939999999999999</v>
      </c>
      <c r="EB195" s="230">
        <v>6194400</v>
      </c>
      <c r="EC195" s="229">
        <v>1.4E-3</v>
      </c>
      <c r="ED195" s="229">
        <v>0.78939999999999999</v>
      </c>
      <c r="EE195" s="228">
        <v>1.1499999999999999</v>
      </c>
      <c r="EF195" s="229">
        <v>1.6999999999999999E-3</v>
      </c>
      <c r="EG195" s="230">
        <v>311089</v>
      </c>
      <c r="EH195" s="230">
        <v>179309</v>
      </c>
      <c r="EI195" s="229">
        <v>0.7349</v>
      </c>
      <c r="EJ195" s="229">
        <v>0.55420000000000003</v>
      </c>
      <c r="EK195" s="228">
        <v>340.66</v>
      </c>
      <c r="EL195" s="228">
        <v>166.02</v>
      </c>
      <c r="EM195" s="228">
        <v>602.04</v>
      </c>
      <c r="EN195" s="228">
        <v>62.95</v>
      </c>
      <c r="EO195" s="231">
        <v>1108.71</v>
      </c>
      <c r="EP195" s="231">
        <v>1079.99</v>
      </c>
      <c r="EQ195" s="228">
        <v>28.71</v>
      </c>
      <c r="ER195" s="229">
        <v>2.6599999999999999E-2</v>
      </c>
      <c r="ES195" s="228">
        <v>344.53</v>
      </c>
      <c r="ET195" s="228">
        <v>181.52</v>
      </c>
      <c r="EU195" s="228">
        <v>752.16</v>
      </c>
      <c r="EV195" s="231">
        <v>27246569</v>
      </c>
      <c r="EW195" s="231">
        <v>1278.21</v>
      </c>
      <c r="EX195" s="231">
        <v>1292.49</v>
      </c>
      <c r="EY195" s="228">
        <v>-14.28</v>
      </c>
      <c r="EZ195" s="229">
        <v>-1.0999999999999999E-2</v>
      </c>
      <c r="FA195" s="229">
        <v>0.66569999999999996</v>
      </c>
      <c r="FB195" s="227" t="s">
        <v>556</v>
      </c>
      <c r="FC195">
        <f t="shared" ref="FC195:FC258" si="4">BY262-CC262</f>
        <v>0</v>
      </c>
    </row>
    <row r="196" spans="1:159" ht="17.25" thickBot="1" x14ac:dyDescent="0.3">
      <c r="A196" s="226">
        <v>45957</v>
      </c>
      <c r="B196" s="227" t="s">
        <v>221</v>
      </c>
      <c r="C196" s="227" t="s">
        <v>295</v>
      </c>
      <c r="D196" s="228">
        <v>175</v>
      </c>
      <c r="E196" s="228">
        <v>1</v>
      </c>
      <c r="F196" s="231">
        <v>3081.8</v>
      </c>
      <c r="G196" s="231">
        <v>3060.4</v>
      </c>
      <c r="H196" s="228">
        <v>21.4</v>
      </c>
      <c r="I196" s="229">
        <v>7.0000000000000001E-3</v>
      </c>
      <c r="J196" s="231">
        <v>3084.9</v>
      </c>
      <c r="K196" s="231">
        <v>3063.2</v>
      </c>
      <c r="L196" s="228">
        <v>21.7</v>
      </c>
      <c r="M196" s="229">
        <v>7.1000000000000004E-3</v>
      </c>
      <c r="N196" s="231">
        <v>3081.8</v>
      </c>
      <c r="O196" s="231">
        <v>3060.4</v>
      </c>
      <c r="P196" s="228">
        <v>21.4</v>
      </c>
      <c r="Q196" s="229">
        <v>7.0000000000000001E-3</v>
      </c>
      <c r="R196" s="231">
        <v>3098.2</v>
      </c>
      <c r="S196" s="231">
        <v>3076.4</v>
      </c>
      <c r="T196" s="228">
        <v>21.8</v>
      </c>
      <c r="U196" s="229">
        <v>7.1000000000000004E-3</v>
      </c>
      <c r="V196" s="231">
        <v>3116.3</v>
      </c>
      <c r="W196" s="231">
        <v>3095.3</v>
      </c>
      <c r="X196" s="228">
        <v>21</v>
      </c>
      <c r="Y196" s="229">
        <v>6.7999999999999996E-3</v>
      </c>
      <c r="Z196" s="228">
        <v>-3.1</v>
      </c>
      <c r="AA196" s="228">
        <v>-2.8</v>
      </c>
      <c r="AB196" s="228">
        <v>-0.3</v>
      </c>
      <c r="AC196" s="229">
        <v>-1E-3</v>
      </c>
      <c r="AD196" s="228">
        <v>-3.1</v>
      </c>
      <c r="AE196" s="228">
        <v>-2.8</v>
      </c>
      <c r="AF196" s="228">
        <v>-0.3</v>
      </c>
      <c r="AG196" s="229">
        <v>-1E-3</v>
      </c>
      <c r="AH196" s="228">
        <v>13.3</v>
      </c>
      <c r="AI196" s="228">
        <v>13.2</v>
      </c>
      <c r="AJ196" s="228">
        <v>0.1</v>
      </c>
      <c r="AK196" s="229">
        <v>4.3E-3</v>
      </c>
      <c r="AL196" s="228">
        <v>31.4</v>
      </c>
      <c r="AM196" s="228">
        <v>32.1</v>
      </c>
      <c r="AN196" s="228">
        <v>-0.7</v>
      </c>
      <c r="AO196" s="229">
        <v>1.0200000000000001E-2</v>
      </c>
      <c r="AP196" s="231">
        <v>3081.79</v>
      </c>
      <c r="AQ196" s="231">
        <v>3098.54</v>
      </c>
      <c r="AR196" s="228">
        <v>0</v>
      </c>
      <c r="AS196" s="230">
        <v>4775</v>
      </c>
      <c r="AT196" s="230">
        <v>4575</v>
      </c>
      <c r="AU196" s="228">
        <v>200</v>
      </c>
      <c r="AV196" s="229">
        <v>4.36E-2</v>
      </c>
      <c r="AW196" s="230">
        <v>2324</v>
      </c>
      <c r="AX196" s="230">
        <v>2316</v>
      </c>
      <c r="AY196" s="228">
        <v>8</v>
      </c>
      <c r="AZ196" s="229">
        <v>3.5999999999999999E-3</v>
      </c>
      <c r="BA196" s="230">
        <v>2314</v>
      </c>
      <c r="BB196" s="230">
        <v>2205</v>
      </c>
      <c r="BC196" s="228">
        <v>109</v>
      </c>
      <c r="BD196" s="229">
        <v>4.9599999999999998E-2</v>
      </c>
      <c r="BE196" s="228">
        <v>136</v>
      </c>
      <c r="BF196" s="228">
        <v>54</v>
      </c>
      <c r="BG196" s="228">
        <v>82</v>
      </c>
      <c r="BH196" s="229">
        <v>1.5064</v>
      </c>
      <c r="BI196" s="230">
        <v>8734</v>
      </c>
      <c r="BJ196" s="230">
        <v>9373</v>
      </c>
      <c r="BK196" s="228">
        <v>-638</v>
      </c>
      <c r="BL196" s="229">
        <v>-6.8099999999999994E-2</v>
      </c>
      <c r="BM196" s="230">
        <v>4174</v>
      </c>
      <c r="BN196" s="230">
        <v>5404</v>
      </c>
      <c r="BO196" s="230">
        <v>-1230</v>
      </c>
      <c r="BP196" s="229">
        <v>-0.22770000000000001</v>
      </c>
      <c r="BQ196" s="230">
        <v>17683</v>
      </c>
      <c r="BR196" s="230">
        <v>19352</v>
      </c>
      <c r="BS196" s="230">
        <v>-1669</v>
      </c>
      <c r="BT196" s="229">
        <v>-8.6199999999999999E-2</v>
      </c>
      <c r="BU196" s="230">
        <v>1999162</v>
      </c>
      <c r="BV196" s="230">
        <v>2811486</v>
      </c>
      <c r="BW196" s="230">
        <v>-812324</v>
      </c>
      <c r="BX196" s="229">
        <v>-0.28889999999999999</v>
      </c>
      <c r="BY196" s="230">
        <v>8643</v>
      </c>
      <c r="BZ196" s="230">
        <v>8806</v>
      </c>
      <c r="CA196" s="228">
        <v>-163</v>
      </c>
      <c r="CB196" s="229">
        <v>-1.8599999999999998E-2</v>
      </c>
      <c r="CC196" s="230">
        <v>1484</v>
      </c>
      <c r="CD196" s="230">
        <v>3379</v>
      </c>
      <c r="CE196" s="230">
        <v>-1895</v>
      </c>
      <c r="CF196" s="229">
        <v>-0.56069999999999998</v>
      </c>
      <c r="CG196" s="230">
        <v>6915</v>
      </c>
      <c r="CH196" s="230">
        <v>5265</v>
      </c>
      <c r="CI196" s="230">
        <v>1650</v>
      </c>
      <c r="CJ196" s="229">
        <v>0.31340000000000001</v>
      </c>
      <c r="CK196" s="228">
        <v>244</v>
      </c>
      <c r="CL196" s="228">
        <v>163</v>
      </c>
      <c r="CM196" s="228">
        <v>81</v>
      </c>
      <c r="CN196" s="229">
        <v>0.49640000000000001</v>
      </c>
      <c r="CO196" s="230">
        <v>4829</v>
      </c>
      <c r="CP196" s="230">
        <v>5512</v>
      </c>
      <c r="CQ196" s="228">
        <v>-684</v>
      </c>
      <c r="CR196" s="229">
        <v>-0.124</v>
      </c>
      <c r="CS196" s="230">
        <v>3297</v>
      </c>
      <c r="CT196" s="230">
        <v>3475</v>
      </c>
      <c r="CU196" s="228">
        <v>-178</v>
      </c>
      <c r="CV196" s="229">
        <v>-5.1299999999999998E-2</v>
      </c>
      <c r="CW196" s="230">
        <v>16768</v>
      </c>
      <c r="CX196" s="230">
        <v>17794</v>
      </c>
      <c r="CY196" s="230">
        <v>-1026</v>
      </c>
      <c r="CZ196" s="229">
        <v>-5.7599999999999998E-2</v>
      </c>
      <c r="DA196" s="228">
        <v>19.64</v>
      </c>
      <c r="DB196" s="228">
        <v>19.670000000000002</v>
      </c>
      <c r="DC196" s="228">
        <v>-0.03</v>
      </c>
      <c r="DD196" s="228">
        <v>-0.03</v>
      </c>
      <c r="DE196" s="228">
        <v>24.49</v>
      </c>
      <c r="DF196" s="228">
        <v>24.53</v>
      </c>
      <c r="DG196" s="228">
        <v>-4.8499999999999996</v>
      </c>
      <c r="DH196" s="228">
        <v>-0.04</v>
      </c>
      <c r="DI196" s="228">
        <v>19.62</v>
      </c>
      <c r="DJ196" s="228">
        <v>19.78</v>
      </c>
      <c r="DK196" s="228">
        <v>-0.16</v>
      </c>
      <c r="DL196" s="228">
        <v>-0.16</v>
      </c>
      <c r="DM196" s="228">
        <v>19.670000000000002</v>
      </c>
      <c r="DN196" s="228">
        <v>19.45</v>
      </c>
      <c r="DO196" s="228">
        <v>0.22</v>
      </c>
      <c r="DP196" s="228">
        <v>0.22</v>
      </c>
      <c r="DQ196" s="228">
        <v>0.68</v>
      </c>
      <c r="DR196" s="228">
        <v>0.63</v>
      </c>
      <c r="DS196" s="228">
        <v>0.05</v>
      </c>
      <c r="DT196" s="229">
        <v>7.9399999999999998E-2</v>
      </c>
      <c r="DU196" s="231">
        <v>3200</v>
      </c>
      <c r="DV196" s="231">
        <v>3000</v>
      </c>
      <c r="DW196" s="228">
        <v>0.48</v>
      </c>
      <c r="DX196" s="228">
        <v>0.57999999999999996</v>
      </c>
      <c r="DY196" s="228">
        <v>-0.1</v>
      </c>
      <c r="DZ196" s="229">
        <v>-0.1724</v>
      </c>
      <c r="EA196" s="229">
        <v>0.82830000000000004</v>
      </c>
      <c r="EB196" s="230">
        <v>17612175</v>
      </c>
      <c r="EC196" s="229">
        <v>5.3E-3</v>
      </c>
      <c r="ED196" s="229">
        <v>0.82830000000000004</v>
      </c>
      <c r="EE196" s="228">
        <v>16.75</v>
      </c>
      <c r="EF196" s="229">
        <v>5.4000000000000003E-3</v>
      </c>
      <c r="EG196" s="230">
        <v>1299187</v>
      </c>
      <c r="EH196" s="230">
        <v>1810295</v>
      </c>
      <c r="EI196" s="229">
        <v>-0.2823</v>
      </c>
      <c r="EJ196" s="229">
        <v>0.64990000000000003</v>
      </c>
      <c r="EK196" s="231">
        <v>8961.36</v>
      </c>
      <c r="EL196" s="231">
        <v>4153.29</v>
      </c>
      <c r="EM196" s="231">
        <v>4789.08</v>
      </c>
      <c r="EN196" s="228">
        <v>661.61</v>
      </c>
      <c r="EO196" s="231">
        <v>17903.72</v>
      </c>
      <c r="EP196" s="231">
        <v>19530.169999999998</v>
      </c>
      <c r="EQ196" s="231">
        <v>-1626.45</v>
      </c>
      <c r="ER196" s="229">
        <v>-8.3299999999999999E-2</v>
      </c>
      <c r="ES196" s="231">
        <v>4954.29</v>
      </c>
      <c r="ET196" s="231">
        <v>3204.77</v>
      </c>
      <c r="EU196" s="231">
        <v>8682.5400000000009</v>
      </c>
      <c r="EV196" s="231">
        <v>123298271</v>
      </c>
      <c r="EW196" s="231">
        <v>16841.59</v>
      </c>
      <c r="EX196" s="231">
        <v>17779.13</v>
      </c>
      <c r="EY196" s="228">
        <v>-937.54</v>
      </c>
      <c r="EZ196" s="229">
        <v>-5.2699999999999997E-2</v>
      </c>
      <c r="FA196" s="229">
        <v>0.44130000000000003</v>
      </c>
      <c r="FB196" s="227" t="s">
        <v>556</v>
      </c>
      <c r="FC196">
        <f t="shared" si="4"/>
        <v>0</v>
      </c>
    </row>
    <row r="197" spans="1:159" ht="17.25" thickBot="1" x14ac:dyDescent="0.3">
      <c r="A197" s="226">
        <v>45957</v>
      </c>
      <c r="B197" s="227" t="s">
        <v>221</v>
      </c>
      <c r="C197" s="227" t="s">
        <v>296</v>
      </c>
      <c r="D197" s="228">
        <v>600</v>
      </c>
      <c r="E197" s="228">
        <v>1</v>
      </c>
      <c r="F197" s="231">
        <v>1463.2</v>
      </c>
      <c r="G197" s="231">
        <v>1453.4</v>
      </c>
      <c r="H197" s="228">
        <v>9.8000000000000007</v>
      </c>
      <c r="I197" s="229">
        <v>6.7000000000000002E-3</v>
      </c>
      <c r="J197" s="231">
        <v>1462.8</v>
      </c>
      <c r="K197" s="231">
        <v>1453.7</v>
      </c>
      <c r="L197" s="228">
        <v>9.1</v>
      </c>
      <c r="M197" s="229">
        <v>6.3E-3</v>
      </c>
      <c r="N197" s="231">
        <v>1463.2</v>
      </c>
      <c r="O197" s="231">
        <v>1453.4</v>
      </c>
      <c r="P197" s="228">
        <v>9.8000000000000007</v>
      </c>
      <c r="Q197" s="229">
        <v>6.7000000000000002E-3</v>
      </c>
      <c r="R197" s="231">
        <v>1471.2</v>
      </c>
      <c r="S197" s="231">
        <v>1461.3</v>
      </c>
      <c r="T197" s="228">
        <v>9.9</v>
      </c>
      <c r="U197" s="229">
        <v>6.7999999999999996E-3</v>
      </c>
      <c r="V197" s="231">
        <v>1481.4</v>
      </c>
      <c r="W197" s="231">
        <v>1470.8</v>
      </c>
      <c r="X197" s="228">
        <v>10.6</v>
      </c>
      <c r="Y197" s="229">
        <v>7.1999999999999998E-3</v>
      </c>
      <c r="Z197" s="228">
        <v>0.4</v>
      </c>
      <c r="AA197" s="228">
        <v>-0.3</v>
      </c>
      <c r="AB197" s="228">
        <v>0.7</v>
      </c>
      <c r="AC197" s="229">
        <v>2.9999999999999997E-4</v>
      </c>
      <c r="AD197" s="228">
        <v>0.4</v>
      </c>
      <c r="AE197" s="228">
        <v>-0.3</v>
      </c>
      <c r="AF197" s="228">
        <v>0.7</v>
      </c>
      <c r="AG197" s="229">
        <v>2.9999999999999997E-4</v>
      </c>
      <c r="AH197" s="228">
        <v>8.4</v>
      </c>
      <c r="AI197" s="228">
        <v>7.6</v>
      </c>
      <c r="AJ197" s="228">
        <v>0.8</v>
      </c>
      <c r="AK197" s="229">
        <v>5.7000000000000002E-3</v>
      </c>
      <c r="AL197" s="228">
        <v>18.600000000000001</v>
      </c>
      <c r="AM197" s="228">
        <v>17.100000000000001</v>
      </c>
      <c r="AN197" s="228">
        <v>1.5</v>
      </c>
      <c r="AO197" s="229">
        <v>1.2699999999999999E-2</v>
      </c>
      <c r="AP197" s="231">
        <v>1466.89</v>
      </c>
      <c r="AQ197" s="231">
        <v>1474.72</v>
      </c>
      <c r="AR197" s="228">
        <v>0</v>
      </c>
      <c r="AS197" s="230">
        <v>1955</v>
      </c>
      <c r="AT197" s="230">
        <v>1367</v>
      </c>
      <c r="AU197" s="228">
        <v>589</v>
      </c>
      <c r="AV197" s="229">
        <v>0.43070000000000003</v>
      </c>
      <c r="AW197" s="228">
        <v>955</v>
      </c>
      <c r="AX197" s="228">
        <v>681</v>
      </c>
      <c r="AY197" s="228">
        <v>273</v>
      </c>
      <c r="AZ197" s="229">
        <v>0.40129999999999999</v>
      </c>
      <c r="BA197" s="228">
        <v>992</v>
      </c>
      <c r="BB197" s="228">
        <v>680</v>
      </c>
      <c r="BC197" s="228">
        <v>312</v>
      </c>
      <c r="BD197" s="229">
        <v>0.45960000000000001</v>
      </c>
      <c r="BE197" s="228">
        <v>9</v>
      </c>
      <c r="BF197" s="228">
        <v>6</v>
      </c>
      <c r="BG197" s="228">
        <v>3</v>
      </c>
      <c r="BH197" s="229">
        <v>0.5</v>
      </c>
      <c r="BI197" s="230">
        <v>1190</v>
      </c>
      <c r="BJ197" s="230">
        <v>1133</v>
      </c>
      <c r="BK197" s="228">
        <v>57</v>
      </c>
      <c r="BL197" s="229">
        <v>5.0299999999999997E-2</v>
      </c>
      <c r="BM197" s="228">
        <v>662</v>
      </c>
      <c r="BN197" s="228">
        <v>473</v>
      </c>
      <c r="BO197" s="228">
        <v>189</v>
      </c>
      <c r="BP197" s="229">
        <v>0.4</v>
      </c>
      <c r="BQ197" s="230">
        <v>3808</v>
      </c>
      <c r="BR197" s="230">
        <v>2973</v>
      </c>
      <c r="BS197" s="228">
        <v>835</v>
      </c>
      <c r="BT197" s="229">
        <v>0.28089999999999998</v>
      </c>
      <c r="BU197" s="230">
        <v>1052267</v>
      </c>
      <c r="BV197" s="230">
        <v>1028518</v>
      </c>
      <c r="BW197" s="230">
        <v>23749</v>
      </c>
      <c r="BX197" s="229">
        <v>2.3099999999999999E-2</v>
      </c>
      <c r="BY197" s="230">
        <v>2570</v>
      </c>
      <c r="BZ197" s="230">
        <v>2617</v>
      </c>
      <c r="CA197" s="228">
        <v>-46</v>
      </c>
      <c r="CB197" s="229">
        <v>-1.77E-2</v>
      </c>
      <c r="CC197" s="228">
        <v>435</v>
      </c>
      <c r="CD197" s="230">
        <v>1156</v>
      </c>
      <c r="CE197" s="228">
        <v>-721</v>
      </c>
      <c r="CF197" s="229">
        <v>-0.62380000000000002</v>
      </c>
      <c r="CG197" s="230">
        <v>2111</v>
      </c>
      <c r="CH197" s="230">
        <v>1440</v>
      </c>
      <c r="CI197" s="228">
        <v>671</v>
      </c>
      <c r="CJ197" s="229">
        <v>0.4657</v>
      </c>
      <c r="CK197" s="228">
        <v>25</v>
      </c>
      <c r="CL197" s="228">
        <v>21</v>
      </c>
      <c r="CM197" s="228">
        <v>4</v>
      </c>
      <c r="CN197" s="229">
        <v>0.1915</v>
      </c>
      <c r="CO197" s="228">
        <v>811</v>
      </c>
      <c r="CP197" s="228">
        <v>926</v>
      </c>
      <c r="CQ197" s="228">
        <v>-115</v>
      </c>
      <c r="CR197" s="229">
        <v>-0.12379999999999999</v>
      </c>
      <c r="CS197" s="228">
        <v>700</v>
      </c>
      <c r="CT197" s="228">
        <v>719</v>
      </c>
      <c r="CU197" s="228">
        <v>-19</v>
      </c>
      <c r="CV197" s="229">
        <v>-2.58E-2</v>
      </c>
      <c r="CW197" s="230">
        <v>4082</v>
      </c>
      <c r="CX197" s="230">
        <v>4262</v>
      </c>
      <c r="CY197" s="228">
        <v>-180</v>
      </c>
      <c r="CZ197" s="229">
        <v>-4.2099999999999999E-2</v>
      </c>
      <c r="DA197" s="228">
        <v>22.5</v>
      </c>
      <c r="DB197" s="228">
        <v>22.67</v>
      </c>
      <c r="DC197" s="228">
        <v>-0.17</v>
      </c>
      <c r="DD197" s="228">
        <v>-0.17</v>
      </c>
      <c r="DE197" s="228">
        <v>29.63</v>
      </c>
      <c r="DF197" s="228">
        <v>29.7</v>
      </c>
      <c r="DG197" s="228">
        <v>-7.13</v>
      </c>
      <c r="DH197" s="228">
        <v>-7.0000000000000007E-2</v>
      </c>
      <c r="DI197" s="228">
        <v>22.69</v>
      </c>
      <c r="DJ197" s="228">
        <v>22.78</v>
      </c>
      <c r="DK197" s="228">
        <v>-0.09</v>
      </c>
      <c r="DL197" s="228">
        <v>-0.09</v>
      </c>
      <c r="DM197" s="228">
        <v>22.09</v>
      </c>
      <c r="DN197" s="228">
        <v>22.39</v>
      </c>
      <c r="DO197" s="228">
        <v>-0.3</v>
      </c>
      <c r="DP197" s="228">
        <v>-0.3</v>
      </c>
      <c r="DQ197" s="228">
        <v>0.86</v>
      </c>
      <c r="DR197" s="228">
        <v>0.78</v>
      </c>
      <c r="DS197" s="228">
        <v>0.08</v>
      </c>
      <c r="DT197" s="229">
        <v>0.1026</v>
      </c>
      <c r="DU197" s="231">
        <v>1500</v>
      </c>
      <c r="DV197" s="231">
        <v>1400</v>
      </c>
      <c r="DW197" s="228">
        <v>0.56000000000000005</v>
      </c>
      <c r="DX197" s="228">
        <v>0.42</v>
      </c>
      <c r="DY197" s="228">
        <v>0.14000000000000001</v>
      </c>
      <c r="DZ197" s="229">
        <v>0.33329999999999999</v>
      </c>
      <c r="EA197" s="229">
        <v>0.83079999999999998</v>
      </c>
      <c r="EB197" s="230">
        <v>9984000</v>
      </c>
      <c r="EC197" s="229">
        <v>5.4999999999999997E-3</v>
      </c>
      <c r="ED197" s="229">
        <v>0.83079999999999998</v>
      </c>
      <c r="EE197" s="228">
        <v>7.83</v>
      </c>
      <c r="EF197" s="229">
        <v>5.3E-3</v>
      </c>
      <c r="EG197" s="230">
        <v>581458</v>
      </c>
      <c r="EH197" s="230">
        <v>613895</v>
      </c>
      <c r="EI197" s="229">
        <v>-5.28E-2</v>
      </c>
      <c r="EJ197" s="229">
        <v>0.55259999999999998</v>
      </c>
      <c r="EK197" s="231">
        <v>1230.1099999999999</v>
      </c>
      <c r="EL197" s="228">
        <v>659.85</v>
      </c>
      <c r="EM197" s="231">
        <v>1965.64</v>
      </c>
      <c r="EN197" s="228">
        <v>111.74</v>
      </c>
      <c r="EO197" s="231">
        <v>3855.59</v>
      </c>
      <c r="EP197" s="231">
        <v>3006.06</v>
      </c>
      <c r="EQ197" s="228">
        <v>849.53</v>
      </c>
      <c r="ER197" s="229">
        <v>0.28260000000000002</v>
      </c>
      <c r="ES197" s="228">
        <v>850.1</v>
      </c>
      <c r="ET197" s="228">
        <v>673.14</v>
      </c>
      <c r="EU197" s="231">
        <v>2582.2199999999998</v>
      </c>
      <c r="EV197" s="231">
        <v>76137451</v>
      </c>
      <c r="EW197" s="231">
        <v>4105.46</v>
      </c>
      <c r="EX197" s="231">
        <v>4264.25</v>
      </c>
      <c r="EY197" s="228">
        <v>-158.79</v>
      </c>
      <c r="EZ197" s="229">
        <v>-3.7199999999999997E-2</v>
      </c>
      <c r="FA197" s="229">
        <v>0.3664</v>
      </c>
      <c r="FB197" s="227" t="s">
        <v>556</v>
      </c>
      <c r="FC197">
        <f t="shared" si="4"/>
        <v>0</v>
      </c>
    </row>
    <row r="198" spans="1:159" ht="17.25" thickBot="1" x14ac:dyDescent="0.3">
      <c r="A198" s="226">
        <v>45957</v>
      </c>
      <c r="B198" s="227" t="s">
        <v>184</v>
      </c>
      <c r="C198" s="227" t="s">
        <v>595</v>
      </c>
      <c r="D198" s="228">
        <v>200</v>
      </c>
      <c r="E198" s="228">
        <v>1</v>
      </c>
      <c r="F198" s="231">
        <v>3128.6</v>
      </c>
      <c r="G198" s="231">
        <v>3158.6</v>
      </c>
      <c r="H198" s="228">
        <v>-30</v>
      </c>
      <c r="I198" s="229">
        <v>-9.4999999999999998E-3</v>
      </c>
      <c r="J198" s="231">
        <v>3133.8</v>
      </c>
      <c r="K198" s="231">
        <v>3159.2</v>
      </c>
      <c r="L198" s="228">
        <v>-25.4</v>
      </c>
      <c r="M198" s="229">
        <v>-8.0000000000000002E-3</v>
      </c>
      <c r="N198" s="231">
        <v>3128.6</v>
      </c>
      <c r="O198" s="231">
        <v>3158.6</v>
      </c>
      <c r="P198" s="228">
        <v>-30</v>
      </c>
      <c r="Q198" s="229">
        <v>-9.4999999999999998E-3</v>
      </c>
      <c r="R198" s="231">
        <v>3146.4</v>
      </c>
      <c r="S198" s="231">
        <v>3175.2</v>
      </c>
      <c r="T198" s="228">
        <v>-28.8</v>
      </c>
      <c r="U198" s="229">
        <v>-9.1000000000000004E-3</v>
      </c>
      <c r="V198" s="231">
        <v>3167</v>
      </c>
      <c r="W198" s="231">
        <v>3205</v>
      </c>
      <c r="X198" s="228">
        <v>-38</v>
      </c>
      <c r="Y198" s="229">
        <v>-1.1900000000000001E-2</v>
      </c>
      <c r="Z198" s="228">
        <v>-5.2</v>
      </c>
      <c r="AA198" s="228">
        <v>-0.6</v>
      </c>
      <c r="AB198" s="228">
        <v>-4.5999999999999996</v>
      </c>
      <c r="AC198" s="229">
        <v>-1.6999999999999999E-3</v>
      </c>
      <c r="AD198" s="228">
        <v>-5.2</v>
      </c>
      <c r="AE198" s="228">
        <v>-0.6</v>
      </c>
      <c r="AF198" s="228">
        <v>-4.5999999999999996</v>
      </c>
      <c r="AG198" s="229">
        <v>-1.6999999999999999E-3</v>
      </c>
      <c r="AH198" s="228">
        <v>12.6</v>
      </c>
      <c r="AI198" s="228">
        <v>16</v>
      </c>
      <c r="AJ198" s="228">
        <v>-3.4</v>
      </c>
      <c r="AK198" s="229">
        <v>4.0000000000000001E-3</v>
      </c>
      <c r="AL198" s="228">
        <v>33.200000000000003</v>
      </c>
      <c r="AM198" s="228">
        <v>45.8</v>
      </c>
      <c r="AN198" s="228">
        <v>-12.6</v>
      </c>
      <c r="AO198" s="229">
        <v>1.06E-2</v>
      </c>
      <c r="AP198" s="231">
        <v>3138.42</v>
      </c>
      <c r="AQ198" s="231">
        <v>3156.14</v>
      </c>
      <c r="AR198" s="228">
        <v>0</v>
      </c>
      <c r="AS198" s="228">
        <v>465</v>
      </c>
      <c r="AT198" s="228">
        <v>557</v>
      </c>
      <c r="AU198" s="228">
        <v>-93</v>
      </c>
      <c r="AV198" s="229">
        <v>-0.16650000000000001</v>
      </c>
      <c r="AW198" s="228">
        <v>227</v>
      </c>
      <c r="AX198" s="228">
        <v>279</v>
      </c>
      <c r="AY198" s="228">
        <v>-52</v>
      </c>
      <c r="AZ198" s="229">
        <v>-0.18640000000000001</v>
      </c>
      <c r="BA198" s="228">
        <v>237</v>
      </c>
      <c r="BB198" s="228">
        <v>278</v>
      </c>
      <c r="BC198" s="228">
        <v>-41</v>
      </c>
      <c r="BD198" s="229">
        <v>-0.14699999999999999</v>
      </c>
      <c r="BE198" s="228">
        <v>1</v>
      </c>
      <c r="BF198" s="228">
        <v>1</v>
      </c>
      <c r="BG198" s="228">
        <v>0</v>
      </c>
      <c r="BH198" s="229">
        <v>0</v>
      </c>
      <c r="BI198" s="228">
        <v>557</v>
      </c>
      <c r="BJ198" s="230">
        <v>1389</v>
      </c>
      <c r="BK198" s="228">
        <v>-832</v>
      </c>
      <c r="BL198" s="229">
        <v>-0.59919999999999995</v>
      </c>
      <c r="BM198" s="228">
        <v>128</v>
      </c>
      <c r="BN198" s="228">
        <v>362</v>
      </c>
      <c r="BO198" s="228">
        <v>-234</v>
      </c>
      <c r="BP198" s="229">
        <v>-0.64710000000000001</v>
      </c>
      <c r="BQ198" s="230">
        <v>1149</v>
      </c>
      <c r="BR198" s="230">
        <v>2308</v>
      </c>
      <c r="BS198" s="230">
        <v>-1159</v>
      </c>
      <c r="BT198" s="229">
        <v>-0.50219999999999998</v>
      </c>
      <c r="BU198" s="230">
        <v>161908</v>
      </c>
      <c r="BV198" s="230">
        <v>324139</v>
      </c>
      <c r="BW198" s="230">
        <v>-162231</v>
      </c>
      <c r="BX198" s="229">
        <v>-0.50049999999999994</v>
      </c>
      <c r="BY198" s="228">
        <v>622</v>
      </c>
      <c r="BZ198" s="228">
        <v>619</v>
      </c>
      <c r="CA198" s="228">
        <v>3</v>
      </c>
      <c r="CB198" s="229">
        <v>4.4000000000000003E-3</v>
      </c>
      <c r="CC198" s="228">
        <v>71</v>
      </c>
      <c r="CD198" s="228">
        <v>254</v>
      </c>
      <c r="CE198" s="228">
        <v>-183</v>
      </c>
      <c r="CF198" s="229">
        <v>-0.72119999999999995</v>
      </c>
      <c r="CG198" s="228">
        <v>547</v>
      </c>
      <c r="CH198" s="228">
        <v>362</v>
      </c>
      <c r="CI198" s="228">
        <v>185</v>
      </c>
      <c r="CJ198" s="229">
        <v>0.51039999999999996</v>
      </c>
      <c r="CK198" s="228">
        <v>4</v>
      </c>
      <c r="CL198" s="228">
        <v>3</v>
      </c>
      <c r="CM198" s="228">
        <v>1</v>
      </c>
      <c r="CN198" s="229">
        <v>0.2979</v>
      </c>
      <c r="CO198" s="228">
        <v>206</v>
      </c>
      <c r="CP198" s="228">
        <v>241</v>
      </c>
      <c r="CQ198" s="228">
        <v>-35</v>
      </c>
      <c r="CR198" s="229">
        <v>-0.14560000000000001</v>
      </c>
      <c r="CS198" s="228">
        <v>88</v>
      </c>
      <c r="CT198" s="228">
        <v>99</v>
      </c>
      <c r="CU198" s="228">
        <v>-10</v>
      </c>
      <c r="CV198" s="229">
        <v>-0.1046</v>
      </c>
      <c r="CW198" s="228">
        <v>916</v>
      </c>
      <c r="CX198" s="228">
        <v>959</v>
      </c>
      <c r="CY198" s="228">
        <v>-43</v>
      </c>
      <c r="CZ198" s="229">
        <v>-4.4499999999999998E-2</v>
      </c>
      <c r="DA198" s="228">
        <v>34.14</v>
      </c>
      <c r="DB198" s="228">
        <v>32.89</v>
      </c>
      <c r="DC198" s="228">
        <v>1.25</v>
      </c>
      <c r="DD198" s="228">
        <v>1.25</v>
      </c>
      <c r="DE198" s="228">
        <v>42.47</v>
      </c>
      <c r="DF198" s="228">
        <v>42.56</v>
      </c>
      <c r="DG198" s="228">
        <v>-8.33</v>
      </c>
      <c r="DH198" s="228">
        <v>-0.09</v>
      </c>
      <c r="DI198" s="228">
        <v>33.97</v>
      </c>
      <c r="DJ198" s="228">
        <v>32.86</v>
      </c>
      <c r="DK198" s="228">
        <v>1.1100000000000001</v>
      </c>
      <c r="DL198" s="228">
        <v>1.1100000000000001</v>
      </c>
      <c r="DM198" s="228">
        <v>34.71</v>
      </c>
      <c r="DN198" s="228">
        <v>33</v>
      </c>
      <c r="DO198" s="228">
        <v>1.71</v>
      </c>
      <c r="DP198" s="228">
        <v>1.71</v>
      </c>
      <c r="DQ198" s="228">
        <v>0.43</v>
      </c>
      <c r="DR198" s="228">
        <v>0.41</v>
      </c>
      <c r="DS198" s="228">
        <v>0.02</v>
      </c>
      <c r="DT198" s="229">
        <v>4.8800000000000003E-2</v>
      </c>
      <c r="DU198" s="231">
        <v>3300</v>
      </c>
      <c r="DV198" s="231">
        <v>3050</v>
      </c>
      <c r="DW198" s="228">
        <v>0.23</v>
      </c>
      <c r="DX198" s="228">
        <v>0.26</v>
      </c>
      <c r="DY198" s="228">
        <v>-0.03</v>
      </c>
      <c r="DZ198" s="229">
        <v>-0.1154</v>
      </c>
      <c r="EA198" s="229">
        <v>0.88619999999999999</v>
      </c>
      <c r="EB198" s="230">
        <v>1167600</v>
      </c>
      <c r="EC198" s="229">
        <v>5.7000000000000002E-3</v>
      </c>
      <c r="ED198" s="229">
        <v>0.88619999999999999</v>
      </c>
      <c r="EE198" s="228">
        <v>17.72</v>
      </c>
      <c r="EF198" s="229">
        <v>5.5999999999999999E-3</v>
      </c>
      <c r="EG198" s="230">
        <v>100175</v>
      </c>
      <c r="EH198" s="230">
        <v>115043</v>
      </c>
      <c r="EI198" s="229">
        <v>-0.12920000000000001</v>
      </c>
      <c r="EJ198" s="229">
        <v>0.61870000000000003</v>
      </c>
      <c r="EK198" s="228">
        <v>578.86</v>
      </c>
      <c r="EL198" s="228">
        <v>128.05000000000001</v>
      </c>
      <c r="EM198" s="228">
        <v>467.47</v>
      </c>
      <c r="EN198" s="228">
        <v>41.31</v>
      </c>
      <c r="EO198" s="231">
        <v>1174.3800000000001</v>
      </c>
      <c r="EP198" s="231">
        <v>2403.61</v>
      </c>
      <c r="EQ198" s="231">
        <v>-1229.23</v>
      </c>
      <c r="ER198" s="229">
        <v>-0.51139999999999997</v>
      </c>
      <c r="ES198" s="228">
        <v>217.53</v>
      </c>
      <c r="ET198" s="228">
        <v>87.32</v>
      </c>
      <c r="EU198" s="228">
        <v>625.05999999999995</v>
      </c>
      <c r="EV198" s="231">
        <v>14039249</v>
      </c>
      <c r="EW198" s="228">
        <v>929.92</v>
      </c>
      <c r="EX198" s="228">
        <v>979.42</v>
      </c>
      <c r="EY198" s="228">
        <v>-49.5</v>
      </c>
      <c r="EZ198" s="229">
        <v>-5.0500000000000003E-2</v>
      </c>
      <c r="FA198" s="229">
        <v>0.20860000000000001</v>
      </c>
      <c r="FB198" s="227" t="s">
        <v>567</v>
      </c>
      <c r="FC198">
        <f t="shared" si="4"/>
        <v>0</v>
      </c>
    </row>
    <row r="199" spans="1:159" ht="17.25" thickBot="1" x14ac:dyDescent="0.3">
      <c r="A199" s="226">
        <v>45957</v>
      </c>
      <c r="B199" s="227" t="s">
        <v>184</v>
      </c>
      <c r="C199" s="227" t="s">
        <v>663</v>
      </c>
      <c r="D199" s="228">
        <v>725</v>
      </c>
      <c r="E199" s="228">
        <v>1</v>
      </c>
      <c r="F199" s="228">
        <v>898.4</v>
      </c>
      <c r="G199" s="228">
        <v>875.2</v>
      </c>
      <c r="H199" s="228">
        <v>23.2</v>
      </c>
      <c r="I199" s="229">
        <v>2.6499999999999999E-2</v>
      </c>
      <c r="J199" s="228">
        <v>895.9</v>
      </c>
      <c r="K199" s="228">
        <v>874.7</v>
      </c>
      <c r="L199" s="228">
        <v>21.2</v>
      </c>
      <c r="M199" s="229">
        <v>2.4199999999999999E-2</v>
      </c>
      <c r="N199" s="228">
        <v>898.4</v>
      </c>
      <c r="O199" s="228">
        <v>875.2</v>
      </c>
      <c r="P199" s="228">
        <v>23.2</v>
      </c>
      <c r="Q199" s="229">
        <v>2.6499999999999999E-2</v>
      </c>
      <c r="R199" s="228">
        <v>901.85</v>
      </c>
      <c r="S199" s="228">
        <v>875.75</v>
      </c>
      <c r="T199" s="228">
        <v>26.1</v>
      </c>
      <c r="U199" s="229">
        <v>2.98E-2</v>
      </c>
      <c r="V199" s="228">
        <v>905.9</v>
      </c>
      <c r="W199" s="228">
        <v>879.5</v>
      </c>
      <c r="X199" s="228">
        <v>26.4</v>
      </c>
      <c r="Y199" s="229">
        <v>0.03</v>
      </c>
      <c r="Z199" s="228">
        <v>2.5</v>
      </c>
      <c r="AA199" s="228">
        <v>0.5</v>
      </c>
      <c r="AB199" s="228">
        <v>2</v>
      </c>
      <c r="AC199" s="229">
        <v>2.8E-3</v>
      </c>
      <c r="AD199" s="228">
        <v>2.5</v>
      </c>
      <c r="AE199" s="228">
        <v>0.5</v>
      </c>
      <c r="AF199" s="228">
        <v>2</v>
      </c>
      <c r="AG199" s="229">
        <v>2.8E-3</v>
      </c>
      <c r="AH199" s="228">
        <v>5.95</v>
      </c>
      <c r="AI199" s="228">
        <v>1.05</v>
      </c>
      <c r="AJ199" s="228">
        <v>4.9000000000000004</v>
      </c>
      <c r="AK199" s="229">
        <v>6.6E-3</v>
      </c>
      <c r="AL199" s="228">
        <v>10</v>
      </c>
      <c r="AM199" s="228">
        <v>4.8</v>
      </c>
      <c r="AN199" s="228">
        <v>5.2</v>
      </c>
      <c r="AO199" s="229">
        <v>1.12E-2</v>
      </c>
      <c r="AP199" s="228">
        <v>891.19</v>
      </c>
      <c r="AQ199" s="228">
        <v>894.65</v>
      </c>
      <c r="AR199" s="228">
        <v>0</v>
      </c>
      <c r="AS199" s="228">
        <v>499</v>
      </c>
      <c r="AT199" s="228">
        <v>556</v>
      </c>
      <c r="AU199" s="228">
        <v>-58</v>
      </c>
      <c r="AV199" s="229">
        <v>-0.10349999999999999</v>
      </c>
      <c r="AW199" s="228">
        <v>241</v>
      </c>
      <c r="AX199" s="228">
        <v>273</v>
      </c>
      <c r="AY199" s="228">
        <v>-32</v>
      </c>
      <c r="AZ199" s="229">
        <v>-0.1168</v>
      </c>
      <c r="BA199" s="228">
        <v>250</v>
      </c>
      <c r="BB199" s="228">
        <v>277</v>
      </c>
      <c r="BC199" s="228">
        <v>-26</v>
      </c>
      <c r="BD199" s="229">
        <v>-9.4700000000000006E-2</v>
      </c>
      <c r="BE199" s="228">
        <v>7</v>
      </c>
      <c r="BF199" s="228">
        <v>6</v>
      </c>
      <c r="BG199" s="228">
        <v>1</v>
      </c>
      <c r="BH199" s="229">
        <v>8.1600000000000006E-2</v>
      </c>
      <c r="BI199" s="228">
        <v>441</v>
      </c>
      <c r="BJ199" s="228">
        <v>250</v>
      </c>
      <c r="BK199" s="228">
        <v>191</v>
      </c>
      <c r="BL199" s="229">
        <v>0.76559999999999995</v>
      </c>
      <c r="BM199" s="228">
        <v>186</v>
      </c>
      <c r="BN199" s="228">
        <v>92</v>
      </c>
      <c r="BO199" s="228">
        <v>94</v>
      </c>
      <c r="BP199" s="229">
        <v>1.0247999999999999</v>
      </c>
      <c r="BQ199" s="230">
        <v>1126</v>
      </c>
      <c r="BR199" s="228">
        <v>898</v>
      </c>
      <c r="BS199" s="228">
        <v>228</v>
      </c>
      <c r="BT199" s="229">
        <v>0.25380000000000003</v>
      </c>
      <c r="BU199" s="230">
        <v>1014749</v>
      </c>
      <c r="BV199" s="230">
        <v>375266</v>
      </c>
      <c r="BW199" s="230">
        <v>639483</v>
      </c>
      <c r="BX199" s="229">
        <v>1.7040999999999999</v>
      </c>
      <c r="BY199" s="228">
        <v>612</v>
      </c>
      <c r="BZ199" s="228">
        <v>707</v>
      </c>
      <c r="CA199" s="228">
        <v>-95</v>
      </c>
      <c r="CB199" s="229">
        <v>-0.13500000000000001</v>
      </c>
      <c r="CC199" s="228">
        <v>135</v>
      </c>
      <c r="CD199" s="228">
        <v>300</v>
      </c>
      <c r="CE199" s="228">
        <v>-165</v>
      </c>
      <c r="CF199" s="229">
        <v>-0.55020000000000002</v>
      </c>
      <c r="CG199" s="228">
        <v>463</v>
      </c>
      <c r="CH199" s="228">
        <v>394</v>
      </c>
      <c r="CI199" s="228">
        <v>69</v>
      </c>
      <c r="CJ199" s="229">
        <v>0.17469999999999999</v>
      </c>
      <c r="CK199" s="228">
        <v>14</v>
      </c>
      <c r="CL199" s="228">
        <v>13</v>
      </c>
      <c r="CM199" s="228">
        <v>1</v>
      </c>
      <c r="CN199" s="229">
        <v>5.3900000000000003E-2</v>
      </c>
      <c r="CO199" s="228">
        <v>237</v>
      </c>
      <c r="CP199" s="228">
        <v>274</v>
      </c>
      <c r="CQ199" s="228">
        <v>-37</v>
      </c>
      <c r="CR199" s="229">
        <v>-0.13500000000000001</v>
      </c>
      <c r="CS199" s="228">
        <v>130</v>
      </c>
      <c r="CT199" s="228">
        <v>135</v>
      </c>
      <c r="CU199" s="228">
        <v>-5</v>
      </c>
      <c r="CV199" s="229">
        <v>-3.4799999999999998E-2</v>
      </c>
      <c r="CW199" s="228">
        <v>979</v>
      </c>
      <c r="CX199" s="230">
        <v>1116</v>
      </c>
      <c r="CY199" s="228">
        <v>-137</v>
      </c>
      <c r="CZ199" s="229">
        <v>-0.1229</v>
      </c>
      <c r="DA199" s="228">
        <v>38.479999999999997</v>
      </c>
      <c r="DB199" s="228">
        <v>36.770000000000003</v>
      </c>
      <c r="DC199" s="228">
        <v>1.71</v>
      </c>
      <c r="DD199" s="228">
        <v>1.71</v>
      </c>
      <c r="DE199" s="228">
        <v>55.04</v>
      </c>
      <c r="DF199" s="228">
        <v>55.06</v>
      </c>
      <c r="DG199" s="228">
        <v>-16.559999999999999</v>
      </c>
      <c r="DH199" s="228">
        <v>-0.02</v>
      </c>
      <c r="DI199" s="228">
        <v>38.590000000000003</v>
      </c>
      <c r="DJ199" s="228">
        <v>37.71</v>
      </c>
      <c r="DK199" s="228">
        <v>0.88</v>
      </c>
      <c r="DL199" s="228">
        <v>0.88</v>
      </c>
      <c r="DM199" s="228">
        <v>38.270000000000003</v>
      </c>
      <c r="DN199" s="228">
        <v>35.53</v>
      </c>
      <c r="DO199" s="228">
        <v>2.74</v>
      </c>
      <c r="DP199" s="228">
        <v>2.74</v>
      </c>
      <c r="DQ199" s="228">
        <v>0.55000000000000004</v>
      </c>
      <c r="DR199" s="228">
        <v>0.49</v>
      </c>
      <c r="DS199" s="228">
        <v>0.06</v>
      </c>
      <c r="DT199" s="229">
        <v>0.12239999999999999</v>
      </c>
      <c r="DU199" s="228">
        <v>900</v>
      </c>
      <c r="DV199" s="228">
        <v>840</v>
      </c>
      <c r="DW199" s="228">
        <v>0.42</v>
      </c>
      <c r="DX199" s="228">
        <v>0.37</v>
      </c>
      <c r="DY199" s="228">
        <v>0.05</v>
      </c>
      <c r="DZ199" s="229">
        <v>0.1351</v>
      </c>
      <c r="EA199" s="229">
        <v>0.77939999999999998</v>
      </c>
      <c r="EB199" s="230">
        <v>4533425</v>
      </c>
      <c r="EC199" s="229">
        <v>3.8E-3</v>
      </c>
      <c r="ED199" s="229">
        <v>0.77939999999999998</v>
      </c>
      <c r="EE199" s="228">
        <v>3.46</v>
      </c>
      <c r="EF199" s="229">
        <v>3.8999999999999998E-3</v>
      </c>
      <c r="EG199" s="230">
        <v>424383</v>
      </c>
      <c r="EH199" s="230">
        <v>112105</v>
      </c>
      <c r="EI199" s="229">
        <v>2.7856000000000001</v>
      </c>
      <c r="EJ199" s="229">
        <v>0.41820000000000002</v>
      </c>
      <c r="EK199" s="228">
        <v>455.84</v>
      </c>
      <c r="EL199" s="228">
        <v>181.07</v>
      </c>
      <c r="EM199" s="228">
        <v>495.55</v>
      </c>
      <c r="EN199" s="228">
        <v>41.72</v>
      </c>
      <c r="EO199" s="231">
        <v>1132.45</v>
      </c>
      <c r="EP199" s="228">
        <v>892.27</v>
      </c>
      <c r="EQ199" s="228">
        <v>240.18</v>
      </c>
      <c r="ER199" s="229">
        <v>0.26919999999999999</v>
      </c>
      <c r="ES199" s="228">
        <v>247.66</v>
      </c>
      <c r="ET199" s="228">
        <v>125.21</v>
      </c>
      <c r="EU199" s="228">
        <v>613.70000000000005</v>
      </c>
      <c r="EV199" s="231">
        <v>12028036</v>
      </c>
      <c r="EW199" s="228">
        <v>986.57</v>
      </c>
      <c r="EX199" s="231">
        <v>1104.51</v>
      </c>
      <c r="EY199" s="228">
        <v>-117.94</v>
      </c>
      <c r="EZ199" s="229">
        <v>-0.10680000000000001</v>
      </c>
      <c r="FA199" s="229">
        <v>0.90569999999999995</v>
      </c>
      <c r="FB199" s="227" t="s">
        <v>556</v>
      </c>
      <c r="FC199">
        <f t="shared" si="4"/>
        <v>0</v>
      </c>
    </row>
    <row r="200" spans="1:159" ht="17.25" thickBot="1" x14ac:dyDescent="0.3">
      <c r="A200" s="226">
        <v>45957</v>
      </c>
      <c r="B200" s="227" t="s">
        <v>168</v>
      </c>
      <c r="C200" s="227" t="s">
        <v>297</v>
      </c>
      <c r="D200" s="228">
        <v>175</v>
      </c>
      <c r="E200" s="228">
        <v>1</v>
      </c>
      <c r="F200" s="231">
        <v>3742.1</v>
      </c>
      <c r="G200" s="231">
        <v>3712</v>
      </c>
      <c r="H200" s="228">
        <v>30.1</v>
      </c>
      <c r="I200" s="229">
        <v>8.0999999999999996E-3</v>
      </c>
      <c r="J200" s="231">
        <v>3739.8</v>
      </c>
      <c r="K200" s="231">
        <v>3714.9</v>
      </c>
      <c r="L200" s="228">
        <v>24.9</v>
      </c>
      <c r="M200" s="229">
        <v>6.7000000000000002E-3</v>
      </c>
      <c r="N200" s="231">
        <v>3742.1</v>
      </c>
      <c r="O200" s="231">
        <v>3712</v>
      </c>
      <c r="P200" s="228">
        <v>30.1</v>
      </c>
      <c r="Q200" s="229">
        <v>8.0999999999999996E-3</v>
      </c>
      <c r="R200" s="231">
        <v>3764.3</v>
      </c>
      <c r="S200" s="231">
        <v>3733</v>
      </c>
      <c r="T200" s="228">
        <v>31.3</v>
      </c>
      <c r="U200" s="229">
        <v>8.3999999999999995E-3</v>
      </c>
      <c r="V200" s="231">
        <v>3791.7</v>
      </c>
      <c r="W200" s="231">
        <v>3757.2</v>
      </c>
      <c r="X200" s="228">
        <v>34.5</v>
      </c>
      <c r="Y200" s="229">
        <v>9.1999999999999998E-3</v>
      </c>
      <c r="Z200" s="228">
        <v>2.2999999999999998</v>
      </c>
      <c r="AA200" s="228">
        <v>-2.9</v>
      </c>
      <c r="AB200" s="228">
        <v>5.2</v>
      </c>
      <c r="AC200" s="229">
        <v>5.9999999999999995E-4</v>
      </c>
      <c r="AD200" s="228">
        <v>2.2999999999999998</v>
      </c>
      <c r="AE200" s="228">
        <v>-2.9</v>
      </c>
      <c r="AF200" s="228">
        <v>5.2</v>
      </c>
      <c r="AG200" s="229">
        <v>5.9999999999999995E-4</v>
      </c>
      <c r="AH200" s="228">
        <v>24.5</v>
      </c>
      <c r="AI200" s="228">
        <v>18.100000000000001</v>
      </c>
      <c r="AJ200" s="228">
        <v>6.4</v>
      </c>
      <c r="AK200" s="229">
        <v>6.6E-3</v>
      </c>
      <c r="AL200" s="228">
        <v>51.9</v>
      </c>
      <c r="AM200" s="228">
        <v>42.3</v>
      </c>
      <c r="AN200" s="228">
        <v>9.6</v>
      </c>
      <c r="AO200" s="229">
        <v>1.3899999999999999E-2</v>
      </c>
      <c r="AP200" s="231">
        <v>3738.76</v>
      </c>
      <c r="AQ200" s="231">
        <v>3760.5</v>
      </c>
      <c r="AR200" s="228">
        <v>0</v>
      </c>
      <c r="AS200" s="230">
        <v>2807</v>
      </c>
      <c r="AT200" s="230">
        <v>3029</v>
      </c>
      <c r="AU200" s="228">
        <v>-222</v>
      </c>
      <c r="AV200" s="229">
        <v>-7.3300000000000004E-2</v>
      </c>
      <c r="AW200" s="230">
        <v>1307</v>
      </c>
      <c r="AX200" s="230">
        <v>1557</v>
      </c>
      <c r="AY200" s="228">
        <v>-250</v>
      </c>
      <c r="AZ200" s="229">
        <v>-0.16039999999999999</v>
      </c>
      <c r="BA200" s="230">
        <v>1488</v>
      </c>
      <c r="BB200" s="230">
        <v>1467</v>
      </c>
      <c r="BC200" s="228">
        <v>20</v>
      </c>
      <c r="BD200" s="229">
        <v>1.4E-2</v>
      </c>
      <c r="BE200" s="228">
        <v>12</v>
      </c>
      <c r="BF200" s="228">
        <v>4</v>
      </c>
      <c r="BG200" s="228">
        <v>7</v>
      </c>
      <c r="BH200" s="229">
        <v>1.6667000000000001</v>
      </c>
      <c r="BI200" s="230">
        <v>1935</v>
      </c>
      <c r="BJ200" s="230">
        <v>1727</v>
      </c>
      <c r="BK200" s="228">
        <v>208</v>
      </c>
      <c r="BL200" s="229">
        <v>0.1207</v>
      </c>
      <c r="BM200" s="230">
        <v>1478</v>
      </c>
      <c r="BN200" s="230">
        <v>1550</v>
      </c>
      <c r="BO200" s="228">
        <v>-71</v>
      </c>
      <c r="BP200" s="229">
        <v>-4.5900000000000003E-2</v>
      </c>
      <c r="BQ200" s="230">
        <v>6220</v>
      </c>
      <c r="BR200" s="230">
        <v>6305</v>
      </c>
      <c r="BS200" s="228">
        <v>-85</v>
      </c>
      <c r="BT200" s="229">
        <v>-1.35E-2</v>
      </c>
      <c r="BU200" s="230">
        <v>880184</v>
      </c>
      <c r="BV200" s="230">
        <v>596541</v>
      </c>
      <c r="BW200" s="230">
        <v>283643</v>
      </c>
      <c r="BX200" s="229">
        <v>0.47549999999999998</v>
      </c>
      <c r="BY200" s="230">
        <v>4578</v>
      </c>
      <c r="BZ200" s="230">
        <v>4540</v>
      </c>
      <c r="CA200" s="228">
        <v>38</v>
      </c>
      <c r="CB200" s="229">
        <v>8.3999999999999995E-3</v>
      </c>
      <c r="CC200" s="228">
        <v>943</v>
      </c>
      <c r="CD200" s="230">
        <v>1969</v>
      </c>
      <c r="CE200" s="230">
        <v>-1026</v>
      </c>
      <c r="CF200" s="229">
        <v>-0.52129999999999999</v>
      </c>
      <c r="CG200" s="230">
        <v>3612</v>
      </c>
      <c r="CH200" s="230">
        <v>2552</v>
      </c>
      <c r="CI200" s="230">
        <v>1060</v>
      </c>
      <c r="CJ200" s="229">
        <v>0.4153</v>
      </c>
      <c r="CK200" s="228">
        <v>23</v>
      </c>
      <c r="CL200" s="228">
        <v>18</v>
      </c>
      <c r="CM200" s="228">
        <v>5</v>
      </c>
      <c r="CN200" s="229">
        <v>0.25</v>
      </c>
      <c r="CO200" s="230">
        <v>1745</v>
      </c>
      <c r="CP200" s="230">
        <v>1792</v>
      </c>
      <c r="CQ200" s="228">
        <v>-47</v>
      </c>
      <c r="CR200" s="229">
        <v>-2.63E-2</v>
      </c>
      <c r="CS200" s="230">
        <v>1225</v>
      </c>
      <c r="CT200" s="230">
        <v>1296</v>
      </c>
      <c r="CU200" s="228">
        <v>-71</v>
      </c>
      <c r="CV200" s="229">
        <v>-5.5100000000000003E-2</v>
      </c>
      <c r="CW200" s="230">
        <v>7547</v>
      </c>
      <c r="CX200" s="230">
        <v>7628</v>
      </c>
      <c r="CY200" s="228">
        <v>-80</v>
      </c>
      <c r="CZ200" s="229">
        <v>-1.06E-2</v>
      </c>
      <c r="DA200" s="228">
        <v>23.94</v>
      </c>
      <c r="DB200" s="228">
        <v>22.98</v>
      </c>
      <c r="DC200" s="228">
        <v>0.96</v>
      </c>
      <c r="DD200" s="228">
        <v>0.96</v>
      </c>
      <c r="DE200" s="228">
        <v>26.03</v>
      </c>
      <c r="DF200" s="228">
        <v>26.08</v>
      </c>
      <c r="DG200" s="228">
        <v>-2.09</v>
      </c>
      <c r="DH200" s="228">
        <v>-0.05</v>
      </c>
      <c r="DI200" s="228">
        <v>23.95</v>
      </c>
      <c r="DJ200" s="228">
        <v>23.16</v>
      </c>
      <c r="DK200" s="228">
        <v>0.79</v>
      </c>
      <c r="DL200" s="228">
        <v>0.79</v>
      </c>
      <c r="DM200" s="228">
        <v>23.92</v>
      </c>
      <c r="DN200" s="228">
        <v>22.81</v>
      </c>
      <c r="DO200" s="228">
        <v>1.1100000000000001</v>
      </c>
      <c r="DP200" s="228">
        <v>1.1100000000000001</v>
      </c>
      <c r="DQ200" s="228">
        <v>0.7</v>
      </c>
      <c r="DR200" s="228">
        <v>0.72</v>
      </c>
      <c r="DS200" s="228">
        <v>-0.02</v>
      </c>
      <c r="DT200" s="229">
        <v>-2.7799999999999998E-2</v>
      </c>
      <c r="DU200" s="231">
        <v>3400</v>
      </c>
      <c r="DV200" s="231">
        <v>3600</v>
      </c>
      <c r="DW200" s="228">
        <v>0.76</v>
      </c>
      <c r="DX200" s="228">
        <v>0.9</v>
      </c>
      <c r="DY200" s="228">
        <v>-0.14000000000000001</v>
      </c>
      <c r="DZ200" s="229">
        <v>-0.15559999999999999</v>
      </c>
      <c r="EA200" s="229">
        <v>0.79410000000000003</v>
      </c>
      <c r="EB200" s="230">
        <v>6868925</v>
      </c>
      <c r="EC200" s="229">
        <v>5.8999999999999999E-3</v>
      </c>
      <c r="ED200" s="229">
        <v>0.79410000000000003</v>
      </c>
      <c r="EE200" s="228">
        <v>21.74</v>
      </c>
      <c r="EF200" s="229">
        <v>5.7999999999999996E-3</v>
      </c>
      <c r="EG200" s="230">
        <v>612046</v>
      </c>
      <c r="EH200" s="230">
        <v>378365</v>
      </c>
      <c r="EI200" s="229">
        <v>0.61760000000000004</v>
      </c>
      <c r="EJ200" s="229">
        <v>0.69540000000000002</v>
      </c>
      <c r="EK200" s="231">
        <v>1978.53</v>
      </c>
      <c r="EL200" s="231">
        <v>1454.82</v>
      </c>
      <c r="EM200" s="231">
        <v>2812.91</v>
      </c>
      <c r="EN200" s="228">
        <v>258.32</v>
      </c>
      <c r="EO200" s="231">
        <v>6246.26</v>
      </c>
      <c r="EP200" s="231">
        <v>6319.39</v>
      </c>
      <c r="EQ200" s="228">
        <v>-73.12</v>
      </c>
      <c r="ER200" s="229">
        <v>-1.1599999999999999E-2</v>
      </c>
      <c r="ES200" s="231">
        <v>1720.96</v>
      </c>
      <c r="ET200" s="231">
        <v>1160.7</v>
      </c>
      <c r="EU200" s="231">
        <v>4599.26</v>
      </c>
      <c r="EV200" s="231">
        <v>41744334</v>
      </c>
      <c r="EW200" s="231">
        <v>7480.91</v>
      </c>
      <c r="EX200" s="231">
        <v>7506.34</v>
      </c>
      <c r="EY200" s="228">
        <v>-25.43</v>
      </c>
      <c r="EZ200" s="229">
        <v>-3.3999999999999998E-3</v>
      </c>
      <c r="FA200" s="229">
        <v>0.48309999999999997</v>
      </c>
      <c r="FB200" s="227" t="s">
        <v>555</v>
      </c>
      <c r="FC200">
        <f t="shared" si="4"/>
        <v>0</v>
      </c>
    </row>
    <row r="201" spans="1:159" ht="17.25" thickBot="1" x14ac:dyDescent="0.3">
      <c r="A201" s="226">
        <v>45957</v>
      </c>
      <c r="B201" s="227" t="s">
        <v>691</v>
      </c>
      <c r="C201" s="227" t="s">
        <v>690</v>
      </c>
      <c r="D201" s="228">
        <v>800</v>
      </c>
      <c r="E201" s="228">
        <v>1</v>
      </c>
      <c r="F201" s="228">
        <v>411.15</v>
      </c>
      <c r="G201" s="228">
        <v>404.25</v>
      </c>
      <c r="H201" s="228">
        <v>6.9</v>
      </c>
      <c r="I201" s="229">
        <v>1.7100000000000001E-2</v>
      </c>
      <c r="J201" s="228">
        <v>410.05</v>
      </c>
      <c r="K201" s="228">
        <v>403.3</v>
      </c>
      <c r="L201" s="228">
        <v>6.75</v>
      </c>
      <c r="M201" s="229">
        <v>1.67E-2</v>
      </c>
      <c r="N201" s="228">
        <v>411.15</v>
      </c>
      <c r="O201" s="228">
        <v>404.25</v>
      </c>
      <c r="P201" s="228">
        <v>6.9</v>
      </c>
      <c r="Q201" s="229">
        <v>1.7100000000000001E-2</v>
      </c>
      <c r="R201" s="228">
        <v>411.35</v>
      </c>
      <c r="S201" s="228">
        <v>404.8</v>
      </c>
      <c r="T201" s="228">
        <v>6.55</v>
      </c>
      <c r="U201" s="229">
        <v>1.6199999999999999E-2</v>
      </c>
      <c r="V201" s="228">
        <v>413.5</v>
      </c>
      <c r="W201" s="228">
        <v>407.25</v>
      </c>
      <c r="X201" s="228">
        <v>6.25</v>
      </c>
      <c r="Y201" s="229">
        <v>1.5299999999999999E-2</v>
      </c>
      <c r="Z201" s="228">
        <v>1.1000000000000001</v>
      </c>
      <c r="AA201" s="228">
        <v>0.95</v>
      </c>
      <c r="AB201" s="228">
        <v>0.15</v>
      </c>
      <c r="AC201" s="229">
        <v>2.7000000000000001E-3</v>
      </c>
      <c r="AD201" s="228">
        <v>1.1000000000000001</v>
      </c>
      <c r="AE201" s="228">
        <v>0.95</v>
      </c>
      <c r="AF201" s="228">
        <v>0.15</v>
      </c>
      <c r="AG201" s="229">
        <v>2.7000000000000001E-3</v>
      </c>
      <c r="AH201" s="228">
        <v>1.3</v>
      </c>
      <c r="AI201" s="228">
        <v>1.5</v>
      </c>
      <c r="AJ201" s="228">
        <v>-0.2</v>
      </c>
      <c r="AK201" s="229">
        <v>3.2000000000000002E-3</v>
      </c>
      <c r="AL201" s="228">
        <v>3.45</v>
      </c>
      <c r="AM201" s="228">
        <v>3.95</v>
      </c>
      <c r="AN201" s="228">
        <v>-0.5</v>
      </c>
      <c r="AO201" s="229">
        <v>8.3999999999999995E-3</v>
      </c>
      <c r="AP201" s="228">
        <v>410.35</v>
      </c>
      <c r="AQ201" s="228">
        <v>410.59</v>
      </c>
      <c r="AR201" s="228">
        <v>0</v>
      </c>
      <c r="AS201" s="230">
        <v>1605</v>
      </c>
      <c r="AT201" s="230">
        <v>1525</v>
      </c>
      <c r="AU201" s="228">
        <v>79</v>
      </c>
      <c r="AV201" s="229">
        <v>5.1999999999999998E-2</v>
      </c>
      <c r="AW201" s="228">
        <v>776</v>
      </c>
      <c r="AX201" s="228">
        <v>774</v>
      </c>
      <c r="AY201" s="228">
        <v>2</v>
      </c>
      <c r="AZ201" s="229">
        <v>2.0999999999999999E-3</v>
      </c>
      <c r="BA201" s="228">
        <v>791</v>
      </c>
      <c r="BB201" s="228">
        <v>729</v>
      </c>
      <c r="BC201" s="228">
        <v>61</v>
      </c>
      <c r="BD201" s="229">
        <v>8.3900000000000002E-2</v>
      </c>
      <c r="BE201" s="228">
        <v>38</v>
      </c>
      <c r="BF201" s="228">
        <v>22</v>
      </c>
      <c r="BG201" s="228">
        <v>17</v>
      </c>
      <c r="BH201" s="229">
        <v>0.75719999999999998</v>
      </c>
      <c r="BI201" s="230">
        <v>2188</v>
      </c>
      <c r="BJ201" s="230">
        <v>1758</v>
      </c>
      <c r="BK201" s="228">
        <v>430</v>
      </c>
      <c r="BL201" s="229">
        <v>0.2445</v>
      </c>
      <c r="BM201" s="228">
        <v>949</v>
      </c>
      <c r="BN201" s="228">
        <v>852</v>
      </c>
      <c r="BO201" s="228">
        <v>97</v>
      </c>
      <c r="BP201" s="229">
        <v>0.1135</v>
      </c>
      <c r="BQ201" s="230">
        <v>4742</v>
      </c>
      <c r="BR201" s="230">
        <v>4136</v>
      </c>
      <c r="BS201" s="228">
        <v>606</v>
      </c>
      <c r="BT201" s="229">
        <v>0.14649999999999999</v>
      </c>
      <c r="BU201" s="230">
        <v>10699376</v>
      </c>
      <c r="BV201" s="230">
        <v>6311744</v>
      </c>
      <c r="BW201" s="230">
        <v>4387632</v>
      </c>
      <c r="BX201" s="229">
        <v>0.69520000000000004</v>
      </c>
      <c r="BY201" s="230">
        <v>1958</v>
      </c>
      <c r="BZ201" s="230">
        <v>1840</v>
      </c>
      <c r="CA201" s="228">
        <v>118</v>
      </c>
      <c r="CB201" s="229">
        <v>6.4100000000000004E-2</v>
      </c>
      <c r="CC201" s="228">
        <v>268</v>
      </c>
      <c r="CD201" s="228">
        <v>564</v>
      </c>
      <c r="CE201" s="228">
        <v>-296</v>
      </c>
      <c r="CF201" s="229">
        <v>-0.52539999999999998</v>
      </c>
      <c r="CG201" s="230">
        <v>1614</v>
      </c>
      <c r="CH201" s="230">
        <v>1203</v>
      </c>
      <c r="CI201" s="228">
        <v>411</v>
      </c>
      <c r="CJ201" s="229">
        <v>0.3417</v>
      </c>
      <c r="CK201" s="228">
        <v>76</v>
      </c>
      <c r="CL201" s="228">
        <v>73</v>
      </c>
      <c r="CM201" s="228">
        <v>3</v>
      </c>
      <c r="CN201" s="229">
        <v>4.1399999999999999E-2</v>
      </c>
      <c r="CO201" s="230">
        <v>1438</v>
      </c>
      <c r="CP201" s="230">
        <v>1580</v>
      </c>
      <c r="CQ201" s="228">
        <v>-142</v>
      </c>
      <c r="CR201" s="229">
        <v>-9.0200000000000002E-2</v>
      </c>
      <c r="CS201" s="228">
        <v>845</v>
      </c>
      <c r="CT201" s="228">
        <v>814</v>
      </c>
      <c r="CU201" s="228">
        <v>30</v>
      </c>
      <c r="CV201" s="229">
        <v>3.7400000000000003E-2</v>
      </c>
      <c r="CW201" s="230">
        <v>4240</v>
      </c>
      <c r="CX201" s="230">
        <v>4234</v>
      </c>
      <c r="CY201" s="228">
        <v>6</v>
      </c>
      <c r="CZ201" s="229">
        <v>1.4E-3</v>
      </c>
      <c r="DA201" s="228">
        <v>35.57</v>
      </c>
      <c r="DB201" s="228">
        <v>35.86</v>
      </c>
      <c r="DC201" s="228">
        <v>-0.28999999999999998</v>
      </c>
      <c r="DD201" s="228">
        <v>-0.28999999999999998</v>
      </c>
      <c r="DE201" s="228">
        <v>35.39</v>
      </c>
      <c r="DF201" s="228">
        <v>35.4</v>
      </c>
      <c r="DG201" s="228">
        <v>0.18</v>
      </c>
      <c r="DH201" s="228">
        <v>-0.01</v>
      </c>
      <c r="DI201" s="228">
        <v>35.74</v>
      </c>
      <c r="DJ201" s="228">
        <v>36.130000000000003</v>
      </c>
      <c r="DK201" s="228">
        <v>-0.39</v>
      </c>
      <c r="DL201" s="228">
        <v>-0.39</v>
      </c>
      <c r="DM201" s="228">
        <v>35.29</v>
      </c>
      <c r="DN201" s="228">
        <v>35.409999999999997</v>
      </c>
      <c r="DO201" s="228">
        <v>-0.12</v>
      </c>
      <c r="DP201" s="228">
        <v>-0.12</v>
      </c>
      <c r="DQ201" s="228">
        <v>0.59</v>
      </c>
      <c r="DR201" s="228">
        <v>0.52</v>
      </c>
      <c r="DS201" s="228">
        <v>7.0000000000000007E-2</v>
      </c>
      <c r="DT201" s="229">
        <v>0.1346</v>
      </c>
      <c r="DU201" s="228">
        <v>470</v>
      </c>
      <c r="DV201" s="228">
        <v>400</v>
      </c>
      <c r="DW201" s="228">
        <v>0.43</v>
      </c>
      <c r="DX201" s="228">
        <v>0.48</v>
      </c>
      <c r="DY201" s="228">
        <v>-0.05</v>
      </c>
      <c r="DZ201" s="229">
        <v>-0.1042</v>
      </c>
      <c r="EA201" s="229">
        <v>0.86329999999999996</v>
      </c>
      <c r="EB201" s="230">
        <v>31032800</v>
      </c>
      <c r="EC201" s="229">
        <v>5.0000000000000001E-4</v>
      </c>
      <c r="ED201" s="229">
        <v>0.86329999999999996</v>
      </c>
      <c r="EE201" s="228">
        <v>0.24</v>
      </c>
      <c r="EF201" s="229">
        <v>5.9999999999999995E-4</v>
      </c>
      <c r="EG201" s="230">
        <v>5846817</v>
      </c>
      <c r="EH201" s="230">
        <v>2941675</v>
      </c>
      <c r="EI201" s="229">
        <v>0.98760000000000003</v>
      </c>
      <c r="EJ201" s="229">
        <v>0.54649999999999999</v>
      </c>
      <c r="EK201" s="231">
        <v>2280.71</v>
      </c>
      <c r="EL201" s="228">
        <v>916.22</v>
      </c>
      <c r="EM201" s="231">
        <v>1602.3</v>
      </c>
      <c r="EN201" s="228">
        <v>463.77</v>
      </c>
      <c r="EO201" s="231">
        <v>4799.2299999999996</v>
      </c>
      <c r="EP201" s="231">
        <v>4183.53</v>
      </c>
      <c r="EQ201" s="228">
        <v>615.70000000000005</v>
      </c>
      <c r="ER201" s="229">
        <v>0.1472</v>
      </c>
      <c r="ES201" s="231">
        <v>1542.38</v>
      </c>
      <c r="ET201" s="228">
        <v>779.14</v>
      </c>
      <c r="EU201" s="231">
        <v>1958.79</v>
      </c>
      <c r="EV201" s="231">
        <v>284575867</v>
      </c>
      <c r="EW201" s="231">
        <v>4280.3</v>
      </c>
      <c r="EX201" s="231">
        <v>4239.21</v>
      </c>
      <c r="EY201" s="228">
        <v>41.09</v>
      </c>
      <c r="EZ201" s="229">
        <v>9.7000000000000003E-3</v>
      </c>
      <c r="FA201" s="229">
        <v>0.3624</v>
      </c>
      <c r="FB201" s="227" t="s">
        <v>555</v>
      </c>
      <c r="FC201">
        <f t="shared" si="4"/>
        <v>0</v>
      </c>
    </row>
    <row r="202" spans="1:159" ht="17.25" thickBot="1" x14ac:dyDescent="0.3">
      <c r="A202" s="226">
        <v>45957</v>
      </c>
      <c r="B202" s="227" t="s">
        <v>170</v>
      </c>
      <c r="C202" s="227" t="s">
        <v>298</v>
      </c>
      <c r="D202" s="228">
        <v>250</v>
      </c>
      <c r="E202" s="228">
        <v>1</v>
      </c>
      <c r="F202" s="231">
        <v>3594.2</v>
      </c>
      <c r="G202" s="231">
        <v>3583.6</v>
      </c>
      <c r="H202" s="228">
        <v>10.6</v>
      </c>
      <c r="I202" s="229">
        <v>3.0000000000000001E-3</v>
      </c>
      <c r="J202" s="231">
        <v>3596.4</v>
      </c>
      <c r="K202" s="231">
        <v>3581.4</v>
      </c>
      <c r="L202" s="228">
        <v>15</v>
      </c>
      <c r="M202" s="229">
        <v>4.1999999999999997E-3</v>
      </c>
      <c r="N202" s="231">
        <v>3594.2</v>
      </c>
      <c r="O202" s="231">
        <v>3583.6</v>
      </c>
      <c r="P202" s="228">
        <v>10.6</v>
      </c>
      <c r="Q202" s="229">
        <v>3.0000000000000001E-3</v>
      </c>
      <c r="R202" s="231">
        <v>3614.2</v>
      </c>
      <c r="S202" s="231">
        <v>3602.9</v>
      </c>
      <c r="T202" s="228">
        <v>11.3</v>
      </c>
      <c r="U202" s="229">
        <v>3.0999999999999999E-3</v>
      </c>
      <c r="V202" s="231">
        <v>3570.5</v>
      </c>
      <c r="W202" s="231">
        <v>3570.5</v>
      </c>
      <c r="X202" s="228">
        <v>0</v>
      </c>
      <c r="Y202" s="229">
        <v>0</v>
      </c>
      <c r="Z202" s="228">
        <v>-2.2000000000000002</v>
      </c>
      <c r="AA202" s="228">
        <v>2.2000000000000002</v>
      </c>
      <c r="AB202" s="228">
        <v>-4.4000000000000004</v>
      </c>
      <c r="AC202" s="229">
        <v>-5.9999999999999995E-4</v>
      </c>
      <c r="AD202" s="228">
        <v>-2.2000000000000002</v>
      </c>
      <c r="AE202" s="228">
        <v>2.2000000000000002</v>
      </c>
      <c r="AF202" s="228">
        <v>-4.4000000000000004</v>
      </c>
      <c r="AG202" s="229">
        <v>-5.9999999999999995E-4</v>
      </c>
      <c r="AH202" s="228">
        <v>17.8</v>
      </c>
      <c r="AI202" s="228">
        <v>21.5</v>
      </c>
      <c r="AJ202" s="228">
        <v>-3.7</v>
      </c>
      <c r="AK202" s="229">
        <v>4.8999999999999998E-3</v>
      </c>
      <c r="AL202" s="228">
        <v>-25.9</v>
      </c>
      <c r="AM202" s="228">
        <v>-10.9</v>
      </c>
      <c r="AN202" s="228">
        <v>-15</v>
      </c>
      <c r="AO202" s="229">
        <v>-7.1999999999999998E-3</v>
      </c>
      <c r="AP202" s="231">
        <v>3586.47</v>
      </c>
      <c r="AQ202" s="231">
        <v>3606.75</v>
      </c>
      <c r="AR202" s="228">
        <v>0</v>
      </c>
      <c r="AS202" s="228">
        <v>503</v>
      </c>
      <c r="AT202" s="228">
        <v>526</v>
      </c>
      <c r="AU202" s="228">
        <v>-23</v>
      </c>
      <c r="AV202" s="229">
        <v>-4.3200000000000002E-2</v>
      </c>
      <c r="AW202" s="228">
        <v>242</v>
      </c>
      <c r="AX202" s="228">
        <v>265</v>
      </c>
      <c r="AY202" s="228">
        <v>-23</v>
      </c>
      <c r="AZ202" s="229">
        <v>-8.6800000000000002E-2</v>
      </c>
      <c r="BA202" s="228">
        <v>261</v>
      </c>
      <c r="BB202" s="228">
        <v>261</v>
      </c>
      <c r="BC202" s="228">
        <v>0</v>
      </c>
      <c r="BD202" s="229">
        <v>1E-3</v>
      </c>
      <c r="BE202" s="228">
        <v>0</v>
      </c>
      <c r="BF202" s="228">
        <v>0</v>
      </c>
      <c r="BG202" s="228">
        <v>0</v>
      </c>
      <c r="BH202" s="229">
        <v>0</v>
      </c>
      <c r="BI202" s="228">
        <v>496</v>
      </c>
      <c r="BJ202" s="228">
        <v>600</v>
      </c>
      <c r="BK202" s="228">
        <v>-104</v>
      </c>
      <c r="BL202" s="229">
        <v>-0.1736</v>
      </c>
      <c r="BM202" s="228">
        <v>252</v>
      </c>
      <c r="BN202" s="228">
        <v>221</v>
      </c>
      <c r="BO202" s="228">
        <v>31</v>
      </c>
      <c r="BP202" s="229">
        <v>0.1419</v>
      </c>
      <c r="BQ202" s="230">
        <v>1251</v>
      </c>
      <c r="BR202" s="230">
        <v>1347</v>
      </c>
      <c r="BS202" s="228">
        <v>-96</v>
      </c>
      <c r="BT202" s="229">
        <v>-7.0900000000000005E-2</v>
      </c>
      <c r="BU202" s="230">
        <v>119436</v>
      </c>
      <c r="BV202" s="230">
        <v>97676</v>
      </c>
      <c r="BW202" s="230">
        <v>21760</v>
      </c>
      <c r="BX202" s="229">
        <v>0.2228</v>
      </c>
      <c r="BY202" s="228">
        <v>850</v>
      </c>
      <c r="BZ202" s="228">
        <v>841</v>
      </c>
      <c r="CA202" s="228">
        <v>9</v>
      </c>
      <c r="CB202" s="229">
        <v>1.09E-2</v>
      </c>
      <c r="CC202" s="228">
        <v>129</v>
      </c>
      <c r="CD202" s="228">
        <v>308</v>
      </c>
      <c r="CE202" s="228">
        <v>-179</v>
      </c>
      <c r="CF202" s="229">
        <v>-0.57979999999999998</v>
      </c>
      <c r="CG202" s="228">
        <v>721</v>
      </c>
      <c r="CH202" s="228">
        <v>533</v>
      </c>
      <c r="CI202" s="228">
        <v>188</v>
      </c>
      <c r="CJ202" s="229">
        <v>0.3523</v>
      </c>
      <c r="CK202" s="228">
        <v>0</v>
      </c>
      <c r="CL202" s="228">
        <v>0</v>
      </c>
      <c r="CM202" s="228">
        <v>0</v>
      </c>
      <c r="CN202" s="229">
        <v>0</v>
      </c>
      <c r="CO202" s="228">
        <v>245</v>
      </c>
      <c r="CP202" s="228">
        <v>267</v>
      </c>
      <c r="CQ202" s="228">
        <v>-22</v>
      </c>
      <c r="CR202" s="229">
        <v>-8.0799999999999997E-2</v>
      </c>
      <c r="CS202" s="228">
        <v>179</v>
      </c>
      <c r="CT202" s="228">
        <v>182</v>
      </c>
      <c r="CU202" s="228">
        <v>-3</v>
      </c>
      <c r="CV202" s="229">
        <v>-1.4800000000000001E-2</v>
      </c>
      <c r="CW202" s="230">
        <v>1275</v>
      </c>
      <c r="CX202" s="230">
        <v>1290</v>
      </c>
      <c r="CY202" s="228">
        <v>-15</v>
      </c>
      <c r="CZ202" s="229">
        <v>-1.17E-2</v>
      </c>
      <c r="DA202" s="228">
        <v>19.63</v>
      </c>
      <c r="DB202" s="228">
        <v>19.100000000000001</v>
      </c>
      <c r="DC202" s="228">
        <v>0.53</v>
      </c>
      <c r="DD202" s="228">
        <v>0.53</v>
      </c>
      <c r="DE202" s="228">
        <v>25.49</v>
      </c>
      <c r="DF202" s="228">
        <v>25.54</v>
      </c>
      <c r="DG202" s="228">
        <v>-5.86</v>
      </c>
      <c r="DH202" s="228">
        <v>-0.05</v>
      </c>
      <c r="DI202" s="228">
        <v>19.489999999999998</v>
      </c>
      <c r="DJ202" s="228">
        <v>18.98</v>
      </c>
      <c r="DK202" s="228">
        <v>0.51</v>
      </c>
      <c r="DL202" s="228">
        <v>0.51</v>
      </c>
      <c r="DM202" s="228">
        <v>19.940000000000001</v>
      </c>
      <c r="DN202" s="228">
        <v>19.47</v>
      </c>
      <c r="DO202" s="228">
        <v>0.47</v>
      </c>
      <c r="DP202" s="228">
        <v>0.47</v>
      </c>
      <c r="DQ202" s="228">
        <v>0.73</v>
      </c>
      <c r="DR202" s="228">
        <v>0.68</v>
      </c>
      <c r="DS202" s="228">
        <v>0.05</v>
      </c>
      <c r="DT202" s="229">
        <v>7.3499999999999996E-2</v>
      </c>
      <c r="DU202" s="231">
        <v>3600</v>
      </c>
      <c r="DV202" s="231">
        <v>3500</v>
      </c>
      <c r="DW202" s="228">
        <v>0.51</v>
      </c>
      <c r="DX202" s="228">
        <v>0.37</v>
      </c>
      <c r="DY202" s="228">
        <v>0.14000000000000001</v>
      </c>
      <c r="DZ202" s="229">
        <v>0.37840000000000001</v>
      </c>
      <c r="EA202" s="229">
        <v>0.8478</v>
      </c>
      <c r="EB202" s="230">
        <v>1483250</v>
      </c>
      <c r="EC202" s="229">
        <v>5.5999999999999999E-3</v>
      </c>
      <c r="ED202" s="229">
        <v>0.8478</v>
      </c>
      <c r="EE202" s="228">
        <v>20.28</v>
      </c>
      <c r="EF202" s="229">
        <v>5.7000000000000002E-3</v>
      </c>
      <c r="EG202" s="230">
        <v>73911</v>
      </c>
      <c r="EH202" s="230">
        <v>52070</v>
      </c>
      <c r="EI202" s="229">
        <v>0.41949999999999998</v>
      </c>
      <c r="EJ202" s="229">
        <v>0.61880000000000002</v>
      </c>
      <c r="EK202" s="228">
        <v>506.99</v>
      </c>
      <c r="EL202" s="228">
        <v>245.81</v>
      </c>
      <c r="EM202" s="228">
        <v>503.49</v>
      </c>
      <c r="EN202" s="228">
        <v>40.04</v>
      </c>
      <c r="EO202" s="231">
        <v>1256.29</v>
      </c>
      <c r="EP202" s="231">
        <v>1352.41</v>
      </c>
      <c r="EQ202" s="228">
        <v>-96.12</v>
      </c>
      <c r="ER202" s="229">
        <v>-7.1099999999999997E-2</v>
      </c>
      <c r="ES202" s="228">
        <v>252.27</v>
      </c>
      <c r="ET202" s="228">
        <v>174.97</v>
      </c>
      <c r="EU202" s="228">
        <v>854.22</v>
      </c>
      <c r="EV202" s="231">
        <v>16072672</v>
      </c>
      <c r="EW202" s="231">
        <v>1281.45</v>
      </c>
      <c r="EX202" s="231">
        <v>1293.1600000000001</v>
      </c>
      <c r="EY202" s="228">
        <v>-11.71</v>
      </c>
      <c r="EZ202" s="229">
        <v>-9.1000000000000004E-3</v>
      </c>
      <c r="FA202" s="229">
        <v>0.22070000000000001</v>
      </c>
      <c r="FB202" s="227" t="s">
        <v>555</v>
      </c>
      <c r="FC202">
        <f t="shared" si="4"/>
        <v>0</v>
      </c>
    </row>
    <row r="203" spans="1:159" ht="17.25" thickBot="1" x14ac:dyDescent="0.3">
      <c r="A203" s="226">
        <v>45957</v>
      </c>
      <c r="B203" s="227" t="s">
        <v>161</v>
      </c>
      <c r="C203" s="227" t="s">
        <v>299</v>
      </c>
      <c r="D203" s="228">
        <v>375</v>
      </c>
      <c r="E203" s="228">
        <v>1</v>
      </c>
      <c r="F203" s="231">
        <v>1322.2</v>
      </c>
      <c r="G203" s="231">
        <v>1324.1</v>
      </c>
      <c r="H203" s="228">
        <v>-1.9</v>
      </c>
      <c r="I203" s="229">
        <v>-1.4E-3</v>
      </c>
      <c r="J203" s="231">
        <v>1321.7</v>
      </c>
      <c r="K203" s="231">
        <v>1325.8</v>
      </c>
      <c r="L203" s="228">
        <v>-4.0999999999999996</v>
      </c>
      <c r="M203" s="229">
        <v>-3.0999999999999999E-3</v>
      </c>
      <c r="N203" s="231">
        <v>1322.2</v>
      </c>
      <c r="O203" s="231">
        <v>1324.1</v>
      </c>
      <c r="P203" s="228">
        <v>-1.9</v>
      </c>
      <c r="Q203" s="229">
        <v>-1.4E-3</v>
      </c>
      <c r="R203" s="231">
        <v>1329.6</v>
      </c>
      <c r="S203" s="231">
        <v>1331.2</v>
      </c>
      <c r="T203" s="228">
        <v>-1.6</v>
      </c>
      <c r="U203" s="229">
        <v>-1.1999999999999999E-3</v>
      </c>
      <c r="V203" s="231">
        <v>1337.5</v>
      </c>
      <c r="W203" s="231">
        <v>1340.1</v>
      </c>
      <c r="X203" s="228">
        <v>-2.6</v>
      </c>
      <c r="Y203" s="229">
        <v>-1.9E-3</v>
      </c>
      <c r="Z203" s="228">
        <v>0.5</v>
      </c>
      <c r="AA203" s="228">
        <v>-1.7</v>
      </c>
      <c r="AB203" s="228">
        <v>2.2000000000000002</v>
      </c>
      <c r="AC203" s="229">
        <v>4.0000000000000002E-4</v>
      </c>
      <c r="AD203" s="228">
        <v>0.5</v>
      </c>
      <c r="AE203" s="228">
        <v>-1.7</v>
      </c>
      <c r="AF203" s="228">
        <v>2.2000000000000002</v>
      </c>
      <c r="AG203" s="229">
        <v>4.0000000000000002E-4</v>
      </c>
      <c r="AH203" s="228">
        <v>7.9</v>
      </c>
      <c r="AI203" s="228">
        <v>5.4</v>
      </c>
      <c r="AJ203" s="228">
        <v>2.5</v>
      </c>
      <c r="AK203" s="229">
        <v>6.0000000000000001E-3</v>
      </c>
      <c r="AL203" s="228">
        <v>15.8</v>
      </c>
      <c r="AM203" s="228">
        <v>14.3</v>
      </c>
      <c r="AN203" s="228">
        <v>1.5</v>
      </c>
      <c r="AO203" s="229">
        <v>1.2E-2</v>
      </c>
      <c r="AP203" s="231">
        <v>1324.59</v>
      </c>
      <c r="AQ203" s="231">
        <v>1332.04</v>
      </c>
      <c r="AR203" s="228">
        <v>0</v>
      </c>
      <c r="AS203" s="228">
        <v>346</v>
      </c>
      <c r="AT203" s="228">
        <v>383</v>
      </c>
      <c r="AU203" s="228">
        <v>-37</v>
      </c>
      <c r="AV203" s="229">
        <v>-9.69E-2</v>
      </c>
      <c r="AW203" s="228">
        <v>165</v>
      </c>
      <c r="AX203" s="228">
        <v>190</v>
      </c>
      <c r="AY203" s="228">
        <v>-24</v>
      </c>
      <c r="AZ203" s="229">
        <v>-0.12809999999999999</v>
      </c>
      <c r="BA203" s="228">
        <v>180</v>
      </c>
      <c r="BB203" s="228">
        <v>193</v>
      </c>
      <c r="BC203" s="228">
        <v>-13</v>
      </c>
      <c r="BD203" s="229">
        <v>-6.7299999999999999E-2</v>
      </c>
      <c r="BE203" s="228">
        <v>1</v>
      </c>
      <c r="BF203" s="228">
        <v>1</v>
      </c>
      <c r="BG203" s="228">
        <v>0</v>
      </c>
      <c r="BH203" s="229">
        <v>0.23080000000000001</v>
      </c>
      <c r="BI203" s="228">
        <v>136</v>
      </c>
      <c r="BJ203" s="228">
        <v>206</v>
      </c>
      <c r="BK203" s="228">
        <v>-70</v>
      </c>
      <c r="BL203" s="229">
        <v>-0.33889999999999998</v>
      </c>
      <c r="BM203" s="228">
        <v>85</v>
      </c>
      <c r="BN203" s="228">
        <v>130</v>
      </c>
      <c r="BO203" s="228">
        <v>-45</v>
      </c>
      <c r="BP203" s="229">
        <v>-0.34949999999999998</v>
      </c>
      <c r="BQ203" s="228">
        <v>567</v>
      </c>
      <c r="BR203" s="228">
        <v>719</v>
      </c>
      <c r="BS203" s="228">
        <v>-152</v>
      </c>
      <c r="BT203" s="229">
        <v>-0.21179999999999999</v>
      </c>
      <c r="BU203" s="230">
        <v>175902</v>
      </c>
      <c r="BV203" s="230">
        <v>371008</v>
      </c>
      <c r="BW203" s="230">
        <v>-195106</v>
      </c>
      <c r="BX203" s="229">
        <v>-0.52590000000000003</v>
      </c>
      <c r="BY203" s="228">
        <v>464</v>
      </c>
      <c r="BZ203" s="228">
        <v>462</v>
      </c>
      <c r="CA203" s="228">
        <v>2</v>
      </c>
      <c r="CB203" s="229">
        <v>5.3E-3</v>
      </c>
      <c r="CC203" s="228">
        <v>91</v>
      </c>
      <c r="CD203" s="228">
        <v>228</v>
      </c>
      <c r="CE203" s="228">
        <v>-137</v>
      </c>
      <c r="CF203" s="229">
        <v>-0.5998</v>
      </c>
      <c r="CG203" s="228">
        <v>370</v>
      </c>
      <c r="CH203" s="228">
        <v>231</v>
      </c>
      <c r="CI203" s="228">
        <v>138</v>
      </c>
      <c r="CJ203" s="229">
        <v>0.59830000000000005</v>
      </c>
      <c r="CK203" s="228">
        <v>3</v>
      </c>
      <c r="CL203" s="228">
        <v>3</v>
      </c>
      <c r="CM203" s="228">
        <v>1</v>
      </c>
      <c r="CN203" s="229">
        <v>0.193</v>
      </c>
      <c r="CO203" s="228">
        <v>167</v>
      </c>
      <c r="CP203" s="228">
        <v>182</v>
      </c>
      <c r="CQ203" s="228">
        <v>-15</v>
      </c>
      <c r="CR203" s="229">
        <v>-8.1299999999999997E-2</v>
      </c>
      <c r="CS203" s="228">
        <v>122</v>
      </c>
      <c r="CT203" s="228">
        <v>124</v>
      </c>
      <c r="CU203" s="228">
        <v>-2</v>
      </c>
      <c r="CV203" s="229">
        <v>-1.5599999999999999E-2</v>
      </c>
      <c r="CW203" s="228">
        <v>753</v>
      </c>
      <c r="CX203" s="228">
        <v>768</v>
      </c>
      <c r="CY203" s="228">
        <v>-14</v>
      </c>
      <c r="CZ203" s="229">
        <v>-1.8599999999999998E-2</v>
      </c>
      <c r="DA203" s="228">
        <v>31.57</v>
      </c>
      <c r="DB203" s="228">
        <v>31.18</v>
      </c>
      <c r="DC203" s="228">
        <v>0.39</v>
      </c>
      <c r="DD203" s="228">
        <v>0.39</v>
      </c>
      <c r="DE203" s="228">
        <v>41.63</v>
      </c>
      <c r="DF203" s="228">
        <v>41.73</v>
      </c>
      <c r="DG203" s="228">
        <v>-10.06</v>
      </c>
      <c r="DH203" s="228">
        <v>-0.1</v>
      </c>
      <c r="DI203" s="228">
        <v>31.65</v>
      </c>
      <c r="DJ203" s="228">
        <v>31.45</v>
      </c>
      <c r="DK203" s="228">
        <v>0.2</v>
      </c>
      <c r="DL203" s="228">
        <v>0.2</v>
      </c>
      <c r="DM203" s="228">
        <v>31.39</v>
      </c>
      <c r="DN203" s="228">
        <v>30.7</v>
      </c>
      <c r="DO203" s="228">
        <v>0.69</v>
      </c>
      <c r="DP203" s="228">
        <v>0.69</v>
      </c>
      <c r="DQ203" s="228">
        <v>0.73</v>
      </c>
      <c r="DR203" s="228">
        <v>0.68</v>
      </c>
      <c r="DS203" s="228">
        <v>0.05</v>
      </c>
      <c r="DT203" s="229">
        <v>7.3499999999999996E-2</v>
      </c>
      <c r="DU203" s="231">
        <v>1360</v>
      </c>
      <c r="DV203" s="231">
        <v>1300</v>
      </c>
      <c r="DW203" s="228">
        <v>0.62</v>
      </c>
      <c r="DX203" s="228">
        <v>0.63</v>
      </c>
      <c r="DY203" s="228">
        <v>-0.01</v>
      </c>
      <c r="DZ203" s="229">
        <v>-1.5900000000000001E-2</v>
      </c>
      <c r="EA203" s="229">
        <v>0.80379999999999996</v>
      </c>
      <c r="EB203" s="230">
        <v>1770750</v>
      </c>
      <c r="EC203" s="229">
        <v>5.5999999999999999E-3</v>
      </c>
      <c r="ED203" s="229">
        <v>0.80379999999999996</v>
      </c>
      <c r="EE203" s="228">
        <v>7.45</v>
      </c>
      <c r="EF203" s="229">
        <v>5.5999999999999999E-3</v>
      </c>
      <c r="EG203" s="230">
        <v>58029</v>
      </c>
      <c r="EH203" s="230">
        <v>179492</v>
      </c>
      <c r="EI203" s="229">
        <v>-0.67669999999999997</v>
      </c>
      <c r="EJ203" s="229">
        <v>0.32990000000000003</v>
      </c>
      <c r="EK203" s="228">
        <v>140.09</v>
      </c>
      <c r="EL203" s="228">
        <v>80.44</v>
      </c>
      <c r="EM203" s="228">
        <v>347.78</v>
      </c>
      <c r="EN203" s="228">
        <v>32.58</v>
      </c>
      <c r="EO203" s="228">
        <v>568.32000000000005</v>
      </c>
      <c r="EP203" s="228">
        <v>720.51</v>
      </c>
      <c r="EQ203" s="228">
        <v>-152.19</v>
      </c>
      <c r="ER203" s="229">
        <v>-0.2112</v>
      </c>
      <c r="ES203" s="228">
        <v>169.83</v>
      </c>
      <c r="ET203" s="228">
        <v>115.96</v>
      </c>
      <c r="EU203" s="228">
        <v>466.25</v>
      </c>
      <c r="EV203" s="231">
        <v>24646022</v>
      </c>
      <c r="EW203" s="228">
        <v>752.04</v>
      </c>
      <c r="EX203" s="228">
        <v>766.39</v>
      </c>
      <c r="EY203" s="228">
        <v>-14.35</v>
      </c>
      <c r="EZ203" s="229">
        <v>-1.8700000000000001E-2</v>
      </c>
      <c r="FA203" s="229">
        <v>0.23119999999999999</v>
      </c>
      <c r="FB203" s="227" t="s">
        <v>567</v>
      </c>
      <c r="FC203">
        <f t="shared" si="4"/>
        <v>0</v>
      </c>
    </row>
    <row r="204" spans="1:159" ht="17.25" thickBot="1" x14ac:dyDescent="0.3">
      <c r="A204" s="226">
        <v>45957</v>
      </c>
      <c r="B204" s="227" t="s">
        <v>197</v>
      </c>
      <c r="C204" s="227" t="s">
        <v>482</v>
      </c>
      <c r="D204" s="228">
        <v>100</v>
      </c>
      <c r="E204" s="228">
        <v>1</v>
      </c>
      <c r="F204" s="231">
        <v>4806.3</v>
      </c>
      <c r="G204" s="231">
        <v>4784.3</v>
      </c>
      <c r="H204" s="228">
        <v>22</v>
      </c>
      <c r="I204" s="229">
        <v>4.5999999999999999E-3</v>
      </c>
      <c r="J204" s="231">
        <v>4798.7</v>
      </c>
      <c r="K204" s="231">
        <v>4789.6000000000004</v>
      </c>
      <c r="L204" s="228">
        <v>9.1</v>
      </c>
      <c r="M204" s="229">
        <v>1.9E-3</v>
      </c>
      <c r="N204" s="231">
        <v>4806.3</v>
      </c>
      <c r="O204" s="231">
        <v>4784.3</v>
      </c>
      <c r="P204" s="228">
        <v>22</v>
      </c>
      <c r="Q204" s="229">
        <v>4.5999999999999999E-3</v>
      </c>
      <c r="R204" s="231">
        <v>4830.8999999999996</v>
      </c>
      <c r="S204" s="231">
        <v>4808.8</v>
      </c>
      <c r="T204" s="228">
        <v>22.1</v>
      </c>
      <c r="U204" s="229">
        <v>4.5999999999999999E-3</v>
      </c>
      <c r="V204" s="231">
        <v>4865.8999999999996</v>
      </c>
      <c r="W204" s="231">
        <v>4842.3</v>
      </c>
      <c r="X204" s="228">
        <v>23.6</v>
      </c>
      <c r="Y204" s="229">
        <v>4.8999999999999998E-3</v>
      </c>
      <c r="Z204" s="228">
        <v>7.6</v>
      </c>
      <c r="AA204" s="228">
        <v>-5.3</v>
      </c>
      <c r="AB204" s="228">
        <v>12.9</v>
      </c>
      <c r="AC204" s="229">
        <v>1.6000000000000001E-3</v>
      </c>
      <c r="AD204" s="228">
        <v>7.6</v>
      </c>
      <c r="AE204" s="228">
        <v>-5.3</v>
      </c>
      <c r="AF204" s="228">
        <v>12.9</v>
      </c>
      <c r="AG204" s="229">
        <v>1.6000000000000001E-3</v>
      </c>
      <c r="AH204" s="228">
        <v>32.200000000000003</v>
      </c>
      <c r="AI204" s="228">
        <v>19.2</v>
      </c>
      <c r="AJ204" s="228">
        <v>13</v>
      </c>
      <c r="AK204" s="229">
        <v>6.7000000000000002E-3</v>
      </c>
      <c r="AL204" s="228">
        <v>67.2</v>
      </c>
      <c r="AM204" s="228">
        <v>52.7</v>
      </c>
      <c r="AN204" s="228">
        <v>14.5</v>
      </c>
      <c r="AO204" s="229">
        <v>1.4E-2</v>
      </c>
      <c r="AP204" s="231">
        <v>4808.01</v>
      </c>
      <c r="AQ204" s="231">
        <v>4833.5200000000004</v>
      </c>
      <c r="AR204" s="228">
        <v>0</v>
      </c>
      <c r="AS204" s="230">
        <v>2333</v>
      </c>
      <c r="AT204" s="230">
        <v>2292</v>
      </c>
      <c r="AU204" s="228">
        <v>41</v>
      </c>
      <c r="AV204" s="229">
        <v>1.7899999999999999E-2</v>
      </c>
      <c r="AW204" s="230">
        <v>1152</v>
      </c>
      <c r="AX204" s="230">
        <v>1191</v>
      </c>
      <c r="AY204" s="228">
        <v>-39</v>
      </c>
      <c r="AZ204" s="229">
        <v>-3.2800000000000003E-2</v>
      </c>
      <c r="BA204" s="230">
        <v>1151</v>
      </c>
      <c r="BB204" s="230">
        <v>1090</v>
      </c>
      <c r="BC204" s="228">
        <v>61</v>
      </c>
      <c r="BD204" s="229">
        <v>5.62E-2</v>
      </c>
      <c r="BE204" s="228">
        <v>29</v>
      </c>
      <c r="BF204" s="228">
        <v>11</v>
      </c>
      <c r="BG204" s="228">
        <v>19</v>
      </c>
      <c r="BH204" s="229">
        <v>1.7864</v>
      </c>
      <c r="BI204" s="230">
        <v>3052</v>
      </c>
      <c r="BJ204" s="230">
        <v>2129</v>
      </c>
      <c r="BK204" s="228">
        <v>923</v>
      </c>
      <c r="BL204" s="229">
        <v>0.43330000000000002</v>
      </c>
      <c r="BM204" s="230">
        <v>1273</v>
      </c>
      <c r="BN204" s="228">
        <v>955</v>
      </c>
      <c r="BO204" s="228">
        <v>318</v>
      </c>
      <c r="BP204" s="229">
        <v>0.33229999999999998</v>
      </c>
      <c r="BQ204" s="230">
        <v>6658</v>
      </c>
      <c r="BR204" s="230">
        <v>5377</v>
      </c>
      <c r="BS204" s="230">
        <v>1281</v>
      </c>
      <c r="BT204" s="229">
        <v>0.23830000000000001</v>
      </c>
      <c r="BU204" s="230">
        <v>427023</v>
      </c>
      <c r="BV204" s="230">
        <v>533100</v>
      </c>
      <c r="BW204" s="230">
        <v>-106077</v>
      </c>
      <c r="BX204" s="229">
        <v>-0.19900000000000001</v>
      </c>
      <c r="BY204" s="230">
        <v>3978</v>
      </c>
      <c r="BZ204" s="230">
        <v>4027</v>
      </c>
      <c r="CA204" s="228">
        <v>-48</v>
      </c>
      <c r="CB204" s="229">
        <v>-1.2E-2</v>
      </c>
      <c r="CC204" s="228">
        <v>803</v>
      </c>
      <c r="CD204" s="230">
        <v>1664</v>
      </c>
      <c r="CE204" s="228">
        <v>-862</v>
      </c>
      <c r="CF204" s="229">
        <v>-0.51770000000000005</v>
      </c>
      <c r="CG204" s="230">
        <v>3110</v>
      </c>
      <c r="CH204" s="230">
        <v>2316</v>
      </c>
      <c r="CI204" s="228">
        <v>794</v>
      </c>
      <c r="CJ204" s="229">
        <v>0.34279999999999999</v>
      </c>
      <c r="CK204" s="228">
        <v>65</v>
      </c>
      <c r="CL204" s="228">
        <v>46</v>
      </c>
      <c r="CM204" s="228">
        <v>19</v>
      </c>
      <c r="CN204" s="229">
        <v>0.4133</v>
      </c>
      <c r="CO204" s="230">
        <v>2036</v>
      </c>
      <c r="CP204" s="230">
        <v>2385</v>
      </c>
      <c r="CQ204" s="228">
        <v>-348</v>
      </c>
      <c r="CR204" s="229">
        <v>-0.14599999999999999</v>
      </c>
      <c r="CS204" s="230">
        <v>1114</v>
      </c>
      <c r="CT204" s="230">
        <v>1198</v>
      </c>
      <c r="CU204" s="228">
        <v>-84</v>
      </c>
      <c r="CV204" s="229">
        <v>-7.0000000000000007E-2</v>
      </c>
      <c r="CW204" s="230">
        <v>7129</v>
      </c>
      <c r="CX204" s="230">
        <v>7610</v>
      </c>
      <c r="CY204" s="228">
        <v>-480</v>
      </c>
      <c r="CZ204" s="229">
        <v>-6.3100000000000003E-2</v>
      </c>
      <c r="DA204" s="228">
        <v>33.35</v>
      </c>
      <c r="DB204" s="228">
        <v>33.700000000000003</v>
      </c>
      <c r="DC204" s="228">
        <v>-0.35</v>
      </c>
      <c r="DD204" s="228">
        <v>-0.35</v>
      </c>
      <c r="DE204" s="228">
        <v>44.41</v>
      </c>
      <c r="DF204" s="228">
        <v>44.51</v>
      </c>
      <c r="DG204" s="228">
        <v>-11.06</v>
      </c>
      <c r="DH204" s="228">
        <v>-0.1</v>
      </c>
      <c r="DI204" s="228">
        <v>33.6</v>
      </c>
      <c r="DJ204" s="228">
        <v>33.86</v>
      </c>
      <c r="DK204" s="228">
        <v>-0.26</v>
      </c>
      <c r="DL204" s="228">
        <v>-0.26</v>
      </c>
      <c r="DM204" s="228">
        <v>32.93</v>
      </c>
      <c r="DN204" s="228">
        <v>33.43</v>
      </c>
      <c r="DO204" s="228">
        <v>-0.5</v>
      </c>
      <c r="DP204" s="228">
        <v>-0.5</v>
      </c>
      <c r="DQ204" s="228">
        <v>0.55000000000000004</v>
      </c>
      <c r="DR204" s="228">
        <v>0.5</v>
      </c>
      <c r="DS204" s="228">
        <v>0.05</v>
      </c>
      <c r="DT204" s="229">
        <v>0.1</v>
      </c>
      <c r="DU204" s="231">
        <v>5000</v>
      </c>
      <c r="DV204" s="231">
        <v>4500</v>
      </c>
      <c r="DW204" s="228">
        <v>0.42</v>
      </c>
      <c r="DX204" s="228">
        <v>0.45</v>
      </c>
      <c r="DY204" s="228">
        <v>-0.03</v>
      </c>
      <c r="DZ204" s="229">
        <v>-6.6699999999999995E-2</v>
      </c>
      <c r="EA204" s="229">
        <v>0.79820000000000002</v>
      </c>
      <c r="EB204" s="230">
        <v>4915400</v>
      </c>
      <c r="EC204" s="229">
        <v>5.1000000000000004E-3</v>
      </c>
      <c r="ED204" s="229">
        <v>0.79820000000000002</v>
      </c>
      <c r="EE204" s="228">
        <v>25.51</v>
      </c>
      <c r="EF204" s="229">
        <v>5.3E-3</v>
      </c>
      <c r="EG204" s="230">
        <v>207545</v>
      </c>
      <c r="EH204" s="230">
        <v>306272</v>
      </c>
      <c r="EI204" s="229">
        <v>-0.32240000000000002</v>
      </c>
      <c r="EJ204" s="229">
        <v>0.48599999999999999</v>
      </c>
      <c r="EK204" s="231">
        <v>3219.39</v>
      </c>
      <c r="EL204" s="231">
        <v>1268.47</v>
      </c>
      <c r="EM204" s="231">
        <v>2340.27</v>
      </c>
      <c r="EN204" s="228">
        <v>281.39999999999998</v>
      </c>
      <c r="EO204" s="231">
        <v>6828.13</v>
      </c>
      <c r="EP204" s="231">
        <v>5475.15</v>
      </c>
      <c r="EQ204" s="231">
        <v>1352.98</v>
      </c>
      <c r="ER204" s="229">
        <v>0.24709999999999999</v>
      </c>
      <c r="ES204" s="231">
        <v>2185.48</v>
      </c>
      <c r="ET204" s="231">
        <v>1094.71</v>
      </c>
      <c r="EU204" s="231">
        <v>3995.1</v>
      </c>
      <c r="EV204" s="231">
        <v>33590487</v>
      </c>
      <c r="EW204" s="231">
        <v>7275.28</v>
      </c>
      <c r="EX204" s="231">
        <v>7750.1</v>
      </c>
      <c r="EY204" s="228">
        <v>-474.82</v>
      </c>
      <c r="EZ204" s="229">
        <v>-6.13E-2</v>
      </c>
      <c r="FA204" s="229">
        <v>0.44159999999999999</v>
      </c>
      <c r="FB204" s="227" t="s">
        <v>556</v>
      </c>
      <c r="FC204">
        <f t="shared" si="4"/>
        <v>0</v>
      </c>
    </row>
    <row r="205" spans="1:159" ht="17.25" thickBot="1" x14ac:dyDescent="0.3">
      <c r="A205" s="226">
        <v>45957</v>
      </c>
      <c r="B205" s="227" t="s">
        <v>162</v>
      </c>
      <c r="C205" s="227" t="s">
        <v>300</v>
      </c>
      <c r="D205" s="228">
        <v>350</v>
      </c>
      <c r="E205" s="228">
        <v>1</v>
      </c>
      <c r="F205" s="231">
        <v>3636.4</v>
      </c>
      <c r="G205" s="231">
        <v>3596.2</v>
      </c>
      <c r="H205" s="228">
        <v>40.200000000000003</v>
      </c>
      <c r="I205" s="229">
        <v>1.12E-2</v>
      </c>
      <c r="J205" s="231">
        <v>3639.9</v>
      </c>
      <c r="K205" s="231">
        <v>3599.8</v>
      </c>
      <c r="L205" s="228">
        <v>40.1</v>
      </c>
      <c r="M205" s="229">
        <v>1.11E-2</v>
      </c>
      <c r="N205" s="231">
        <v>3636.4</v>
      </c>
      <c r="O205" s="231">
        <v>3596.2</v>
      </c>
      <c r="P205" s="228">
        <v>40.200000000000003</v>
      </c>
      <c r="Q205" s="229">
        <v>1.12E-2</v>
      </c>
      <c r="R205" s="231">
        <v>3657</v>
      </c>
      <c r="S205" s="231">
        <v>3616.5</v>
      </c>
      <c r="T205" s="228">
        <v>40.5</v>
      </c>
      <c r="U205" s="229">
        <v>1.12E-2</v>
      </c>
      <c r="V205" s="231">
        <v>3680</v>
      </c>
      <c r="W205" s="231">
        <v>3640.7</v>
      </c>
      <c r="X205" s="228">
        <v>39.299999999999997</v>
      </c>
      <c r="Y205" s="229">
        <v>1.0800000000000001E-2</v>
      </c>
      <c r="Z205" s="228">
        <v>-3.5</v>
      </c>
      <c r="AA205" s="228">
        <v>-3.6</v>
      </c>
      <c r="AB205" s="228">
        <v>0.1</v>
      </c>
      <c r="AC205" s="229">
        <v>-1E-3</v>
      </c>
      <c r="AD205" s="228">
        <v>-3.5</v>
      </c>
      <c r="AE205" s="228">
        <v>-3.6</v>
      </c>
      <c r="AF205" s="228">
        <v>0.1</v>
      </c>
      <c r="AG205" s="229">
        <v>-1E-3</v>
      </c>
      <c r="AH205" s="228">
        <v>17.100000000000001</v>
      </c>
      <c r="AI205" s="228">
        <v>16.7</v>
      </c>
      <c r="AJ205" s="228">
        <v>0.4</v>
      </c>
      <c r="AK205" s="229">
        <v>4.7000000000000002E-3</v>
      </c>
      <c r="AL205" s="228">
        <v>40.1</v>
      </c>
      <c r="AM205" s="228">
        <v>40.9</v>
      </c>
      <c r="AN205" s="228">
        <v>-0.8</v>
      </c>
      <c r="AO205" s="229">
        <v>1.0999999999999999E-2</v>
      </c>
      <c r="AP205" s="231">
        <v>3624.62</v>
      </c>
      <c r="AQ205" s="231">
        <v>3645.25</v>
      </c>
      <c r="AR205" s="228">
        <v>0</v>
      </c>
      <c r="AS205" s="230">
        <v>2171</v>
      </c>
      <c r="AT205" s="230">
        <v>2213</v>
      </c>
      <c r="AU205" s="228">
        <v>-41</v>
      </c>
      <c r="AV205" s="229">
        <v>-1.8599999999999998E-2</v>
      </c>
      <c r="AW205" s="230">
        <v>1002</v>
      </c>
      <c r="AX205" s="230">
        <v>1104</v>
      </c>
      <c r="AY205" s="228">
        <v>-103</v>
      </c>
      <c r="AZ205" s="229">
        <v>-9.3100000000000002E-2</v>
      </c>
      <c r="BA205" s="230">
        <v>1155</v>
      </c>
      <c r="BB205" s="230">
        <v>1106</v>
      </c>
      <c r="BC205" s="228">
        <v>49</v>
      </c>
      <c r="BD205" s="229">
        <v>4.4499999999999998E-2</v>
      </c>
      <c r="BE205" s="228">
        <v>15</v>
      </c>
      <c r="BF205" s="228">
        <v>2</v>
      </c>
      <c r="BG205" s="228">
        <v>12</v>
      </c>
      <c r="BH205" s="229">
        <v>5.1578999999999997</v>
      </c>
      <c r="BI205" s="230">
        <v>1688</v>
      </c>
      <c r="BJ205" s="230">
        <v>1322</v>
      </c>
      <c r="BK205" s="228">
        <v>366</v>
      </c>
      <c r="BL205" s="229">
        <v>0.27710000000000001</v>
      </c>
      <c r="BM205" s="228">
        <v>839</v>
      </c>
      <c r="BN205" s="228">
        <v>786</v>
      </c>
      <c r="BO205" s="228">
        <v>53</v>
      </c>
      <c r="BP205" s="229">
        <v>6.7599999999999993E-2</v>
      </c>
      <c r="BQ205" s="230">
        <v>4698</v>
      </c>
      <c r="BR205" s="230">
        <v>4320</v>
      </c>
      <c r="BS205" s="228">
        <v>378</v>
      </c>
      <c r="BT205" s="229">
        <v>8.7599999999999997E-2</v>
      </c>
      <c r="BU205" s="230">
        <v>373627</v>
      </c>
      <c r="BV205" s="230">
        <v>462418</v>
      </c>
      <c r="BW205" s="230">
        <v>-88791</v>
      </c>
      <c r="BX205" s="229">
        <v>-0.192</v>
      </c>
      <c r="BY205" s="230">
        <v>3428</v>
      </c>
      <c r="BZ205" s="230">
        <v>3388</v>
      </c>
      <c r="CA205" s="228">
        <v>39</v>
      </c>
      <c r="CB205" s="229">
        <v>1.1599999999999999E-2</v>
      </c>
      <c r="CC205" s="228">
        <v>580</v>
      </c>
      <c r="CD205" s="230">
        <v>1355</v>
      </c>
      <c r="CE205" s="228">
        <v>-775</v>
      </c>
      <c r="CF205" s="229">
        <v>-0.57179999999999997</v>
      </c>
      <c r="CG205" s="230">
        <v>2830</v>
      </c>
      <c r="CH205" s="230">
        <v>2021</v>
      </c>
      <c r="CI205" s="228">
        <v>809</v>
      </c>
      <c r="CJ205" s="229">
        <v>0.40039999999999998</v>
      </c>
      <c r="CK205" s="228">
        <v>17</v>
      </c>
      <c r="CL205" s="228">
        <v>12</v>
      </c>
      <c r="CM205" s="228">
        <v>5</v>
      </c>
      <c r="CN205" s="229">
        <v>0.37109999999999999</v>
      </c>
      <c r="CO205" s="228">
        <v>938</v>
      </c>
      <c r="CP205" s="228">
        <v>935</v>
      </c>
      <c r="CQ205" s="228">
        <v>3</v>
      </c>
      <c r="CR205" s="229">
        <v>2.8999999999999998E-3</v>
      </c>
      <c r="CS205" s="228">
        <v>687</v>
      </c>
      <c r="CT205" s="228">
        <v>743</v>
      </c>
      <c r="CU205" s="228">
        <v>-56</v>
      </c>
      <c r="CV205" s="229">
        <v>-7.5499999999999998E-2</v>
      </c>
      <c r="CW205" s="230">
        <v>5053</v>
      </c>
      <c r="CX205" s="230">
        <v>5067</v>
      </c>
      <c r="CY205" s="228">
        <v>-14</v>
      </c>
      <c r="CZ205" s="229">
        <v>-2.8E-3</v>
      </c>
      <c r="DA205" s="228">
        <v>28.73</v>
      </c>
      <c r="DB205" s="228">
        <v>27.63</v>
      </c>
      <c r="DC205" s="228">
        <v>1.1000000000000001</v>
      </c>
      <c r="DD205" s="228">
        <v>1.1000000000000001</v>
      </c>
      <c r="DE205" s="228">
        <v>30.93</v>
      </c>
      <c r="DF205" s="228">
        <v>30.97</v>
      </c>
      <c r="DG205" s="228">
        <v>-2.2000000000000002</v>
      </c>
      <c r="DH205" s="228">
        <v>-0.04</v>
      </c>
      <c r="DI205" s="228">
        <v>28.91</v>
      </c>
      <c r="DJ205" s="228">
        <v>27.68</v>
      </c>
      <c r="DK205" s="228">
        <v>1.23</v>
      </c>
      <c r="DL205" s="228">
        <v>1.23</v>
      </c>
      <c r="DM205" s="228">
        <v>28.3</v>
      </c>
      <c r="DN205" s="228">
        <v>27.58</v>
      </c>
      <c r="DO205" s="228">
        <v>0.72</v>
      </c>
      <c r="DP205" s="228">
        <v>0.72</v>
      </c>
      <c r="DQ205" s="228">
        <v>0.73</v>
      </c>
      <c r="DR205" s="228">
        <v>0.79</v>
      </c>
      <c r="DS205" s="228">
        <v>-0.06</v>
      </c>
      <c r="DT205" s="229">
        <v>-7.5899999999999995E-2</v>
      </c>
      <c r="DU205" s="231">
        <v>3700</v>
      </c>
      <c r="DV205" s="231">
        <v>3500</v>
      </c>
      <c r="DW205" s="228">
        <v>0.5</v>
      </c>
      <c r="DX205" s="228">
        <v>0.59</v>
      </c>
      <c r="DY205" s="228">
        <v>-0.09</v>
      </c>
      <c r="DZ205" s="229">
        <v>-0.1525</v>
      </c>
      <c r="EA205" s="229">
        <v>0.83069999999999999</v>
      </c>
      <c r="EB205" s="230">
        <v>5591950</v>
      </c>
      <c r="EC205" s="229">
        <v>5.7000000000000002E-3</v>
      </c>
      <c r="ED205" s="229">
        <v>0.83069999999999999</v>
      </c>
      <c r="EE205" s="228">
        <v>20.63</v>
      </c>
      <c r="EF205" s="229">
        <v>5.7000000000000002E-3</v>
      </c>
      <c r="EG205" s="230">
        <v>231660</v>
      </c>
      <c r="EH205" s="230">
        <v>266282</v>
      </c>
      <c r="EI205" s="229">
        <v>-0.13</v>
      </c>
      <c r="EJ205" s="229">
        <v>0.62</v>
      </c>
      <c r="EK205" s="231">
        <v>1753.67</v>
      </c>
      <c r="EL205" s="228">
        <v>810.8</v>
      </c>
      <c r="EM205" s="231">
        <v>2171.08</v>
      </c>
      <c r="EN205" s="228">
        <v>99.59</v>
      </c>
      <c r="EO205" s="231">
        <v>4735.5600000000004</v>
      </c>
      <c r="EP205" s="231">
        <v>4325.75</v>
      </c>
      <c r="EQ205" s="228">
        <v>409.81</v>
      </c>
      <c r="ER205" s="229">
        <v>9.4700000000000006E-2</v>
      </c>
      <c r="ES205" s="228">
        <v>960.14</v>
      </c>
      <c r="ET205" s="228">
        <v>645.42999999999995</v>
      </c>
      <c r="EU205" s="231">
        <v>3443.85</v>
      </c>
      <c r="EV205" s="231">
        <v>35369445</v>
      </c>
      <c r="EW205" s="231">
        <v>5049.42</v>
      </c>
      <c r="EX205" s="231">
        <v>5013.04</v>
      </c>
      <c r="EY205" s="228">
        <v>36.380000000000003</v>
      </c>
      <c r="EZ205" s="229">
        <v>7.3000000000000001E-3</v>
      </c>
      <c r="FA205" s="229">
        <v>0.39290000000000003</v>
      </c>
      <c r="FB205" s="227" t="s">
        <v>555</v>
      </c>
      <c r="FC205">
        <f t="shared" si="4"/>
        <v>0</v>
      </c>
    </row>
    <row r="206" spans="1:159" ht="17.25" thickBot="1" x14ac:dyDescent="0.3">
      <c r="A206" s="226">
        <v>45957</v>
      </c>
      <c r="B206" s="227" t="s">
        <v>157</v>
      </c>
      <c r="C206" s="227" t="s">
        <v>302</v>
      </c>
      <c r="D206" s="228">
        <v>50</v>
      </c>
      <c r="E206" s="228">
        <v>1</v>
      </c>
      <c r="F206" s="231">
        <v>12036</v>
      </c>
      <c r="G206" s="231">
        <v>11930</v>
      </c>
      <c r="H206" s="228">
        <v>106</v>
      </c>
      <c r="I206" s="229">
        <v>8.8999999999999999E-3</v>
      </c>
      <c r="J206" s="231">
        <v>12015</v>
      </c>
      <c r="K206" s="231">
        <v>11918</v>
      </c>
      <c r="L206" s="228">
        <v>97</v>
      </c>
      <c r="M206" s="229">
        <v>8.0999999999999996E-3</v>
      </c>
      <c r="N206" s="231">
        <v>12036</v>
      </c>
      <c r="O206" s="231">
        <v>11930</v>
      </c>
      <c r="P206" s="228">
        <v>106</v>
      </c>
      <c r="Q206" s="229">
        <v>8.8999999999999999E-3</v>
      </c>
      <c r="R206" s="231">
        <v>12102</v>
      </c>
      <c r="S206" s="231">
        <v>11997</v>
      </c>
      <c r="T206" s="228">
        <v>105</v>
      </c>
      <c r="U206" s="229">
        <v>8.8000000000000005E-3</v>
      </c>
      <c r="V206" s="231">
        <v>12181</v>
      </c>
      <c r="W206" s="231">
        <v>12078</v>
      </c>
      <c r="X206" s="228">
        <v>103</v>
      </c>
      <c r="Y206" s="229">
        <v>8.5000000000000006E-3</v>
      </c>
      <c r="Z206" s="228">
        <v>21</v>
      </c>
      <c r="AA206" s="228">
        <v>12</v>
      </c>
      <c r="AB206" s="228">
        <v>9</v>
      </c>
      <c r="AC206" s="229">
        <v>1.6999999999999999E-3</v>
      </c>
      <c r="AD206" s="228">
        <v>21</v>
      </c>
      <c r="AE206" s="228">
        <v>12</v>
      </c>
      <c r="AF206" s="228">
        <v>9</v>
      </c>
      <c r="AG206" s="229">
        <v>1.6999999999999999E-3</v>
      </c>
      <c r="AH206" s="228">
        <v>87</v>
      </c>
      <c r="AI206" s="228">
        <v>79</v>
      </c>
      <c r="AJ206" s="228">
        <v>8</v>
      </c>
      <c r="AK206" s="229">
        <v>7.1999999999999998E-3</v>
      </c>
      <c r="AL206" s="228">
        <v>166</v>
      </c>
      <c r="AM206" s="228">
        <v>160</v>
      </c>
      <c r="AN206" s="228">
        <v>6</v>
      </c>
      <c r="AO206" s="229">
        <v>1.38E-2</v>
      </c>
      <c r="AP206" s="231">
        <v>12001.39</v>
      </c>
      <c r="AQ206" s="231">
        <v>12068.32</v>
      </c>
      <c r="AR206" s="228">
        <v>0</v>
      </c>
      <c r="AS206" s="230">
        <v>1958</v>
      </c>
      <c r="AT206" s="230">
        <v>1848</v>
      </c>
      <c r="AU206" s="228">
        <v>110</v>
      </c>
      <c r="AV206" s="229">
        <v>5.9499999999999997E-2</v>
      </c>
      <c r="AW206" s="228">
        <v>919</v>
      </c>
      <c r="AX206" s="228">
        <v>894</v>
      </c>
      <c r="AY206" s="228">
        <v>25</v>
      </c>
      <c r="AZ206" s="229">
        <v>2.7900000000000001E-2</v>
      </c>
      <c r="BA206" s="230">
        <v>1028</v>
      </c>
      <c r="BB206" s="228">
        <v>945</v>
      </c>
      <c r="BC206" s="228">
        <v>83</v>
      </c>
      <c r="BD206" s="229">
        <v>8.7900000000000006E-2</v>
      </c>
      <c r="BE206" s="228">
        <v>10</v>
      </c>
      <c r="BF206" s="228">
        <v>8</v>
      </c>
      <c r="BG206" s="228">
        <v>2</v>
      </c>
      <c r="BH206" s="229">
        <v>0.22059999999999999</v>
      </c>
      <c r="BI206" s="230">
        <v>2197</v>
      </c>
      <c r="BJ206" s="230">
        <v>2529</v>
      </c>
      <c r="BK206" s="228">
        <v>-332</v>
      </c>
      <c r="BL206" s="229">
        <v>-0.13120000000000001</v>
      </c>
      <c r="BM206" s="230">
        <v>1165</v>
      </c>
      <c r="BN206" s="230">
        <v>1755</v>
      </c>
      <c r="BO206" s="228">
        <v>-590</v>
      </c>
      <c r="BP206" s="229">
        <v>-0.33610000000000001</v>
      </c>
      <c r="BQ206" s="230">
        <v>5319</v>
      </c>
      <c r="BR206" s="230">
        <v>6131</v>
      </c>
      <c r="BS206" s="228">
        <v>-812</v>
      </c>
      <c r="BT206" s="229">
        <v>-0.13239999999999999</v>
      </c>
      <c r="BU206" s="230">
        <v>464806</v>
      </c>
      <c r="BV206" s="230">
        <v>399375</v>
      </c>
      <c r="BW206" s="230">
        <v>65431</v>
      </c>
      <c r="BX206" s="229">
        <v>0.1638</v>
      </c>
      <c r="BY206" s="230">
        <v>3022</v>
      </c>
      <c r="BZ206" s="230">
        <v>2985</v>
      </c>
      <c r="CA206" s="228">
        <v>37</v>
      </c>
      <c r="CB206" s="229">
        <v>1.24E-2</v>
      </c>
      <c r="CC206" s="228">
        <v>621</v>
      </c>
      <c r="CD206" s="230">
        <v>1305</v>
      </c>
      <c r="CE206" s="228">
        <v>-684</v>
      </c>
      <c r="CF206" s="229">
        <v>-0.5242</v>
      </c>
      <c r="CG206" s="230">
        <v>2381</v>
      </c>
      <c r="CH206" s="230">
        <v>1665</v>
      </c>
      <c r="CI206" s="228">
        <v>716</v>
      </c>
      <c r="CJ206" s="229">
        <v>0.43020000000000003</v>
      </c>
      <c r="CK206" s="228">
        <v>20</v>
      </c>
      <c r="CL206" s="228">
        <v>15</v>
      </c>
      <c r="CM206" s="228">
        <v>5</v>
      </c>
      <c r="CN206" s="229">
        <v>0.29299999999999998</v>
      </c>
      <c r="CO206" s="228">
        <v>994</v>
      </c>
      <c r="CP206" s="230">
        <v>1134</v>
      </c>
      <c r="CQ206" s="228">
        <v>-140</v>
      </c>
      <c r="CR206" s="229">
        <v>-0.1232</v>
      </c>
      <c r="CS206" s="228">
        <v>593</v>
      </c>
      <c r="CT206" s="228">
        <v>607</v>
      </c>
      <c r="CU206" s="228">
        <v>-14</v>
      </c>
      <c r="CV206" s="229">
        <v>-2.2700000000000001E-2</v>
      </c>
      <c r="CW206" s="230">
        <v>4609</v>
      </c>
      <c r="CX206" s="230">
        <v>4726</v>
      </c>
      <c r="CY206" s="228">
        <v>-117</v>
      </c>
      <c r="CZ206" s="229">
        <v>-2.47E-2</v>
      </c>
      <c r="DA206" s="228">
        <v>18.86</v>
      </c>
      <c r="DB206" s="228">
        <v>19.63</v>
      </c>
      <c r="DC206" s="228">
        <v>-0.77</v>
      </c>
      <c r="DD206" s="228">
        <v>-0.77</v>
      </c>
      <c r="DE206" s="228">
        <v>25.3</v>
      </c>
      <c r="DF206" s="228">
        <v>25.34</v>
      </c>
      <c r="DG206" s="228">
        <v>-6.44</v>
      </c>
      <c r="DH206" s="228">
        <v>-0.04</v>
      </c>
      <c r="DI206" s="228">
        <v>18.93</v>
      </c>
      <c r="DJ206" s="228">
        <v>19.809999999999999</v>
      </c>
      <c r="DK206" s="228">
        <v>-0.88</v>
      </c>
      <c r="DL206" s="228">
        <v>-0.88</v>
      </c>
      <c r="DM206" s="228">
        <v>18.73</v>
      </c>
      <c r="DN206" s="228">
        <v>19.34</v>
      </c>
      <c r="DO206" s="228">
        <v>-0.61</v>
      </c>
      <c r="DP206" s="228">
        <v>-0.61</v>
      </c>
      <c r="DQ206" s="228">
        <v>0.6</v>
      </c>
      <c r="DR206" s="228">
        <v>0.54</v>
      </c>
      <c r="DS206" s="228">
        <v>0.06</v>
      </c>
      <c r="DT206" s="229">
        <v>0.1111</v>
      </c>
      <c r="DU206" s="231">
        <v>13000</v>
      </c>
      <c r="DV206" s="231">
        <v>12200</v>
      </c>
      <c r="DW206" s="228">
        <v>0.53</v>
      </c>
      <c r="DX206" s="228">
        <v>0.69</v>
      </c>
      <c r="DY206" s="228">
        <v>-0.16</v>
      </c>
      <c r="DZ206" s="229">
        <v>-0.2319</v>
      </c>
      <c r="EA206" s="229">
        <v>0.79459999999999997</v>
      </c>
      <c r="EB206" s="230">
        <v>1396100</v>
      </c>
      <c r="EC206" s="229">
        <v>5.4999999999999997E-3</v>
      </c>
      <c r="ED206" s="229">
        <v>0.79459999999999997</v>
      </c>
      <c r="EE206" s="228">
        <v>66.930000000000007</v>
      </c>
      <c r="EF206" s="229">
        <v>5.5999999999999999E-3</v>
      </c>
      <c r="EG206" s="230">
        <v>381416</v>
      </c>
      <c r="EH206" s="230">
        <v>301744</v>
      </c>
      <c r="EI206" s="229">
        <v>0.26400000000000001</v>
      </c>
      <c r="EJ206" s="229">
        <v>0.8206</v>
      </c>
      <c r="EK206" s="231">
        <v>2258.86</v>
      </c>
      <c r="EL206" s="231">
        <v>1154.92</v>
      </c>
      <c r="EM206" s="231">
        <v>1957.74</v>
      </c>
      <c r="EN206" s="228">
        <v>178.39</v>
      </c>
      <c r="EO206" s="231">
        <v>5371.52</v>
      </c>
      <c r="EP206" s="231">
        <v>6196.3</v>
      </c>
      <c r="EQ206" s="228">
        <v>-824.78</v>
      </c>
      <c r="ER206" s="229">
        <v>-0.1331</v>
      </c>
      <c r="ES206" s="231">
        <v>1045.3699999999999</v>
      </c>
      <c r="ET206" s="228">
        <v>580.63</v>
      </c>
      <c r="EU206" s="231">
        <v>3035.12</v>
      </c>
      <c r="EV206" s="231">
        <v>11962066</v>
      </c>
      <c r="EW206" s="231">
        <v>4661.12</v>
      </c>
      <c r="EX206" s="231">
        <v>4751.93</v>
      </c>
      <c r="EY206" s="228">
        <v>-90.81</v>
      </c>
      <c r="EZ206" s="229">
        <v>-1.9099999999999999E-2</v>
      </c>
      <c r="FA206" s="229">
        <v>0.3201</v>
      </c>
      <c r="FB206" s="227" t="s">
        <v>555</v>
      </c>
      <c r="FC206">
        <f t="shared" si="4"/>
        <v>0</v>
      </c>
    </row>
    <row r="207" spans="1:159" ht="17.25" thickBot="1" x14ac:dyDescent="0.3">
      <c r="A207" s="226">
        <v>45957</v>
      </c>
      <c r="B207" s="227" t="s">
        <v>172</v>
      </c>
      <c r="C207" s="227" t="s">
        <v>593</v>
      </c>
      <c r="D207" s="228">
        <v>4425</v>
      </c>
      <c r="E207" s="228">
        <v>1</v>
      </c>
      <c r="F207" s="228">
        <v>144.93</v>
      </c>
      <c r="G207" s="228">
        <v>141.6</v>
      </c>
      <c r="H207" s="228">
        <v>3.33</v>
      </c>
      <c r="I207" s="229">
        <v>2.35E-2</v>
      </c>
      <c r="J207" s="228">
        <v>144.96</v>
      </c>
      <c r="K207" s="228">
        <v>141.77000000000001</v>
      </c>
      <c r="L207" s="228">
        <v>3.19</v>
      </c>
      <c r="M207" s="229">
        <v>2.2499999999999999E-2</v>
      </c>
      <c r="N207" s="228">
        <v>144.93</v>
      </c>
      <c r="O207" s="228">
        <v>141.6</v>
      </c>
      <c r="P207" s="228">
        <v>3.33</v>
      </c>
      <c r="Q207" s="229">
        <v>2.35E-2</v>
      </c>
      <c r="R207" s="228">
        <v>146.11000000000001</v>
      </c>
      <c r="S207" s="228">
        <v>142.4</v>
      </c>
      <c r="T207" s="228">
        <v>3.71</v>
      </c>
      <c r="U207" s="229">
        <v>2.6100000000000002E-2</v>
      </c>
      <c r="V207" s="228">
        <v>146.99</v>
      </c>
      <c r="W207" s="228">
        <v>143.26</v>
      </c>
      <c r="X207" s="228">
        <v>3.73</v>
      </c>
      <c r="Y207" s="229">
        <v>2.5999999999999999E-2</v>
      </c>
      <c r="Z207" s="228">
        <v>-0.03</v>
      </c>
      <c r="AA207" s="228">
        <v>-0.17</v>
      </c>
      <c r="AB207" s="228">
        <v>0.14000000000000001</v>
      </c>
      <c r="AC207" s="229">
        <v>-2.0000000000000001E-4</v>
      </c>
      <c r="AD207" s="228">
        <v>-0.03</v>
      </c>
      <c r="AE207" s="228">
        <v>-0.17</v>
      </c>
      <c r="AF207" s="228">
        <v>0.14000000000000001</v>
      </c>
      <c r="AG207" s="229">
        <v>-2.0000000000000001E-4</v>
      </c>
      <c r="AH207" s="228">
        <v>1.1499999999999999</v>
      </c>
      <c r="AI207" s="228">
        <v>0.63</v>
      </c>
      <c r="AJ207" s="228">
        <v>0.52</v>
      </c>
      <c r="AK207" s="229">
        <v>7.9000000000000008E-3</v>
      </c>
      <c r="AL207" s="228">
        <v>2.0299999999999998</v>
      </c>
      <c r="AM207" s="228">
        <v>1.49</v>
      </c>
      <c r="AN207" s="228">
        <v>0.54</v>
      </c>
      <c r="AO207" s="229">
        <v>1.4E-2</v>
      </c>
      <c r="AP207" s="228">
        <v>143.77000000000001</v>
      </c>
      <c r="AQ207" s="228">
        <v>144.76</v>
      </c>
      <c r="AR207" s="228">
        <v>0</v>
      </c>
      <c r="AS207" s="230">
        <v>1006</v>
      </c>
      <c r="AT207" s="228">
        <v>918</v>
      </c>
      <c r="AU207" s="228">
        <v>88</v>
      </c>
      <c r="AV207" s="229">
        <v>9.5799999999999996E-2</v>
      </c>
      <c r="AW207" s="228">
        <v>424</v>
      </c>
      <c r="AX207" s="228">
        <v>447</v>
      </c>
      <c r="AY207" s="228">
        <v>-23</v>
      </c>
      <c r="AZ207" s="229">
        <v>-5.1400000000000001E-2</v>
      </c>
      <c r="BA207" s="228">
        <v>571</v>
      </c>
      <c r="BB207" s="228">
        <v>465</v>
      </c>
      <c r="BC207" s="228">
        <v>106</v>
      </c>
      <c r="BD207" s="229">
        <v>0.2273</v>
      </c>
      <c r="BE207" s="228">
        <v>10</v>
      </c>
      <c r="BF207" s="228">
        <v>5</v>
      </c>
      <c r="BG207" s="228">
        <v>5</v>
      </c>
      <c r="BH207" s="229">
        <v>1</v>
      </c>
      <c r="BI207" s="228">
        <v>592</v>
      </c>
      <c r="BJ207" s="228">
        <v>435</v>
      </c>
      <c r="BK207" s="228">
        <v>157</v>
      </c>
      <c r="BL207" s="229">
        <v>0.36180000000000001</v>
      </c>
      <c r="BM207" s="228">
        <v>260</v>
      </c>
      <c r="BN207" s="228">
        <v>253</v>
      </c>
      <c r="BO207" s="228">
        <v>7</v>
      </c>
      <c r="BP207" s="229">
        <v>2.8400000000000002E-2</v>
      </c>
      <c r="BQ207" s="230">
        <v>1858</v>
      </c>
      <c r="BR207" s="230">
        <v>1605</v>
      </c>
      <c r="BS207" s="228">
        <v>252</v>
      </c>
      <c r="BT207" s="229">
        <v>0.1573</v>
      </c>
      <c r="BU207" s="230">
        <v>10531121</v>
      </c>
      <c r="BV207" s="230">
        <v>5869904</v>
      </c>
      <c r="BW207" s="230">
        <v>4661217</v>
      </c>
      <c r="BX207" s="229">
        <v>0.79410000000000003</v>
      </c>
      <c r="BY207" s="230">
        <v>1176</v>
      </c>
      <c r="BZ207" s="230">
        <v>1134</v>
      </c>
      <c r="CA207" s="228">
        <v>41</v>
      </c>
      <c r="CB207" s="229">
        <v>3.6499999999999998E-2</v>
      </c>
      <c r="CC207" s="228">
        <v>118</v>
      </c>
      <c r="CD207" s="228">
        <v>389</v>
      </c>
      <c r="CE207" s="228">
        <v>-271</v>
      </c>
      <c r="CF207" s="229">
        <v>-0.69699999999999995</v>
      </c>
      <c r="CG207" s="230">
        <v>1043</v>
      </c>
      <c r="CH207" s="228">
        <v>734</v>
      </c>
      <c r="CI207" s="228">
        <v>309</v>
      </c>
      <c r="CJ207" s="229">
        <v>0.42020000000000002</v>
      </c>
      <c r="CK207" s="228">
        <v>15</v>
      </c>
      <c r="CL207" s="228">
        <v>11</v>
      </c>
      <c r="CM207" s="228">
        <v>4</v>
      </c>
      <c r="CN207" s="229">
        <v>0.32579999999999998</v>
      </c>
      <c r="CO207" s="228">
        <v>421</v>
      </c>
      <c r="CP207" s="228">
        <v>425</v>
      </c>
      <c r="CQ207" s="228">
        <v>-4</v>
      </c>
      <c r="CR207" s="229">
        <v>-0.01</v>
      </c>
      <c r="CS207" s="228">
        <v>311</v>
      </c>
      <c r="CT207" s="228">
        <v>296</v>
      </c>
      <c r="CU207" s="228">
        <v>15</v>
      </c>
      <c r="CV207" s="229">
        <v>5.0099999999999999E-2</v>
      </c>
      <c r="CW207" s="230">
        <v>1907</v>
      </c>
      <c r="CX207" s="230">
        <v>1855</v>
      </c>
      <c r="CY207" s="228">
        <v>52</v>
      </c>
      <c r="CZ207" s="229">
        <v>2.8000000000000001E-2</v>
      </c>
      <c r="DA207" s="228">
        <v>33.200000000000003</v>
      </c>
      <c r="DB207" s="228">
        <v>30.9</v>
      </c>
      <c r="DC207" s="228">
        <v>2.2999999999999998</v>
      </c>
      <c r="DD207" s="228">
        <v>2.2999999999999998</v>
      </c>
      <c r="DE207" s="228">
        <v>42.34</v>
      </c>
      <c r="DF207" s="228">
        <v>42.33</v>
      </c>
      <c r="DG207" s="228">
        <v>-9.14</v>
      </c>
      <c r="DH207" s="228">
        <v>0.01</v>
      </c>
      <c r="DI207" s="228">
        <v>33.26</v>
      </c>
      <c r="DJ207" s="228">
        <v>31.19</v>
      </c>
      <c r="DK207" s="228">
        <v>2.0699999999999998</v>
      </c>
      <c r="DL207" s="228">
        <v>2.0699999999999998</v>
      </c>
      <c r="DM207" s="228">
        <v>33.049999999999997</v>
      </c>
      <c r="DN207" s="228">
        <v>30.34</v>
      </c>
      <c r="DO207" s="228">
        <v>2.71</v>
      </c>
      <c r="DP207" s="228">
        <v>2.71</v>
      </c>
      <c r="DQ207" s="228">
        <v>0.74</v>
      </c>
      <c r="DR207" s="228">
        <v>0.7</v>
      </c>
      <c r="DS207" s="228">
        <v>0.04</v>
      </c>
      <c r="DT207" s="229">
        <v>5.7099999999999998E-2</v>
      </c>
      <c r="DU207" s="228">
        <v>150</v>
      </c>
      <c r="DV207" s="228">
        <v>145</v>
      </c>
      <c r="DW207" s="228">
        <v>0.44</v>
      </c>
      <c r="DX207" s="228">
        <v>0.57999999999999996</v>
      </c>
      <c r="DY207" s="228">
        <v>-0.14000000000000001</v>
      </c>
      <c r="DZ207" s="229">
        <v>-0.2414</v>
      </c>
      <c r="EA207" s="229">
        <v>0.89980000000000004</v>
      </c>
      <c r="EB207" s="230">
        <v>51449475</v>
      </c>
      <c r="EC207" s="229">
        <v>8.0999999999999996E-3</v>
      </c>
      <c r="ED207" s="229">
        <v>0.89980000000000004</v>
      </c>
      <c r="EE207" s="228">
        <v>0.99</v>
      </c>
      <c r="EF207" s="229">
        <v>6.8999999999999999E-3</v>
      </c>
      <c r="EG207" s="230">
        <v>5380757</v>
      </c>
      <c r="EH207" s="230">
        <v>2343287</v>
      </c>
      <c r="EI207" s="229">
        <v>1.2962</v>
      </c>
      <c r="EJ207" s="229">
        <v>0.51090000000000002</v>
      </c>
      <c r="EK207" s="228">
        <v>611.57000000000005</v>
      </c>
      <c r="EL207" s="228">
        <v>255.06</v>
      </c>
      <c r="EM207" s="231">
        <v>1001.49</v>
      </c>
      <c r="EN207" s="228">
        <v>93.16</v>
      </c>
      <c r="EO207" s="231">
        <v>1868.12</v>
      </c>
      <c r="EP207" s="231">
        <v>1595.53</v>
      </c>
      <c r="EQ207" s="228">
        <v>272.58</v>
      </c>
      <c r="ER207" s="229">
        <v>0.17080000000000001</v>
      </c>
      <c r="ES207" s="228">
        <v>425.52</v>
      </c>
      <c r="ET207" s="228">
        <v>294.64999999999998</v>
      </c>
      <c r="EU207" s="231">
        <v>1184.3599999999999</v>
      </c>
      <c r="EV207" s="231">
        <v>289041713</v>
      </c>
      <c r="EW207" s="231">
        <v>1904.54</v>
      </c>
      <c r="EX207" s="231">
        <v>1820.49</v>
      </c>
      <c r="EY207" s="228">
        <v>84.05</v>
      </c>
      <c r="EZ207" s="229">
        <v>4.6199999999999998E-2</v>
      </c>
      <c r="FA207" s="229">
        <v>0.45519999999999999</v>
      </c>
      <c r="FB207" s="227" t="s">
        <v>555</v>
      </c>
      <c r="FC207">
        <f t="shared" si="4"/>
        <v>0</v>
      </c>
    </row>
    <row r="208" spans="1:159" ht="17.25" thickBot="1" x14ac:dyDescent="0.3">
      <c r="A208" s="226">
        <v>45957</v>
      </c>
      <c r="B208" s="227" t="s">
        <v>168</v>
      </c>
      <c r="C208" s="227" t="s">
        <v>569</v>
      </c>
      <c r="D208" s="228">
        <v>400</v>
      </c>
      <c r="E208" s="228">
        <v>1</v>
      </c>
      <c r="F208" s="231">
        <v>1351.8</v>
      </c>
      <c r="G208" s="231">
        <v>1355.8</v>
      </c>
      <c r="H208" s="228">
        <v>-4</v>
      </c>
      <c r="I208" s="229">
        <v>-3.0000000000000001E-3</v>
      </c>
      <c r="J208" s="231">
        <v>1353.1</v>
      </c>
      <c r="K208" s="231">
        <v>1357.4</v>
      </c>
      <c r="L208" s="228">
        <v>-4.3</v>
      </c>
      <c r="M208" s="229">
        <v>-3.2000000000000002E-3</v>
      </c>
      <c r="N208" s="231">
        <v>1351.8</v>
      </c>
      <c r="O208" s="231">
        <v>1355.8</v>
      </c>
      <c r="P208" s="228">
        <v>-4</v>
      </c>
      <c r="Q208" s="229">
        <v>-3.0000000000000001E-3</v>
      </c>
      <c r="R208" s="231">
        <v>1359</v>
      </c>
      <c r="S208" s="231">
        <v>1362.8</v>
      </c>
      <c r="T208" s="228">
        <v>-3.8</v>
      </c>
      <c r="U208" s="229">
        <v>-2.8E-3</v>
      </c>
      <c r="V208" s="231">
        <v>1368.1</v>
      </c>
      <c r="W208" s="231">
        <v>1370.2</v>
      </c>
      <c r="X208" s="228">
        <v>-2.1</v>
      </c>
      <c r="Y208" s="229">
        <v>-1.5E-3</v>
      </c>
      <c r="Z208" s="228">
        <v>-1.3</v>
      </c>
      <c r="AA208" s="228">
        <v>-1.6</v>
      </c>
      <c r="AB208" s="228">
        <v>0.3</v>
      </c>
      <c r="AC208" s="229">
        <v>-1E-3</v>
      </c>
      <c r="AD208" s="228">
        <v>-1.3</v>
      </c>
      <c r="AE208" s="228">
        <v>-1.6</v>
      </c>
      <c r="AF208" s="228">
        <v>0.3</v>
      </c>
      <c r="AG208" s="229">
        <v>-1E-3</v>
      </c>
      <c r="AH208" s="228">
        <v>5.9</v>
      </c>
      <c r="AI208" s="228">
        <v>5.4</v>
      </c>
      <c r="AJ208" s="228">
        <v>0.5</v>
      </c>
      <c r="AK208" s="229">
        <v>4.4000000000000003E-3</v>
      </c>
      <c r="AL208" s="228">
        <v>15</v>
      </c>
      <c r="AM208" s="228">
        <v>12.8</v>
      </c>
      <c r="AN208" s="228">
        <v>2.2000000000000002</v>
      </c>
      <c r="AO208" s="229">
        <v>1.11E-2</v>
      </c>
      <c r="AP208" s="231">
        <v>1351.09</v>
      </c>
      <c r="AQ208" s="231">
        <v>1358.55</v>
      </c>
      <c r="AR208" s="228">
        <v>0</v>
      </c>
      <c r="AS208" s="228">
        <v>855</v>
      </c>
      <c r="AT208" s="230">
        <v>1044</v>
      </c>
      <c r="AU208" s="228">
        <v>-189</v>
      </c>
      <c r="AV208" s="229">
        <v>-0.18079999999999999</v>
      </c>
      <c r="AW208" s="228">
        <v>413</v>
      </c>
      <c r="AX208" s="228">
        <v>537</v>
      </c>
      <c r="AY208" s="228">
        <v>-123</v>
      </c>
      <c r="AZ208" s="229">
        <v>-0.2298</v>
      </c>
      <c r="BA208" s="228">
        <v>436</v>
      </c>
      <c r="BB208" s="228">
        <v>505</v>
      </c>
      <c r="BC208" s="228">
        <v>-68</v>
      </c>
      <c r="BD208" s="229">
        <v>-0.13519999999999999</v>
      </c>
      <c r="BE208" s="228">
        <v>5</v>
      </c>
      <c r="BF208" s="228">
        <v>3</v>
      </c>
      <c r="BG208" s="228">
        <v>3</v>
      </c>
      <c r="BH208" s="229">
        <v>1.0611999999999999</v>
      </c>
      <c r="BI208" s="228">
        <v>430</v>
      </c>
      <c r="BJ208" s="228">
        <v>399</v>
      </c>
      <c r="BK208" s="228">
        <v>32</v>
      </c>
      <c r="BL208" s="229">
        <v>7.9600000000000004E-2</v>
      </c>
      <c r="BM208" s="228">
        <v>192</v>
      </c>
      <c r="BN208" s="228">
        <v>207</v>
      </c>
      <c r="BO208" s="228">
        <v>-15</v>
      </c>
      <c r="BP208" s="229">
        <v>-7.3300000000000004E-2</v>
      </c>
      <c r="BQ208" s="230">
        <v>1478</v>
      </c>
      <c r="BR208" s="230">
        <v>1650</v>
      </c>
      <c r="BS208" s="228">
        <v>-172</v>
      </c>
      <c r="BT208" s="229">
        <v>-0.10440000000000001</v>
      </c>
      <c r="BU208" s="230">
        <v>432894</v>
      </c>
      <c r="BV208" s="230">
        <v>571731</v>
      </c>
      <c r="BW208" s="230">
        <v>-138837</v>
      </c>
      <c r="BX208" s="229">
        <v>-0.24279999999999999</v>
      </c>
      <c r="BY208" s="230">
        <v>1770</v>
      </c>
      <c r="BZ208" s="230">
        <v>1749</v>
      </c>
      <c r="CA208" s="228">
        <v>20</v>
      </c>
      <c r="CB208" s="229">
        <v>1.17E-2</v>
      </c>
      <c r="CC208" s="228">
        <v>347</v>
      </c>
      <c r="CD208" s="228">
        <v>698</v>
      </c>
      <c r="CE208" s="228">
        <v>-350</v>
      </c>
      <c r="CF208" s="229">
        <v>-0.50219999999999998</v>
      </c>
      <c r="CG208" s="230">
        <v>1410</v>
      </c>
      <c r="CH208" s="230">
        <v>1042</v>
      </c>
      <c r="CI208" s="228">
        <v>367</v>
      </c>
      <c r="CJ208" s="229">
        <v>0.35249999999999998</v>
      </c>
      <c r="CK208" s="228">
        <v>13</v>
      </c>
      <c r="CL208" s="228">
        <v>9</v>
      </c>
      <c r="CM208" s="228">
        <v>3</v>
      </c>
      <c r="CN208" s="229">
        <v>0.37059999999999998</v>
      </c>
      <c r="CO208" s="228">
        <v>499</v>
      </c>
      <c r="CP208" s="228">
        <v>538</v>
      </c>
      <c r="CQ208" s="228">
        <v>-39</v>
      </c>
      <c r="CR208" s="229">
        <v>-7.2999999999999995E-2</v>
      </c>
      <c r="CS208" s="228">
        <v>357</v>
      </c>
      <c r="CT208" s="228">
        <v>363</v>
      </c>
      <c r="CU208" s="228">
        <v>-5</v>
      </c>
      <c r="CV208" s="229">
        <v>-1.4200000000000001E-2</v>
      </c>
      <c r="CW208" s="230">
        <v>2626</v>
      </c>
      <c r="CX208" s="230">
        <v>2650</v>
      </c>
      <c r="CY208" s="228">
        <v>-24</v>
      </c>
      <c r="CZ208" s="229">
        <v>-8.9999999999999993E-3</v>
      </c>
      <c r="DA208" s="228">
        <v>23.49</v>
      </c>
      <c r="DB208" s="228">
        <v>23.64</v>
      </c>
      <c r="DC208" s="228">
        <v>-0.15</v>
      </c>
      <c r="DD208" s="228">
        <v>-0.15</v>
      </c>
      <c r="DE208" s="228">
        <v>27.92</v>
      </c>
      <c r="DF208" s="228">
        <v>27.98</v>
      </c>
      <c r="DG208" s="228">
        <v>-4.43</v>
      </c>
      <c r="DH208" s="228">
        <v>-0.06</v>
      </c>
      <c r="DI208" s="228">
        <v>23.6</v>
      </c>
      <c r="DJ208" s="228">
        <v>23.58</v>
      </c>
      <c r="DK208" s="228">
        <v>0.02</v>
      </c>
      <c r="DL208" s="228">
        <v>0.02</v>
      </c>
      <c r="DM208" s="228">
        <v>23.37</v>
      </c>
      <c r="DN208" s="228">
        <v>23.73</v>
      </c>
      <c r="DO208" s="228">
        <v>-0.36</v>
      </c>
      <c r="DP208" s="228">
        <v>-0.36</v>
      </c>
      <c r="DQ208" s="228">
        <v>0.72</v>
      </c>
      <c r="DR208" s="228">
        <v>0.67</v>
      </c>
      <c r="DS208" s="228">
        <v>0.05</v>
      </c>
      <c r="DT208" s="229">
        <v>7.46E-2</v>
      </c>
      <c r="DU208" s="231">
        <v>1400</v>
      </c>
      <c r="DV208" s="231">
        <v>1600</v>
      </c>
      <c r="DW208" s="228">
        <v>0.45</v>
      </c>
      <c r="DX208" s="228">
        <v>0.52</v>
      </c>
      <c r="DY208" s="228">
        <v>-7.0000000000000007E-2</v>
      </c>
      <c r="DZ208" s="229">
        <v>-0.1346</v>
      </c>
      <c r="EA208" s="229">
        <v>0.80379999999999996</v>
      </c>
      <c r="EB208" s="230">
        <v>7779200</v>
      </c>
      <c r="EC208" s="229">
        <v>5.3E-3</v>
      </c>
      <c r="ED208" s="229">
        <v>0.80379999999999996</v>
      </c>
      <c r="EE208" s="228">
        <v>7.46</v>
      </c>
      <c r="EF208" s="229">
        <v>5.4999999999999997E-3</v>
      </c>
      <c r="EG208" s="230">
        <v>225834</v>
      </c>
      <c r="EH208" s="230">
        <v>360070</v>
      </c>
      <c r="EI208" s="229">
        <v>-0.37280000000000002</v>
      </c>
      <c r="EJ208" s="229">
        <v>0.52170000000000005</v>
      </c>
      <c r="EK208" s="228">
        <v>444.72</v>
      </c>
      <c r="EL208" s="228">
        <v>192.82</v>
      </c>
      <c r="EM208" s="228">
        <v>857.23</v>
      </c>
      <c r="EN208" s="228">
        <v>97.84</v>
      </c>
      <c r="EO208" s="231">
        <v>1494.76</v>
      </c>
      <c r="EP208" s="231">
        <v>1678.03</v>
      </c>
      <c r="EQ208" s="228">
        <v>-183.27</v>
      </c>
      <c r="ER208" s="229">
        <v>-0.10920000000000001</v>
      </c>
      <c r="ES208" s="228">
        <v>520.99</v>
      </c>
      <c r="ET208" s="228">
        <v>363.41</v>
      </c>
      <c r="EU208" s="231">
        <v>1777.44</v>
      </c>
      <c r="EV208" s="231">
        <v>47269416</v>
      </c>
      <c r="EW208" s="231">
        <v>2661.84</v>
      </c>
      <c r="EX208" s="231">
        <v>2690.6</v>
      </c>
      <c r="EY208" s="228">
        <v>-28.76</v>
      </c>
      <c r="EZ208" s="229">
        <v>-1.0699999999999999E-2</v>
      </c>
      <c r="FA208" s="229">
        <v>0.41099999999999998</v>
      </c>
      <c r="FB208" s="227" t="s">
        <v>567</v>
      </c>
      <c r="FC208">
        <f t="shared" si="4"/>
        <v>0</v>
      </c>
    </row>
    <row r="209" spans="1:159" ht="17.25" thickBot="1" x14ac:dyDescent="0.3">
      <c r="A209" s="226">
        <v>45957</v>
      </c>
      <c r="B209" s="227" t="s">
        <v>162</v>
      </c>
      <c r="C209" s="227" t="s">
        <v>675</v>
      </c>
      <c r="D209" s="228">
        <v>550</v>
      </c>
      <c r="E209" s="228">
        <v>1</v>
      </c>
      <c r="F209" s="231">
        <v>1203.3</v>
      </c>
      <c r="G209" s="231">
        <v>1194.9000000000001</v>
      </c>
      <c r="H209" s="228">
        <v>8.4</v>
      </c>
      <c r="I209" s="229">
        <v>7.0000000000000001E-3</v>
      </c>
      <c r="J209" s="231">
        <v>1200.0999999999999</v>
      </c>
      <c r="K209" s="231">
        <v>1192</v>
      </c>
      <c r="L209" s="228">
        <v>8.1</v>
      </c>
      <c r="M209" s="229">
        <v>6.7999999999999996E-3</v>
      </c>
      <c r="N209" s="231">
        <v>1203.3</v>
      </c>
      <c r="O209" s="231">
        <v>1194.9000000000001</v>
      </c>
      <c r="P209" s="228">
        <v>8.4</v>
      </c>
      <c r="Q209" s="229">
        <v>7.0000000000000001E-3</v>
      </c>
      <c r="R209" s="231">
        <v>1207.8</v>
      </c>
      <c r="S209" s="231">
        <v>1200.4000000000001</v>
      </c>
      <c r="T209" s="228">
        <v>7.4</v>
      </c>
      <c r="U209" s="229">
        <v>6.1999999999999998E-3</v>
      </c>
      <c r="V209" s="231">
        <v>1207.4000000000001</v>
      </c>
      <c r="W209" s="231">
        <v>1202.9000000000001</v>
      </c>
      <c r="X209" s="228">
        <v>4.5</v>
      </c>
      <c r="Y209" s="229">
        <v>3.7000000000000002E-3</v>
      </c>
      <c r="Z209" s="228">
        <v>3.2</v>
      </c>
      <c r="AA209" s="228">
        <v>2.9</v>
      </c>
      <c r="AB209" s="228">
        <v>0.3</v>
      </c>
      <c r="AC209" s="229">
        <v>2.7000000000000001E-3</v>
      </c>
      <c r="AD209" s="228">
        <v>3.2</v>
      </c>
      <c r="AE209" s="228">
        <v>2.9</v>
      </c>
      <c r="AF209" s="228">
        <v>0.3</v>
      </c>
      <c r="AG209" s="229">
        <v>2.7000000000000001E-3</v>
      </c>
      <c r="AH209" s="228">
        <v>7.7</v>
      </c>
      <c r="AI209" s="228">
        <v>8.4</v>
      </c>
      <c r="AJ209" s="228">
        <v>-0.7</v>
      </c>
      <c r="AK209" s="229">
        <v>6.4000000000000003E-3</v>
      </c>
      <c r="AL209" s="228">
        <v>7.3</v>
      </c>
      <c r="AM209" s="228">
        <v>10.9</v>
      </c>
      <c r="AN209" s="228">
        <v>-3.6</v>
      </c>
      <c r="AO209" s="229">
        <v>6.1000000000000004E-3</v>
      </c>
      <c r="AP209" s="231">
        <v>1197.33</v>
      </c>
      <c r="AQ209" s="231">
        <v>1202.47</v>
      </c>
      <c r="AR209" s="228">
        <v>0</v>
      </c>
      <c r="AS209" s="228">
        <v>492</v>
      </c>
      <c r="AT209" s="228">
        <v>361</v>
      </c>
      <c r="AU209" s="228">
        <v>131</v>
      </c>
      <c r="AV209" s="229">
        <v>0.36259999999999998</v>
      </c>
      <c r="AW209" s="228">
        <v>217</v>
      </c>
      <c r="AX209" s="228">
        <v>177</v>
      </c>
      <c r="AY209" s="228">
        <v>40</v>
      </c>
      <c r="AZ209" s="229">
        <v>0.22639999999999999</v>
      </c>
      <c r="BA209" s="228">
        <v>275</v>
      </c>
      <c r="BB209" s="228">
        <v>183</v>
      </c>
      <c r="BC209" s="228">
        <v>91</v>
      </c>
      <c r="BD209" s="229">
        <v>0.49869999999999998</v>
      </c>
      <c r="BE209" s="228">
        <v>1</v>
      </c>
      <c r="BF209" s="228">
        <v>1</v>
      </c>
      <c r="BG209" s="228">
        <v>0</v>
      </c>
      <c r="BH209" s="229">
        <v>-0.36840000000000001</v>
      </c>
      <c r="BI209" s="228">
        <v>314</v>
      </c>
      <c r="BJ209" s="228">
        <v>363</v>
      </c>
      <c r="BK209" s="228">
        <v>-49</v>
      </c>
      <c r="BL209" s="229">
        <v>-0.1343</v>
      </c>
      <c r="BM209" s="228">
        <v>117</v>
      </c>
      <c r="BN209" s="228">
        <v>149</v>
      </c>
      <c r="BO209" s="228">
        <v>-32</v>
      </c>
      <c r="BP209" s="229">
        <v>-0.21440000000000001</v>
      </c>
      <c r="BQ209" s="228">
        <v>923</v>
      </c>
      <c r="BR209" s="228">
        <v>873</v>
      </c>
      <c r="BS209" s="228">
        <v>50</v>
      </c>
      <c r="BT209" s="229">
        <v>5.7500000000000002E-2</v>
      </c>
      <c r="BU209" s="230">
        <v>645679</v>
      </c>
      <c r="BV209" s="230">
        <v>317095</v>
      </c>
      <c r="BW209" s="230">
        <v>328584</v>
      </c>
      <c r="BX209" s="229">
        <v>1.0362</v>
      </c>
      <c r="BY209" s="228">
        <v>469</v>
      </c>
      <c r="BZ209" s="228">
        <v>488</v>
      </c>
      <c r="CA209" s="228">
        <v>-19</v>
      </c>
      <c r="CB209" s="229">
        <v>-3.7999999999999999E-2</v>
      </c>
      <c r="CC209" s="228">
        <v>80</v>
      </c>
      <c r="CD209" s="228">
        <v>213</v>
      </c>
      <c r="CE209" s="228">
        <v>-133</v>
      </c>
      <c r="CF209" s="229">
        <v>-0.62549999999999994</v>
      </c>
      <c r="CG209" s="228">
        <v>382</v>
      </c>
      <c r="CH209" s="228">
        <v>268</v>
      </c>
      <c r="CI209" s="228">
        <v>114</v>
      </c>
      <c r="CJ209" s="229">
        <v>0.42770000000000002</v>
      </c>
      <c r="CK209" s="228">
        <v>7</v>
      </c>
      <c r="CL209" s="228">
        <v>7</v>
      </c>
      <c r="CM209" s="228">
        <v>0</v>
      </c>
      <c r="CN209" s="229">
        <v>3.6700000000000003E-2</v>
      </c>
      <c r="CO209" s="228">
        <v>308</v>
      </c>
      <c r="CP209" s="228">
        <v>366</v>
      </c>
      <c r="CQ209" s="228">
        <v>-58</v>
      </c>
      <c r="CR209" s="229">
        <v>-0.1578</v>
      </c>
      <c r="CS209" s="228">
        <v>172</v>
      </c>
      <c r="CT209" s="228">
        <v>183</v>
      </c>
      <c r="CU209" s="228">
        <v>-11</v>
      </c>
      <c r="CV209" s="229">
        <v>-5.8200000000000002E-2</v>
      </c>
      <c r="CW209" s="228">
        <v>950</v>
      </c>
      <c r="CX209" s="230">
        <v>1037</v>
      </c>
      <c r="CY209" s="228">
        <v>-87</v>
      </c>
      <c r="CZ209" s="229">
        <v>-8.3799999999999999E-2</v>
      </c>
      <c r="DA209" s="228">
        <v>33.65</v>
      </c>
      <c r="DB209" s="228">
        <v>32.97</v>
      </c>
      <c r="DC209" s="228">
        <v>0.68</v>
      </c>
      <c r="DD209" s="228">
        <v>0.68</v>
      </c>
      <c r="DE209" s="228">
        <v>42.01</v>
      </c>
      <c r="DF209" s="228">
        <v>42.1</v>
      </c>
      <c r="DG209" s="228">
        <v>-8.36</v>
      </c>
      <c r="DH209" s="228">
        <v>-0.09</v>
      </c>
      <c r="DI209" s="228">
        <v>33.869999999999997</v>
      </c>
      <c r="DJ209" s="228">
        <v>33.25</v>
      </c>
      <c r="DK209" s="228">
        <v>0.62</v>
      </c>
      <c r="DL209" s="228">
        <v>0.62</v>
      </c>
      <c r="DM209" s="228">
        <v>33.39</v>
      </c>
      <c r="DN209" s="228">
        <v>32.65</v>
      </c>
      <c r="DO209" s="228">
        <v>0.74</v>
      </c>
      <c r="DP209" s="228">
        <v>0.74</v>
      </c>
      <c r="DQ209" s="228">
        <v>0.56000000000000005</v>
      </c>
      <c r="DR209" s="228">
        <v>0.5</v>
      </c>
      <c r="DS209" s="228">
        <v>0.06</v>
      </c>
      <c r="DT209" s="229">
        <v>0.12</v>
      </c>
      <c r="DU209" s="231">
        <v>1300</v>
      </c>
      <c r="DV209" s="231">
        <v>1200</v>
      </c>
      <c r="DW209" s="228">
        <v>0.37</v>
      </c>
      <c r="DX209" s="228">
        <v>0.41</v>
      </c>
      <c r="DY209" s="228">
        <v>-0.04</v>
      </c>
      <c r="DZ209" s="229">
        <v>-9.7600000000000006E-2</v>
      </c>
      <c r="EA209" s="229">
        <v>0.83</v>
      </c>
      <c r="EB209" s="230">
        <v>2284700</v>
      </c>
      <c r="EC209" s="229">
        <v>3.7000000000000002E-3</v>
      </c>
      <c r="ED209" s="229">
        <v>0.83</v>
      </c>
      <c r="EE209" s="228">
        <v>5.14</v>
      </c>
      <c r="EF209" s="229">
        <v>4.3E-3</v>
      </c>
      <c r="EG209" s="230">
        <v>404274</v>
      </c>
      <c r="EH209" s="230">
        <v>152373</v>
      </c>
      <c r="EI209" s="229">
        <v>1.6532</v>
      </c>
      <c r="EJ209" s="229">
        <v>0.62609999999999999</v>
      </c>
      <c r="EK209" s="228">
        <v>334.13</v>
      </c>
      <c r="EL209" s="228">
        <v>116.69</v>
      </c>
      <c r="EM209" s="228">
        <v>490.93</v>
      </c>
      <c r="EN209" s="228">
        <v>33.79</v>
      </c>
      <c r="EO209" s="228">
        <v>941.75</v>
      </c>
      <c r="EP209" s="228">
        <v>892.68</v>
      </c>
      <c r="EQ209" s="228">
        <v>49.07</v>
      </c>
      <c r="ER209" s="229">
        <v>5.5E-2</v>
      </c>
      <c r="ES209" s="228">
        <v>336.73</v>
      </c>
      <c r="ET209" s="228">
        <v>174.75</v>
      </c>
      <c r="EU209" s="228">
        <v>470.95</v>
      </c>
      <c r="EV209" s="231">
        <v>22813802</v>
      </c>
      <c r="EW209" s="228">
        <v>982.42</v>
      </c>
      <c r="EX209" s="231">
        <v>1071.7</v>
      </c>
      <c r="EY209" s="228">
        <v>-89.28</v>
      </c>
      <c r="EZ209" s="229">
        <v>-8.3299999999999999E-2</v>
      </c>
      <c r="FA209" s="229">
        <v>0.34610000000000002</v>
      </c>
      <c r="FB209" s="227" t="s">
        <v>556</v>
      </c>
      <c r="FC209">
        <f t="shared" si="4"/>
        <v>0</v>
      </c>
    </row>
    <row r="210" spans="1:159" ht="17.25" thickBot="1" x14ac:dyDescent="0.3">
      <c r="A210" s="226">
        <v>45957</v>
      </c>
      <c r="B210" s="227" t="s">
        <v>498</v>
      </c>
      <c r="C210" s="227" t="s">
        <v>303</v>
      </c>
      <c r="D210" s="228">
        <v>1355</v>
      </c>
      <c r="E210" s="228">
        <v>1</v>
      </c>
      <c r="F210" s="228">
        <v>680.75</v>
      </c>
      <c r="G210" s="228">
        <v>672.35</v>
      </c>
      <c r="H210" s="228">
        <v>8.4</v>
      </c>
      <c r="I210" s="229">
        <v>1.2500000000000001E-2</v>
      </c>
      <c r="J210" s="228">
        <v>679.85</v>
      </c>
      <c r="K210" s="228">
        <v>672.05</v>
      </c>
      <c r="L210" s="228">
        <v>7.8</v>
      </c>
      <c r="M210" s="229">
        <v>1.1599999999999999E-2</v>
      </c>
      <c r="N210" s="228">
        <v>680.75</v>
      </c>
      <c r="O210" s="228">
        <v>672.35</v>
      </c>
      <c r="P210" s="228">
        <v>8.4</v>
      </c>
      <c r="Q210" s="229">
        <v>1.2500000000000001E-2</v>
      </c>
      <c r="R210" s="228">
        <v>684.6</v>
      </c>
      <c r="S210" s="228">
        <v>675.95</v>
      </c>
      <c r="T210" s="228">
        <v>8.65</v>
      </c>
      <c r="U210" s="229">
        <v>1.2800000000000001E-2</v>
      </c>
      <c r="V210" s="228">
        <v>688.85</v>
      </c>
      <c r="W210" s="228">
        <v>680.1</v>
      </c>
      <c r="X210" s="228">
        <v>8.75</v>
      </c>
      <c r="Y210" s="229">
        <v>1.29E-2</v>
      </c>
      <c r="Z210" s="228">
        <v>0.9</v>
      </c>
      <c r="AA210" s="228">
        <v>0.3</v>
      </c>
      <c r="AB210" s="228">
        <v>0.6</v>
      </c>
      <c r="AC210" s="229">
        <v>1.2999999999999999E-3</v>
      </c>
      <c r="AD210" s="228">
        <v>0.9</v>
      </c>
      <c r="AE210" s="228">
        <v>0.3</v>
      </c>
      <c r="AF210" s="228">
        <v>0.6</v>
      </c>
      <c r="AG210" s="229">
        <v>1.2999999999999999E-3</v>
      </c>
      <c r="AH210" s="228">
        <v>4.75</v>
      </c>
      <c r="AI210" s="228">
        <v>3.9</v>
      </c>
      <c r="AJ210" s="228">
        <v>0.85</v>
      </c>
      <c r="AK210" s="229">
        <v>7.0000000000000001E-3</v>
      </c>
      <c r="AL210" s="228">
        <v>9</v>
      </c>
      <c r="AM210" s="228">
        <v>8.0500000000000007</v>
      </c>
      <c r="AN210" s="228">
        <v>0.95</v>
      </c>
      <c r="AO210" s="229">
        <v>1.32E-2</v>
      </c>
      <c r="AP210" s="228">
        <v>679.68</v>
      </c>
      <c r="AQ210" s="228">
        <v>683.49</v>
      </c>
      <c r="AR210" s="228">
        <v>0</v>
      </c>
      <c r="AS210" s="230">
        <v>1706</v>
      </c>
      <c r="AT210" s="230">
        <v>1448</v>
      </c>
      <c r="AU210" s="228">
        <v>258</v>
      </c>
      <c r="AV210" s="229">
        <v>0.17810000000000001</v>
      </c>
      <c r="AW210" s="228">
        <v>830</v>
      </c>
      <c r="AX210" s="228">
        <v>747</v>
      </c>
      <c r="AY210" s="228">
        <v>82</v>
      </c>
      <c r="AZ210" s="229">
        <v>0.1101</v>
      </c>
      <c r="BA210" s="228">
        <v>868</v>
      </c>
      <c r="BB210" s="228">
        <v>696</v>
      </c>
      <c r="BC210" s="228">
        <v>172</v>
      </c>
      <c r="BD210" s="229">
        <v>0.24740000000000001</v>
      </c>
      <c r="BE210" s="228">
        <v>8</v>
      </c>
      <c r="BF210" s="228">
        <v>5</v>
      </c>
      <c r="BG210" s="228">
        <v>3</v>
      </c>
      <c r="BH210" s="229">
        <v>0.72550000000000003</v>
      </c>
      <c r="BI210" s="228">
        <v>600</v>
      </c>
      <c r="BJ210" s="228">
        <v>688</v>
      </c>
      <c r="BK210" s="228">
        <v>-87</v>
      </c>
      <c r="BL210" s="229">
        <v>-0.12659999999999999</v>
      </c>
      <c r="BM210" s="228">
        <v>357</v>
      </c>
      <c r="BN210" s="228">
        <v>358</v>
      </c>
      <c r="BO210" s="228">
        <v>-1</v>
      </c>
      <c r="BP210" s="229">
        <v>-4.1000000000000003E-3</v>
      </c>
      <c r="BQ210" s="230">
        <v>2663</v>
      </c>
      <c r="BR210" s="230">
        <v>2494</v>
      </c>
      <c r="BS210" s="228">
        <v>169</v>
      </c>
      <c r="BT210" s="229">
        <v>6.7900000000000002E-2</v>
      </c>
      <c r="BU210" s="230">
        <v>1378659</v>
      </c>
      <c r="BV210" s="230">
        <v>596647</v>
      </c>
      <c r="BW210" s="230">
        <v>782012</v>
      </c>
      <c r="BX210" s="229">
        <v>1.3107</v>
      </c>
      <c r="BY210" s="230">
        <v>2284</v>
      </c>
      <c r="BZ210" s="230">
        <v>2327</v>
      </c>
      <c r="CA210" s="228">
        <v>-43</v>
      </c>
      <c r="CB210" s="229">
        <v>-1.8499999999999999E-2</v>
      </c>
      <c r="CC210" s="228">
        <v>472</v>
      </c>
      <c r="CD210" s="230">
        <v>1140</v>
      </c>
      <c r="CE210" s="228">
        <v>-668</v>
      </c>
      <c r="CF210" s="229">
        <v>-0.58579999999999999</v>
      </c>
      <c r="CG210" s="230">
        <v>1795</v>
      </c>
      <c r="CH210" s="230">
        <v>1176</v>
      </c>
      <c r="CI210" s="228">
        <v>620</v>
      </c>
      <c r="CJ210" s="229">
        <v>0.52700000000000002</v>
      </c>
      <c r="CK210" s="228">
        <v>16</v>
      </c>
      <c r="CL210" s="228">
        <v>10</v>
      </c>
      <c r="CM210" s="228">
        <v>5</v>
      </c>
      <c r="CN210" s="229">
        <v>0.52210000000000001</v>
      </c>
      <c r="CO210" s="228">
        <v>535</v>
      </c>
      <c r="CP210" s="228">
        <v>619</v>
      </c>
      <c r="CQ210" s="228">
        <v>-84</v>
      </c>
      <c r="CR210" s="229">
        <v>-0.1356</v>
      </c>
      <c r="CS210" s="228">
        <v>361</v>
      </c>
      <c r="CT210" s="228">
        <v>390</v>
      </c>
      <c r="CU210" s="228">
        <v>-29</v>
      </c>
      <c r="CV210" s="229">
        <v>-7.5200000000000003E-2</v>
      </c>
      <c r="CW210" s="230">
        <v>3180</v>
      </c>
      <c r="CX210" s="230">
        <v>3336</v>
      </c>
      <c r="CY210" s="228">
        <v>-156</v>
      </c>
      <c r="CZ210" s="229">
        <v>-4.6800000000000001E-2</v>
      </c>
      <c r="DA210" s="228">
        <v>26.99</v>
      </c>
      <c r="DB210" s="228">
        <v>25.88</v>
      </c>
      <c r="DC210" s="228">
        <v>1.1100000000000001</v>
      </c>
      <c r="DD210" s="228">
        <v>1.1100000000000001</v>
      </c>
      <c r="DE210" s="228">
        <v>33.479999999999997</v>
      </c>
      <c r="DF210" s="228">
        <v>33.520000000000003</v>
      </c>
      <c r="DG210" s="228">
        <v>-6.49</v>
      </c>
      <c r="DH210" s="228">
        <v>-0.04</v>
      </c>
      <c r="DI210" s="228">
        <v>27.02</v>
      </c>
      <c r="DJ210" s="228">
        <v>26.07</v>
      </c>
      <c r="DK210" s="228">
        <v>0.95</v>
      </c>
      <c r="DL210" s="228">
        <v>0.95</v>
      </c>
      <c r="DM210" s="228">
        <v>26.94</v>
      </c>
      <c r="DN210" s="228">
        <v>25.63</v>
      </c>
      <c r="DO210" s="228">
        <v>1.31</v>
      </c>
      <c r="DP210" s="228">
        <v>1.31</v>
      </c>
      <c r="DQ210" s="228">
        <v>0.67</v>
      </c>
      <c r="DR210" s="228">
        <v>0.63</v>
      </c>
      <c r="DS210" s="228">
        <v>0.04</v>
      </c>
      <c r="DT210" s="229">
        <v>6.3500000000000001E-2</v>
      </c>
      <c r="DU210" s="228">
        <v>690</v>
      </c>
      <c r="DV210" s="228">
        <v>660</v>
      </c>
      <c r="DW210" s="228">
        <v>0.59</v>
      </c>
      <c r="DX210" s="228">
        <v>0.52</v>
      </c>
      <c r="DY210" s="228">
        <v>7.0000000000000007E-2</v>
      </c>
      <c r="DZ210" s="229">
        <v>0.1346</v>
      </c>
      <c r="EA210" s="229">
        <v>0.79320000000000002</v>
      </c>
      <c r="EB210" s="230">
        <v>17425300</v>
      </c>
      <c r="EC210" s="229">
        <v>5.7000000000000002E-3</v>
      </c>
      <c r="ED210" s="229">
        <v>0.79320000000000002</v>
      </c>
      <c r="EE210" s="228">
        <v>3.81</v>
      </c>
      <c r="EF210" s="229">
        <v>5.5999999999999999E-3</v>
      </c>
      <c r="EG210" s="230">
        <v>860887</v>
      </c>
      <c r="EH210" s="230">
        <v>272616</v>
      </c>
      <c r="EI210" s="229">
        <v>2.1579000000000002</v>
      </c>
      <c r="EJ210" s="229">
        <v>0.62439999999999996</v>
      </c>
      <c r="EK210" s="228">
        <v>620.47</v>
      </c>
      <c r="EL210" s="228">
        <v>352.62</v>
      </c>
      <c r="EM210" s="231">
        <v>1708.47</v>
      </c>
      <c r="EN210" s="228">
        <v>85.33</v>
      </c>
      <c r="EO210" s="231">
        <v>2681.56</v>
      </c>
      <c r="EP210" s="231">
        <v>2495.21</v>
      </c>
      <c r="EQ210" s="228">
        <v>186.35</v>
      </c>
      <c r="ER210" s="229">
        <v>7.4700000000000003E-2</v>
      </c>
      <c r="ES210" s="228">
        <v>555.95000000000005</v>
      </c>
      <c r="ET210" s="228">
        <v>348.99</v>
      </c>
      <c r="EU210" s="231">
        <v>2294.06</v>
      </c>
      <c r="EV210" s="231">
        <v>82588393</v>
      </c>
      <c r="EW210" s="231">
        <v>3199</v>
      </c>
      <c r="EX210" s="231">
        <v>3322.75</v>
      </c>
      <c r="EY210" s="228">
        <v>-123.75</v>
      </c>
      <c r="EZ210" s="229">
        <v>-3.7199999999999997E-2</v>
      </c>
      <c r="FA210" s="229">
        <v>0.56559999999999999</v>
      </c>
      <c r="FB210" s="227" t="s">
        <v>556</v>
      </c>
      <c r="FC210">
        <f t="shared" si="4"/>
        <v>0</v>
      </c>
    </row>
    <row r="211" spans="1:159" ht="17.25" thickBot="1" x14ac:dyDescent="0.3">
      <c r="A211" s="226">
        <v>45957</v>
      </c>
      <c r="B211" s="227" t="s">
        <v>168</v>
      </c>
      <c r="C211" s="227" t="s">
        <v>586</v>
      </c>
      <c r="D211" s="228">
        <v>1025</v>
      </c>
      <c r="E211" s="228">
        <v>1</v>
      </c>
      <c r="F211" s="228">
        <v>459.6</v>
      </c>
      <c r="G211" s="228">
        <v>460.8</v>
      </c>
      <c r="H211" s="228">
        <v>-1.2</v>
      </c>
      <c r="I211" s="229">
        <v>-2.5999999999999999E-3</v>
      </c>
      <c r="J211" s="228">
        <v>459.35</v>
      </c>
      <c r="K211" s="228">
        <v>461.4</v>
      </c>
      <c r="L211" s="228">
        <v>-2.0499999999999998</v>
      </c>
      <c r="M211" s="229">
        <v>-4.4000000000000003E-3</v>
      </c>
      <c r="N211" s="228">
        <v>459.6</v>
      </c>
      <c r="O211" s="228">
        <v>460.8</v>
      </c>
      <c r="P211" s="228">
        <v>-1.2</v>
      </c>
      <c r="Q211" s="229">
        <v>-2.5999999999999999E-3</v>
      </c>
      <c r="R211" s="228">
        <v>462.35</v>
      </c>
      <c r="S211" s="228">
        <v>463.25</v>
      </c>
      <c r="T211" s="228">
        <v>-0.9</v>
      </c>
      <c r="U211" s="229">
        <v>-1.9E-3</v>
      </c>
      <c r="V211" s="228">
        <v>465.95</v>
      </c>
      <c r="W211" s="228">
        <v>466.65</v>
      </c>
      <c r="X211" s="228">
        <v>-0.7</v>
      </c>
      <c r="Y211" s="229">
        <v>-1.5E-3</v>
      </c>
      <c r="Z211" s="228">
        <v>0.25</v>
      </c>
      <c r="AA211" s="228">
        <v>-0.6</v>
      </c>
      <c r="AB211" s="228">
        <v>0.85</v>
      </c>
      <c r="AC211" s="229">
        <v>5.0000000000000001E-4</v>
      </c>
      <c r="AD211" s="228">
        <v>0.25</v>
      </c>
      <c r="AE211" s="228">
        <v>-0.6</v>
      </c>
      <c r="AF211" s="228">
        <v>0.85</v>
      </c>
      <c r="AG211" s="229">
        <v>5.0000000000000001E-4</v>
      </c>
      <c r="AH211" s="228">
        <v>3</v>
      </c>
      <c r="AI211" s="228">
        <v>1.85</v>
      </c>
      <c r="AJ211" s="228">
        <v>1.1499999999999999</v>
      </c>
      <c r="AK211" s="229">
        <v>6.4999999999999997E-3</v>
      </c>
      <c r="AL211" s="228">
        <v>6.6</v>
      </c>
      <c r="AM211" s="228">
        <v>5.25</v>
      </c>
      <c r="AN211" s="228">
        <v>1.35</v>
      </c>
      <c r="AO211" s="229">
        <v>1.44E-2</v>
      </c>
      <c r="AP211" s="228">
        <v>462.12</v>
      </c>
      <c r="AQ211" s="228">
        <v>464.85</v>
      </c>
      <c r="AR211" s="228">
        <v>0</v>
      </c>
      <c r="AS211" s="230">
        <v>1344</v>
      </c>
      <c r="AT211" s="230">
        <v>1108</v>
      </c>
      <c r="AU211" s="228">
        <v>236</v>
      </c>
      <c r="AV211" s="229">
        <v>0.21340000000000001</v>
      </c>
      <c r="AW211" s="228">
        <v>600</v>
      </c>
      <c r="AX211" s="228">
        <v>557</v>
      </c>
      <c r="AY211" s="228">
        <v>42</v>
      </c>
      <c r="AZ211" s="229">
        <v>7.6200000000000004E-2</v>
      </c>
      <c r="BA211" s="228">
        <v>730</v>
      </c>
      <c r="BB211" s="228">
        <v>546</v>
      </c>
      <c r="BC211" s="228">
        <v>184</v>
      </c>
      <c r="BD211" s="229">
        <v>0.3377</v>
      </c>
      <c r="BE211" s="228">
        <v>14</v>
      </c>
      <c r="BF211" s="228">
        <v>5</v>
      </c>
      <c r="BG211" s="228">
        <v>10</v>
      </c>
      <c r="BH211" s="229">
        <v>2.1145999999999998</v>
      </c>
      <c r="BI211" s="228">
        <v>693</v>
      </c>
      <c r="BJ211" s="228">
        <v>450</v>
      </c>
      <c r="BK211" s="228">
        <v>243</v>
      </c>
      <c r="BL211" s="229">
        <v>0.53869999999999996</v>
      </c>
      <c r="BM211" s="228">
        <v>354</v>
      </c>
      <c r="BN211" s="228">
        <v>246</v>
      </c>
      <c r="BO211" s="228">
        <v>109</v>
      </c>
      <c r="BP211" s="229">
        <v>0.442</v>
      </c>
      <c r="BQ211" s="230">
        <v>2391</v>
      </c>
      <c r="BR211" s="230">
        <v>1804</v>
      </c>
      <c r="BS211" s="228">
        <v>588</v>
      </c>
      <c r="BT211" s="229">
        <v>0.32579999999999998</v>
      </c>
      <c r="BU211" s="230">
        <v>7693413</v>
      </c>
      <c r="BV211" s="230">
        <v>3782190</v>
      </c>
      <c r="BW211" s="230">
        <v>3911223</v>
      </c>
      <c r="BX211" s="229">
        <v>1.0341</v>
      </c>
      <c r="BY211" s="230">
        <v>1778</v>
      </c>
      <c r="BZ211" s="230">
        <v>1757</v>
      </c>
      <c r="CA211" s="228">
        <v>20</v>
      </c>
      <c r="CB211" s="229">
        <v>1.1599999999999999E-2</v>
      </c>
      <c r="CC211" s="228">
        <v>174</v>
      </c>
      <c r="CD211" s="228">
        <v>665</v>
      </c>
      <c r="CE211" s="228">
        <v>-491</v>
      </c>
      <c r="CF211" s="229">
        <v>-0.73850000000000005</v>
      </c>
      <c r="CG211" s="230">
        <v>1584</v>
      </c>
      <c r="CH211" s="230">
        <v>1079</v>
      </c>
      <c r="CI211" s="228">
        <v>504</v>
      </c>
      <c r="CJ211" s="229">
        <v>0.46729999999999999</v>
      </c>
      <c r="CK211" s="228">
        <v>20</v>
      </c>
      <c r="CL211" s="228">
        <v>13</v>
      </c>
      <c r="CM211" s="228">
        <v>7</v>
      </c>
      <c r="CN211" s="229">
        <v>0.51959999999999995</v>
      </c>
      <c r="CO211" s="228">
        <v>473</v>
      </c>
      <c r="CP211" s="228">
        <v>472</v>
      </c>
      <c r="CQ211" s="228">
        <v>0</v>
      </c>
      <c r="CR211" s="229">
        <v>5.0000000000000001E-4</v>
      </c>
      <c r="CS211" s="228">
        <v>334</v>
      </c>
      <c r="CT211" s="228">
        <v>319</v>
      </c>
      <c r="CU211" s="228">
        <v>14</v>
      </c>
      <c r="CV211" s="229">
        <v>4.4900000000000002E-2</v>
      </c>
      <c r="CW211" s="230">
        <v>2584</v>
      </c>
      <c r="CX211" s="230">
        <v>2549</v>
      </c>
      <c r="CY211" s="228">
        <v>35</v>
      </c>
      <c r="CZ211" s="229">
        <v>1.37E-2</v>
      </c>
      <c r="DA211" s="228">
        <v>34.72</v>
      </c>
      <c r="DB211" s="228">
        <v>33.78</v>
      </c>
      <c r="DC211" s="228">
        <v>0.94</v>
      </c>
      <c r="DD211" s="228">
        <v>0.94</v>
      </c>
      <c r="DE211" s="228">
        <v>37.950000000000003</v>
      </c>
      <c r="DF211" s="228">
        <v>38.04</v>
      </c>
      <c r="DG211" s="228">
        <v>-3.23</v>
      </c>
      <c r="DH211" s="228">
        <v>-0.09</v>
      </c>
      <c r="DI211" s="228">
        <v>34.94</v>
      </c>
      <c r="DJ211" s="228">
        <v>34.020000000000003</v>
      </c>
      <c r="DK211" s="228">
        <v>0.92</v>
      </c>
      <c r="DL211" s="228">
        <v>0.92</v>
      </c>
      <c r="DM211" s="228">
        <v>34.229999999999997</v>
      </c>
      <c r="DN211" s="228">
        <v>33.42</v>
      </c>
      <c r="DO211" s="228">
        <v>0.81</v>
      </c>
      <c r="DP211" s="228">
        <v>0.81</v>
      </c>
      <c r="DQ211" s="228">
        <v>0.71</v>
      </c>
      <c r="DR211" s="228">
        <v>0.68</v>
      </c>
      <c r="DS211" s="228">
        <v>0.03</v>
      </c>
      <c r="DT211" s="229">
        <v>4.41E-2</v>
      </c>
      <c r="DU211" s="228">
        <v>500</v>
      </c>
      <c r="DV211" s="228">
        <v>440</v>
      </c>
      <c r="DW211" s="228">
        <v>0.51</v>
      </c>
      <c r="DX211" s="228">
        <v>0.55000000000000004</v>
      </c>
      <c r="DY211" s="228">
        <v>-0.04</v>
      </c>
      <c r="DZ211" s="229">
        <v>-7.2700000000000001E-2</v>
      </c>
      <c r="EA211" s="229">
        <v>0.9022</v>
      </c>
      <c r="EB211" s="230">
        <v>23772825</v>
      </c>
      <c r="EC211" s="229">
        <v>6.0000000000000001E-3</v>
      </c>
      <c r="ED211" s="229">
        <v>0.9022</v>
      </c>
      <c r="EE211" s="228">
        <v>2.73</v>
      </c>
      <c r="EF211" s="229">
        <v>5.8999999999999999E-3</v>
      </c>
      <c r="EG211" s="230">
        <v>5127519</v>
      </c>
      <c r="EH211" s="230">
        <v>2448090</v>
      </c>
      <c r="EI211" s="229">
        <v>1.0945</v>
      </c>
      <c r="EJ211" s="229">
        <v>0.66649999999999998</v>
      </c>
      <c r="EK211" s="228">
        <v>725.85</v>
      </c>
      <c r="EL211" s="228">
        <v>355.42</v>
      </c>
      <c r="EM211" s="231">
        <v>1355.94</v>
      </c>
      <c r="EN211" s="228">
        <v>144.13</v>
      </c>
      <c r="EO211" s="231">
        <v>2437.21</v>
      </c>
      <c r="EP211" s="231">
        <v>1831.27</v>
      </c>
      <c r="EQ211" s="228">
        <v>605.94000000000005</v>
      </c>
      <c r="ER211" s="229">
        <v>0.33090000000000003</v>
      </c>
      <c r="ES211" s="228">
        <v>494.11</v>
      </c>
      <c r="ET211" s="228">
        <v>320.10000000000002</v>
      </c>
      <c r="EU211" s="231">
        <v>1787.46</v>
      </c>
      <c r="EV211" s="231">
        <v>203804339</v>
      </c>
      <c r="EW211" s="231">
        <v>2601.6799999999998</v>
      </c>
      <c r="EX211" s="231">
        <v>2569.71</v>
      </c>
      <c r="EY211" s="228">
        <v>31.97</v>
      </c>
      <c r="EZ211" s="229">
        <v>1.24E-2</v>
      </c>
      <c r="FA211" s="229">
        <v>0.27589999999999998</v>
      </c>
      <c r="FB211" s="227" t="s">
        <v>567</v>
      </c>
      <c r="FC211">
        <f t="shared" si="4"/>
        <v>0</v>
      </c>
    </row>
    <row r="212" spans="1:159" ht="17.25" thickBot="1" x14ac:dyDescent="0.3">
      <c r="A212" s="226">
        <v>45957</v>
      </c>
      <c r="B212" s="227" t="s">
        <v>227</v>
      </c>
      <c r="C212" s="227" t="s">
        <v>304</v>
      </c>
      <c r="D212" s="228">
        <v>1150</v>
      </c>
      <c r="E212" s="228">
        <v>1</v>
      </c>
      <c r="F212" s="228">
        <v>504.65</v>
      </c>
      <c r="G212" s="228">
        <v>496.6</v>
      </c>
      <c r="H212" s="228">
        <v>8.0500000000000007</v>
      </c>
      <c r="I212" s="229">
        <v>1.6199999999999999E-2</v>
      </c>
      <c r="J212" s="228">
        <v>505.25</v>
      </c>
      <c r="K212" s="228">
        <v>495.6</v>
      </c>
      <c r="L212" s="228">
        <v>9.65</v>
      </c>
      <c r="M212" s="229">
        <v>1.95E-2</v>
      </c>
      <c r="N212" s="228">
        <v>504.65</v>
      </c>
      <c r="O212" s="228">
        <v>496.6</v>
      </c>
      <c r="P212" s="228">
        <v>8.0500000000000007</v>
      </c>
      <c r="Q212" s="229">
        <v>1.6199999999999999E-2</v>
      </c>
      <c r="R212" s="228">
        <v>507.6</v>
      </c>
      <c r="S212" s="228">
        <v>499.55</v>
      </c>
      <c r="T212" s="228">
        <v>8.0500000000000007</v>
      </c>
      <c r="U212" s="229">
        <v>1.61E-2</v>
      </c>
      <c r="V212" s="228">
        <v>508.9</v>
      </c>
      <c r="W212" s="228">
        <v>499.75</v>
      </c>
      <c r="X212" s="228">
        <v>9.15</v>
      </c>
      <c r="Y212" s="229">
        <v>1.83E-2</v>
      </c>
      <c r="Z212" s="228">
        <v>-0.6</v>
      </c>
      <c r="AA212" s="228">
        <v>1</v>
      </c>
      <c r="AB212" s="228">
        <v>-1.6</v>
      </c>
      <c r="AC212" s="229">
        <v>-1.1999999999999999E-3</v>
      </c>
      <c r="AD212" s="228">
        <v>-0.6</v>
      </c>
      <c r="AE212" s="228">
        <v>1</v>
      </c>
      <c r="AF212" s="228">
        <v>-1.6</v>
      </c>
      <c r="AG212" s="229">
        <v>-1.1999999999999999E-3</v>
      </c>
      <c r="AH212" s="228">
        <v>2.35</v>
      </c>
      <c r="AI212" s="228">
        <v>3.95</v>
      </c>
      <c r="AJ212" s="228">
        <v>-1.6</v>
      </c>
      <c r="AK212" s="229">
        <v>4.7000000000000002E-3</v>
      </c>
      <c r="AL212" s="228">
        <v>3.65</v>
      </c>
      <c r="AM212" s="228">
        <v>4.1500000000000004</v>
      </c>
      <c r="AN212" s="228">
        <v>-0.5</v>
      </c>
      <c r="AO212" s="229">
        <v>7.1999999999999998E-3</v>
      </c>
      <c r="AP212" s="228">
        <v>501.99</v>
      </c>
      <c r="AQ212" s="228">
        <v>505.05</v>
      </c>
      <c r="AR212" s="228">
        <v>0</v>
      </c>
      <c r="AS212" s="230">
        <v>2544</v>
      </c>
      <c r="AT212" s="230">
        <v>5311</v>
      </c>
      <c r="AU212" s="230">
        <v>-2767</v>
      </c>
      <c r="AV212" s="229">
        <v>-0.52100000000000002</v>
      </c>
      <c r="AW212" s="230">
        <v>1211</v>
      </c>
      <c r="AX212" s="230">
        <v>2645</v>
      </c>
      <c r="AY212" s="230">
        <v>-1434</v>
      </c>
      <c r="AZ212" s="229">
        <v>-0.54220000000000002</v>
      </c>
      <c r="BA212" s="230">
        <v>1303</v>
      </c>
      <c r="BB212" s="230">
        <v>2632</v>
      </c>
      <c r="BC212" s="230">
        <v>-1329</v>
      </c>
      <c r="BD212" s="229">
        <v>-0.505</v>
      </c>
      <c r="BE212" s="228">
        <v>30</v>
      </c>
      <c r="BF212" s="228">
        <v>34</v>
      </c>
      <c r="BG212" s="228">
        <v>-4</v>
      </c>
      <c r="BH212" s="229">
        <v>-0.12479999999999999</v>
      </c>
      <c r="BI212" s="230">
        <v>4759</v>
      </c>
      <c r="BJ212" s="230">
        <v>7884</v>
      </c>
      <c r="BK212" s="230">
        <v>-3125</v>
      </c>
      <c r="BL212" s="229">
        <v>-0.39639999999999997</v>
      </c>
      <c r="BM212" s="230">
        <v>1864</v>
      </c>
      <c r="BN212" s="230">
        <v>3156</v>
      </c>
      <c r="BO212" s="230">
        <v>-1292</v>
      </c>
      <c r="BP212" s="229">
        <v>-0.40939999999999999</v>
      </c>
      <c r="BQ212" s="230">
        <v>9166</v>
      </c>
      <c r="BR212" s="230">
        <v>16350</v>
      </c>
      <c r="BS212" s="230">
        <v>-7184</v>
      </c>
      <c r="BT212" s="229">
        <v>-0.43940000000000001</v>
      </c>
      <c r="BU212" s="230">
        <v>14890628</v>
      </c>
      <c r="BV212" s="230">
        <v>27641214</v>
      </c>
      <c r="BW212" s="230">
        <v>-12750586</v>
      </c>
      <c r="BX212" s="229">
        <v>-0.46129999999999999</v>
      </c>
      <c r="BY212" s="230">
        <v>5575</v>
      </c>
      <c r="BZ212" s="230">
        <v>5529</v>
      </c>
      <c r="CA212" s="228">
        <v>45</v>
      </c>
      <c r="CB212" s="229">
        <v>8.2000000000000007E-3</v>
      </c>
      <c r="CC212" s="228">
        <v>781</v>
      </c>
      <c r="CD212" s="230">
        <v>1634</v>
      </c>
      <c r="CE212" s="228">
        <v>-854</v>
      </c>
      <c r="CF212" s="229">
        <v>-0.52229999999999999</v>
      </c>
      <c r="CG212" s="230">
        <v>4739</v>
      </c>
      <c r="CH212" s="230">
        <v>3848</v>
      </c>
      <c r="CI212" s="228">
        <v>891</v>
      </c>
      <c r="CJ212" s="229">
        <v>0.2316</v>
      </c>
      <c r="CK212" s="228">
        <v>55</v>
      </c>
      <c r="CL212" s="228">
        <v>47</v>
      </c>
      <c r="CM212" s="228">
        <v>8</v>
      </c>
      <c r="CN212" s="229">
        <v>0.16339999999999999</v>
      </c>
      <c r="CO212" s="230">
        <v>1455</v>
      </c>
      <c r="CP212" s="230">
        <v>1741</v>
      </c>
      <c r="CQ212" s="228">
        <v>-286</v>
      </c>
      <c r="CR212" s="229">
        <v>-0.16450000000000001</v>
      </c>
      <c r="CS212" s="230">
        <v>1361</v>
      </c>
      <c r="CT212" s="230">
        <v>1377</v>
      </c>
      <c r="CU212" s="228">
        <v>-16</v>
      </c>
      <c r="CV212" s="229">
        <v>-1.1299999999999999E-2</v>
      </c>
      <c r="CW212" s="230">
        <v>8391</v>
      </c>
      <c r="CX212" s="230">
        <v>8648</v>
      </c>
      <c r="CY212" s="228">
        <v>-257</v>
      </c>
      <c r="CZ212" s="229">
        <v>-2.9700000000000001E-2</v>
      </c>
      <c r="DA212" s="228">
        <v>32.119999999999997</v>
      </c>
      <c r="DB212" s="228">
        <v>31.65</v>
      </c>
      <c r="DC212" s="228">
        <v>0.47</v>
      </c>
      <c r="DD212" s="228">
        <v>0.47</v>
      </c>
      <c r="DE212" s="228">
        <v>38.01</v>
      </c>
      <c r="DF212" s="228">
        <v>38.04</v>
      </c>
      <c r="DG212" s="228">
        <v>-5.89</v>
      </c>
      <c r="DH212" s="228">
        <v>-0.03</v>
      </c>
      <c r="DI212" s="228">
        <v>31.88</v>
      </c>
      <c r="DJ212" s="228">
        <v>31.63</v>
      </c>
      <c r="DK212" s="228">
        <v>0.25</v>
      </c>
      <c r="DL212" s="228">
        <v>0.25</v>
      </c>
      <c r="DM212" s="228">
        <v>32.61</v>
      </c>
      <c r="DN212" s="228">
        <v>31.69</v>
      </c>
      <c r="DO212" s="228">
        <v>0.92</v>
      </c>
      <c r="DP212" s="228">
        <v>0.92</v>
      </c>
      <c r="DQ212" s="228">
        <v>0.94</v>
      </c>
      <c r="DR212" s="228">
        <v>0.79</v>
      </c>
      <c r="DS212" s="228">
        <v>0.15</v>
      </c>
      <c r="DT212" s="229">
        <v>0.18990000000000001</v>
      </c>
      <c r="DU212" s="228">
        <v>500</v>
      </c>
      <c r="DV212" s="228">
        <v>500</v>
      </c>
      <c r="DW212" s="228">
        <v>0.39</v>
      </c>
      <c r="DX212" s="228">
        <v>0.4</v>
      </c>
      <c r="DY212" s="228">
        <v>-0.01</v>
      </c>
      <c r="DZ212" s="229">
        <v>-2.5000000000000001E-2</v>
      </c>
      <c r="EA212" s="229">
        <v>0.8599</v>
      </c>
      <c r="EB212" s="230">
        <v>77181100</v>
      </c>
      <c r="EC212" s="229">
        <v>5.7999999999999996E-3</v>
      </c>
      <c r="ED212" s="229">
        <v>0.8599</v>
      </c>
      <c r="EE212" s="228">
        <v>3.06</v>
      </c>
      <c r="EF212" s="229">
        <v>6.1000000000000004E-3</v>
      </c>
      <c r="EG212" s="230">
        <v>6884472</v>
      </c>
      <c r="EH212" s="230">
        <v>12407510</v>
      </c>
      <c r="EI212" s="229">
        <v>-0.4451</v>
      </c>
      <c r="EJ212" s="229">
        <v>0.46229999999999999</v>
      </c>
      <c r="EK212" s="231">
        <v>4842.34</v>
      </c>
      <c r="EL212" s="231">
        <v>1817.65</v>
      </c>
      <c r="EM212" s="231">
        <v>2538.52</v>
      </c>
      <c r="EN212" s="228">
        <v>418.73</v>
      </c>
      <c r="EO212" s="231">
        <v>9198.51</v>
      </c>
      <c r="EP212" s="231">
        <v>16272.65</v>
      </c>
      <c r="EQ212" s="231">
        <v>-7074.14</v>
      </c>
      <c r="ER212" s="229">
        <v>-0.43469999999999998</v>
      </c>
      <c r="ES212" s="231">
        <v>1443.56</v>
      </c>
      <c r="ET212" s="231">
        <v>1251.27</v>
      </c>
      <c r="EU212" s="231">
        <v>5602.87</v>
      </c>
      <c r="EV212" s="231">
        <v>255091106</v>
      </c>
      <c r="EW212" s="231">
        <v>8297.7000000000007</v>
      </c>
      <c r="EX212" s="231">
        <v>8450.41</v>
      </c>
      <c r="EY212" s="228">
        <v>-152.71</v>
      </c>
      <c r="EZ212" s="229">
        <v>-1.8100000000000002E-2</v>
      </c>
      <c r="FA212" s="229">
        <v>0.65180000000000005</v>
      </c>
      <c r="FB212" s="227" t="s">
        <v>555</v>
      </c>
      <c r="FC212">
        <f t="shared" si="4"/>
        <v>0</v>
      </c>
    </row>
    <row r="213" spans="1:159" ht="17.25" thickBot="1" x14ac:dyDescent="0.3">
      <c r="A213" s="226">
        <v>45957</v>
      </c>
      <c r="B213" s="227" t="s">
        <v>184</v>
      </c>
      <c r="C213" s="227" t="s">
        <v>305</v>
      </c>
      <c r="D213" s="228">
        <v>375</v>
      </c>
      <c r="E213" s="228">
        <v>1</v>
      </c>
      <c r="F213" s="231">
        <v>1433.7</v>
      </c>
      <c r="G213" s="231">
        <v>1443.6</v>
      </c>
      <c r="H213" s="228">
        <v>-9.9</v>
      </c>
      <c r="I213" s="229">
        <v>-6.8999999999999999E-3</v>
      </c>
      <c r="J213" s="231">
        <v>1436.6</v>
      </c>
      <c r="K213" s="231">
        <v>1441.4</v>
      </c>
      <c r="L213" s="228">
        <v>-4.8</v>
      </c>
      <c r="M213" s="229">
        <v>-3.3E-3</v>
      </c>
      <c r="N213" s="231">
        <v>1433.7</v>
      </c>
      <c r="O213" s="231">
        <v>1443.6</v>
      </c>
      <c r="P213" s="228">
        <v>-9.9</v>
      </c>
      <c r="Q213" s="229">
        <v>-6.8999999999999999E-3</v>
      </c>
      <c r="R213" s="231">
        <v>1401.5</v>
      </c>
      <c r="S213" s="231">
        <v>1408.5</v>
      </c>
      <c r="T213" s="228">
        <v>-7</v>
      </c>
      <c r="U213" s="229">
        <v>-5.0000000000000001E-3</v>
      </c>
      <c r="V213" s="231">
        <v>1382.9</v>
      </c>
      <c r="W213" s="231">
        <v>1393.1</v>
      </c>
      <c r="X213" s="228">
        <v>-10.199999999999999</v>
      </c>
      <c r="Y213" s="229">
        <v>-7.3000000000000001E-3</v>
      </c>
      <c r="Z213" s="228">
        <v>-2.9</v>
      </c>
      <c r="AA213" s="228">
        <v>2.2000000000000002</v>
      </c>
      <c r="AB213" s="228">
        <v>-5.0999999999999996</v>
      </c>
      <c r="AC213" s="229">
        <v>-2E-3</v>
      </c>
      <c r="AD213" s="228">
        <v>-2.9</v>
      </c>
      <c r="AE213" s="228">
        <v>2.2000000000000002</v>
      </c>
      <c r="AF213" s="228">
        <v>-5.0999999999999996</v>
      </c>
      <c r="AG213" s="229">
        <v>-2E-3</v>
      </c>
      <c r="AH213" s="228">
        <v>-35.1</v>
      </c>
      <c r="AI213" s="228">
        <v>-32.9</v>
      </c>
      <c r="AJ213" s="228">
        <v>-2.2000000000000002</v>
      </c>
      <c r="AK213" s="229">
        <v>-2.4400000000000002E-2</v>
      </c>
      <c r="AL213" s="228">
        <v>-53.7</v>
      </c>
      <c r="AM213" s="228">
        <v>-48.3</v>
      </c>
      <c r="AN213" s="228">
        <v>-5.4</v>
      </c>
      <c r="AO213" s="229">
        <v>-3.7400000000000003E-2</v>
      </c>
      <c r="AP213" s="231">
        <v>1433.06</v>
      </c>
      <c r="AQ213" s="231">
        <v>1398.28</v>
      </c>
      <c r="AR213" s="228">
        <v>0</v>
      </c>
      <c r="AS213" s="230">
        <v>1372</v>
      </c>
      <c r="AT213" s="230">
        <v>1464</v>
      </c>
      <c r="AU213" s="228">
        <v>-92</v>
      </c>
      <c r="AV213" s="229">
        <v>-6.25E-2</v>
      </c>
      <c r="AW213" s="228">
        <v>668</v>
      </c>
      <c r="AX213" s="228">
        <v>760</v>
      </c>
      <c r="AY213" s="228">
        <v>-93</v>
      </c>
      <c r="AZ213" s="229">
        <v>-0.1217</v>
      </c>
      <c r="BA213" s="228">
        <v>690</v>
      </c>
      <c r="BB213" s="228">
        <v>701</v>
      </c>
      <c r="BC213" s="228">
        <v>-10</v>
      </c>
      <c r="BD213" s="229">
        <v>-1.44E-2</v>
      </c>
      <c r="BE213" s="228">
        <v>14</v>
      </c>
      <c r="BF213" s="228">
        <v>3</v>
      </c>
      <c r="BG213" s="228">
        <v>11</v>
      </c>
      <c r="BH213" s="229">
        <v>3.3934000000000002</v>
      </c>
      <c r="BI213" s="228">
        <v>574</v>
      </c>
      <c r="BJ213" s="228">
        <v>686</v>
      </c>
      <c r="BK213" s="228">
        <v>-113</v>
      </c>
      <c r="BL213" s="229">
        <v>-0.1643</v>
      </c>
      <c r="BM213" s="228">
        <v>381</v>
      </c>
      <c r="BN213" s="228">
        <v>357</v>
      </c>
      <c r="BO213" s="228">
        <v>24</v>
      </c>
      <c r="BP213" s="229">
        <v>6.7100000000000007E-2</v>
      </c>
      <c r="BQ213" s="230">
        <v>2327</v>
      </c>
      <c r="BR213" s="230">
        <v>2508</v>
      </c>
      <c r="BS213" s="228">
        <v>-180</v>
      </c>
      <c r="BT213" s="229">
        <v>-7.1900000000000006E-2</v>
      </c>
      <c r="BU213" s="230">
        <v>1348716</v>
      </c>
      <c r="BV213" s="230">
        <v>554013</v>
      </c>
      <c r="BW213" s="230">
        <v>794703</v>
      </c>
      <c r="BX213" s="229">
        <v>1.4343999999999999</v>
      </c>
      <c r="BY213" s="230">
        <v>1889</v>
      </c>
      <c r="BZ213" s="230">
        <v>1899</v>
      </c>
      <c r="CA213" s="228">
        <v>-10</v>
      </c>
      <c r="CB213" s="229">
        <v>-5.1999999999999998E-3</v>
      </c>
      <c r="CC213" s="228">
        <v>192</v>
      </c>
      <c r="CD213" s="228">
        <v>617</v>
      </c>
      <c r="CE213" s="228">
        <v>-425</v>
      </c>
      <c r="CF213" s="229">
        <v>-0.68899999999999995</v>
      </c>
      <c r="CG213" s="230">
        <v>1671</v>
      </c>
      <c r="CH213" s="230">
        <v>1261</v>
      </c>
      <c r="CI213" s="228">
        <v>410</v>
      </c>
      <c r="CJ213" s="229">
        <v>0.32519999999999999</v>
      </c>
      <c r="CK213" s="228">
        <v>26</v>
      </c>
      <c r="CL213" s="228">
        <v>21</v>
      </c>
      <c r="CM213" s="228">
        <v>5</v>
      </c>
      <c r="CN213" s="229">
        <v>0.2636</v>
      </c>
      <c r="CO213" s="228">
        <v>434</v>
      </c>
      <c r="CP213" s="228">
        <v>441</v>
      </c>
      <c r="CQ213" s="228">
        <v>-7</v>
      </c>
      <c r="CR213" s="229">
        <v>-1.55E-2</v>
      </c>
      <c r="CS213" s="228">
        <v>441</v>
      </c>
      <c r="CT213" s="228">
        <v>463</v>
      </c>
      <c r="CU213" s="228">
        <v>-22</v>
      </c>
      <c r="CV213" s="229">
        <v>-4.7800000000000002E-2</v>
      </c>
      <c r="CW213" s="230">
        <v>2764</v>
      </c>
      <c r="CX213" s="230">
        <v>2802</v>
      </c>
      <c r="CY213" s="228">
        <v>-39</v>
      </c>
      <c r="CZ213" s="229">
        <v>-1.38E-2</v>
      </c>
      <c r="DA213" s="228">
        <v>31.41</v>
      </c>
      <c r="DB213" s="228">
        <v>31.23</v>
      </c>
      <c r="DC213" s="228">
        <v>0.18</v>
      </c>
      <c r="DD213" s="228">
        <v>0.18</v>
      </c>
      <c r="DE213" s="228">
        <v>37.53</v>
      </c>
      <c r="DF213" s="228">
        <v>37.61</v>
      </c>
      <c r="DG213" s="228">
        <v>-6.12</v>
      </c>
      <c r="DH213" s="228">
        <v>-0.08</v>
      </c>
      <c r="DI213" s="228">
        <v>31.63</v>
      </c>
      <c r="DJ213" s="228">
        <v>31.27</v>
      </c>
      <c r="DK213" s="228">
        <v>0.36</v>
      </c>
      <c r="DL213" s="228">
        <v>0.36</v>
      </c>
      <c r="DM213" s="228">
        <v>31.07</v>
      </c>
      <c r="DN213" s="228">
        <v>31.14</v>
      </c>
      <c r="DO213" s="228">
        <v>-7.0000000000000007E-2</v>
      </c>
      <c r="DP213" s="228">
        <v>-7.0000000000000007E-2</v>
      </c>
      <c r="DQ213" s="228">
        <v>1.01</v>
      </c>
      <c r="DR213" s="228">
        <v>1.05</v>
      </c>
      <c r="DS213" s="228">
        <v>-0.04</v>
      </c>
      <c r="DT213" s="229">
        <v>-3.8100000000000002E-2</v>
      </c>
      <c r="DU213" s="231">
        <v>1460</v>
      </c>
      <c r="DV213" s="231">
        <v>1300</v>
      </c>
      <c r="DW213" s="228">
        <v>0.66</v>
      </c>
      <c r="DX213" s="228">
        <v>0.52</v>
      </c>
      <c r="DY213" s="228">
        <v>0.14000000000000001</v>
      </c>
      <c r="DZ213" s="229">
        <v>0.26919999999999999</v>
      </c>
      <c r="EA213" s="229">
        <v>0.89839999999999998</v>
      </c>
      <c r="EB213" s="230">
        <v>8938125</v>
      </c>
      <c r="EC213" s="229">
        <v>-2.2499999999999999E-2</v>
      </c>
      <c r="ED213" s="229">
        <v>0.89839999999999998</v>
      </c>
      <c r="EE213" s="228">
        <v>-34.78</v>
      </c>
      <c r="EF213" s="229">
        <v>-2.4299999999999999E-2</v>
      </c>
      <c r="EG213" s="230">
        <v>623676</v>
      </c>
      <c r="EH213" s="230">
        <v>285731</v>
      </c>
      <c r="EI213" s="229">
        <v>1.1827000000000001</v>
      </c>
      <c r="EJ213" s="229">
        <v>0.46239999999999998</v>
      </c>
      <c r="EK213" s="228">
        <v>589.86</v>
      </c>
      <c r="EL213" s="228">
        <v>375.16</v>
      </c>
      <c r="EM213" s="231">
        <v>1354.53</v>
      </c>
      <c r="EN213" s="228">
        <v>163.99</v>
      </c>
      <c r="EO213" s="231">
        <v>2319.5500000000002</v>
      </c>
      <c r="EP213" s="231">
        <v>2517.79</v>
      </c>
      <c r="EQ213" s="228">
        <v>-198.24</v>
      </c>
      <c r="ER213" s="229">
        <v>-7.8700000000000006E-2</v>
      </c>
      <c r="ES213" s="228">
        <v>442.97</v>
      </c>
      <c r="ET213" s="228">
        <v>411.47</v>
      </c>
      <c r="EU213" s="231">
        <v>1850.38</v>
      </c>
      <c r="EV213" s="231">
        <v>34594689</v>
      </c>
      <c r="EW213" s="231">
        <v>2704.81</v>
      </c>
      <c r="EX213" s="231">
        <v>2763.22</v>
      </c>
      <c r="EY213" s="228">
        <v>-58.41</v>
      </c>
      <c r="EZ213" s="229">
        <v>-2.1100000000000001E-2</v>
      </c>
      <c r="FA213" s="229">
        <v>0.55720000000000003</v>
      </c>
      <c r="FB213" s="227" t="s">
        <v>568</v>
      </c>
      <c r="FC213">
        <f t="shared" si="4"/>
        <v>0</v>
      </c>
    </row>
    <row r="214" spans="1:159" ht="17.25" thickBot="1" x14ac:dyDescent="0.3">
      <c r="A214" s="226">
        <v>45957</v>
      </c>
      <c r="B214" s="227" t="s">
        <v>221</v>
      </c>
      <c r="C214" s="227" t="s">
        <v>306</v>
      </c>
      <c r="D214" s="228">
        <v>3000</v>
      </c>
      <c r="E214" s="228">
        <v>1</v>
      </c>
      <c r="F214" s="228">
        <v>244.6</v>
      </c>
      <c r="G214" s="228">
        <v>243.58</v>
      </c>
      <c r="H214" s="228">
        <v>1.02</v>
      </c>
      <c r="I214" s="229">
        <v>4.1999999999999997E-3</v>
      </c>
      <c r="J214" s="228">
        <v>243.91</v>
      </c>
      <c r="K214" s="228">
        <v>242.98</v>
      </c>
      <c r="L214" s="228">
        <v>0.93</v>
      </c>
      <c r="M214" s="229">
        <v>3.8E-3</v>
      </c>
      <c r="N214" s="228">
        <v>244.6</v>
      </c>
      <c r="O214" s="228">
        <v>243.58</v>
      </c>
      <c r="P214" s="228">
        <v>1.02</v>
      </c>
      <c r="Q214" s="229">
        <v>4.1999999999999997E-3</v>
      </c>
      <c r="R214" s="228">
        <v>243.52</v>
      </c>
      <c r="S214" s="228">
        <v>242.14</v>
      </c>
      <c r="T214" s="228">
        <v>1.38</v>
      </c>
      <c r="U214" s="229">
        <v>5.7000000000000002E-3</v>
      </c>
      <c r="V214" s="228">
        <v>242.8</v>
      </c>
      <c r="W214" s="228">
        <v>241.31</v>
      </c>
      <c r="X214" s="228">
        <v>1.49</v>
      </c>
      <c r="Y214" s="229">
        <v>6.1999999999999998E-3</v>
      </c>
      <c r="Z214" s="228">
        <v>0.69</v>
      </c>
      <c r="AA214" s="228">
        <v>0.6</v>
      </c>
      <c r="AB214" s="228">
        <v>0.09</v>
      </c>
      <c r="AC214" s="229">
        <v>2.8E-3</v>
      </c>
      <c r="AD214" s="228">
        <v>0.69</v>
      </c>
      <c r="AE214" s="228">
        <v>0.6</v>
      </c>
      <c r="AF214" s="228">
        <v>0.09</v>
      </c>
      <c r="AG214" s="229">
        <v>2.8E-3</v>
      </c>
      <c r="AH214" s="228">
        <v>-0.39</v>
      </c>
      <c r="AI214" s="228">
        <v>-0.84</v>
      </c>
      <c r="AJ214" s="228">
        <v>0.45</v>
      </c>
      <c r="AK214" s="229">
        <v>-1.6000000000000001E-3</v>
      </c>
      <c r="AL214" s="228">
        <v>-1.1100000000000001</v>
      </c>
      <c r="AM214" s="228">
        <v>-1.67</v>
      </c>
      <c r="AN214" s="228">
        <v>0.56000000000000005</v>
      </c>
      <c r="AO214" s="229">
        <v>-4.5999999999999999E-3</v>
      </c>
      <c r="AP214" s="228">
        <v>245.02</v>
      </c>
      <c r="AQ214" s="228">
        <v>243.75</v>
      </c>
      <c r="AR214" s="228">
        <v>0</v>
      </c>
      <c r="AS214" s="230">
        <v>2535</v>
      </c>
      <c r="AT214" s="230">
        <v>2518</v>
      </c>
      <c r="AU214" s="228">
        <v>18</v>
      </c>
      <c r="AV214" s="229">
        <v>7.0000000000000001E-3</v>
      </c>
      <c r="AW214" s="230">
        <v>1226</v>
      </c>
      <c r="AX214" s="230">
        <v>1233</v>
      </c>
      <c r="AY214" s="228">
        <v>-7</v>
      </c>
      <c r="AZ214" s="229">
        <v>-5.8999999999999999E-3</v>
      </c>
      <c r="BA214" s="230">
        <v>1282</v>
      </c>
      <c r="BB214" s="230">
        <v>1263</v>
      </c>
      <c r="BC214" s="228">
        <v>19</v>
      </c>
      <c r="BD214" s="229">
        <v>1.49E-2</v>
      </c>
      <c r="BE214" s="228">
        <v>27</v>
      </c>
      <c r="BF214" s="228">
        <v>21</v>
      </c>
      <c r="BG214" s="228">
        <v>6</v>
      </c>
      <c r="BH214" s="229">
        <v>0.2918</v>
      </c>
      <c r="BI214" s="230">
        <v>1678</v>
      </c>
      <c r="BJ214" s="230">
        <v>1597</v>
      </c>
      <c r="BK214" s="228">
        <v>81</v>
      </c>
      <c r="BL214" s="229">
        <v>5.0700000000000002E-2</v>
      </c>
      <c r="BM214" s="228">
        <v>857</v>
      </c>
      <c r="BN214" s="230">
        <v>1106</v>
      </c>
      <c r="BO214" s="228">
        <v>-249</v>
      </c>
      <c r="BP214" s="229">
        <v>-0.22500000000000001</v>
      </c>
      <c r="BQ214" s="230">
        <v>5070</v>
      </c>
      <c r="BR214" s="230">
        <v>5220</v>
      </c>
      <c r="BS214" s="228">
        <v>-150</v>
      </c>
      <c r="BT214" s="229">
        <v>-2.8799999999999999E-2</v>
      </c>
      <c r="BU214" s="230">
        <v>9757644</v>
      </c>
      <c r="BV214" s="230">
        <v>7093779</v>
      </c>
      <c r="BW214" s="230">
        <v>2663865</v>
      </c>
      <c r="BX214" s="229">
        <v>0.3755</v>
      </c>
      <c r="BY214" s="230">
        <v>3920</v>
      </c>
      <c r="BZ214" s="230">
        <v>3989</v>
      </c>
      <c r="CA214" s="228">
        <v>-69</v>
      </c>
      <c r="CB214" s="229">
        <v>-1.7299999999999999E-2</v>
      </c>
      <c r="CC214" s="228">
        <v>532</v>
      </c>
      <c r="CD214" s="230">
        <v>1235</v>
      </c>
      <c r="CE214" s="228">
        <v>-703</v>
      </c>
      <c r="CF214" s="229">
        <v>-0.56899999999999995</v>
      </c>
      <c r="CG214" s="230">
        <v>3285</v>
      </c>
      <c r="CH214" s="230">
        <v>2655</v>
      </c>
      <c r="CI214" s="228">
        <v>630</v>
      </c>
      <c r="CJ214" s="229">
        <v>0.23730000000000001</v>
      </c>
      <c r="CK214" s="228">
        <v>103</v>
      </c>
      <c r="CL214" s="228">
        <v>99</v>
      </c>
      <c r="CM214" s="228">
        <v>4</v>
      </c>
      <c r="CN214" s="229">
        <v>3.8600000000000002E-2</v>
      </c>
      <c r="CO214" s="230">
        <v>1685</v>
      </c>
      <c r="CP214" s="230">
        <v>1803</v>
      </c>
      <c r="CQ214" s="228">
        <v>-118</v>
      </c>
      <c r="CR214" s="229">
        <v>-6.5699999999999995E-2</v>
      </c>
      <c r="CS214" s="230">
        <v>1110</v>
      </c>
      <c r="CT214" s="230">
        <v>1144</v>
      </c>
      <c r="CU214" s="228">
        <v>-34</v>
      </c>
      <c r="CV214" s="229">
        <v>-0.03</v>
      </c>
      <c r="CW214" s="230">
        <v>6714</v>
      </c>
      <c r="CX214" s="230">
        <v>6936</v>
      </c>
      <c r="CY214" s="228">
        <v>-222</v>
      </c>
      <c r="CZ214" s="229">
        <v>-3.2000000000000001E-2</v>
      </c>
      <c r="DA214" s="228">
        <v>23.59</v>
      </c>
      <c r="DB214" s="228">
        <v>23.69</v>
      </c>
      <c r="DC214" s="228">
        <v>-0.1</v>
      </c>
      <c r="DD214" s="228">
        <v>-0.1</v>
      </c>
      <c r="DE214" s="228">
        <v>31.23</v>
      </c>
      <c r="DF214" s="228">
        <v>31.3</v>
      </c>
      <c r="DG214" s="228">
        <v>-7.64</v>
      </c>
      <c r="DH214" s="228">
        <v>-7.0000000000000007E-2</v>
      </c>
      <c r="DI214" s="228">
        <v>23.85</v>
      </c>
      <c r="DJ214" s="228">
        <v>23.92</v>
      </c>
      <c r="DK214" s="228">
        <v>-7.0000000000000007E-2</v>
      </c>
      <c r="DL214" s="228">
        <v>-7.0000000000000007E-2</v>
      </c>
      <c r="DM214" s="228">
        <v>23.13</v>
      </c>
      <c r="DN214" s="228">
        <v>23.29</v>
      </c>
      <c r="DO214" s="228">
        <v>-0.16</v>
      </c>
      <c r="DP214" s="228">
        <v>-0.16</v>
      </c>
      <c r="DQ214" s="228">
        <v>0.66</v>
      </c>
      <c r="DR214" s="228">
        <v>0.63</v>
      </c>
      <c r="DS214" s="228">
        <v>0.03</v>
      </c>
      <c r="DT214" s="229">
        <v>4.7600000000000003E-2</v>
      </c>
      <c r="DU214" s="228">
        <v>250</v>
      </c>
      <c r="DV214" s="228">
        <v>240</v>
      </c>
      <c r="DW214" s="228">
        <v>0.51</v>
      </c>
      <c r="DX214" s="228">
        <v>0.69</v>
      </c>
      <c r="DY214" s="228">
        <v>-0.18</v>
      </c>
      <c r="DZ214" s="229">
        <v>-0.26090000000000002</v>
      </c>
      <c r="EA214" s="229">
        <v>0.86419999999999997</v>
      </c>
      <c r="EB214" s="230">
        <v>112578000</v>
      </c>
      <c r="EC214" s="229">
        <v>-4.4000000000000003E-3</v>
      </c>
      <c r="ED214" s="229">
        <v>0.86419999999999997</v>
      </c>
      <c r="EE214" s="228">
        <v>-1.27</v>
      </c>
      <c r="EF214" s="229">
        <v>-5.1999999999999998E-3</v>
      </c>
      <c r="EG214" s="230">
        <v>5994618</v>
      </c>
      <c r="EH214" s="230">
        <v>4047496</v>
      </c>
      <c r="EI214" s="229">
        <v>0.48110000000000003</v>
      </c>
      <c r="EJ214" s="229">
        <v>0.61439999999999995</v>
      </c>
      <c r="EK214" s="231">
        <v>1724.94</v>
      </c>
      <c r="EL214" s="228">
        <v>864.41</v>
      </c>
      <c r="EM214" s="231">
        <v>2532.56</v>
      </c>
      <c r="EN214" s="228">
        <v>264.82</v>
      </c>
      <c r="EO214" s="231">
        <v>5121.91</v>
      </c>
      <c r="EP214" s="231">
        <v>5261.42</v>
      </c>
      <c r="EQ214" s="228">
        <v>-139.51</v>
      </c>
      <c r="ER214" s="229">
        <v>-2.6499999999999999E-2</v>
      </c>
      <c r="ES214" s="231">
        <v>1760.5</v>
      </c>
      <c r="ET214" s="231">
        <v>1077.78</v>
      </c>
      <c r="EU214" s="231">
        <v>3904.33</v>
      </c>
      <c r="EV214" s="231">
        <v>292948819</v>
      </c>
      <c r="EW214" s="231">
        <v>6742.61</v>
      </c>
      <c r="EX214" s="231">
        <v>6945.6</v>
      </c>
      <c r="EY214" s="228">
        <v>-202.99</v>
      </c>
      <c r="EZ214" s="229">
        <v>-2.92E-2</v>
      </c>
      <c r="FA214" s="229">
        <v>0.93700000000000006</v>
      </c>
      <c r="FB214" s="227" t="s">
        <v>556</v>
      </c>
      <c r="FC214">
        <f t="shared" si="4"/>
        <v>0</v>
      </c>
    </row>
    <row r="215" spans="1:159" ht="17.25" thickBot="1" x14ac:dyDescent="0.3">
      <c r="A215" s="226">
        <v>45957</v>
      </c>
      <c r="B215" s="227" t="s">
        <v>172</v>
      </c>
      <c r="C215" s="227" t="s">
        <v>590</v>
      </c>
      <c r="D215" s="228">
        <v>31100</v>
      </c>
      <c r="E215" s="228">
        <v>1</v>
      </c>
      <c r="F215" s="228">
        <v>22.8</v>
      </c>
      <c r="G215" s="228">
        <v>22.68</v>
      </c>
      <c r="H215" s="228">
        <v>0.12</v>
      </c>
      <c r="I215" s="229">
        <v>5.3E-3</v>
      </c>
      <c r="J215" s="228">
        <v>22.77</v>
      </c>
      <c r="K215" s="228">
        <v>22.67</v>
      </c>
      <c r="L215" s="228">
        <v>0.1</v>
      </c>
      <c r="M215" s="229">
        <v>4.4000000000000003E-3</v>
      </c>
      <c r="N215" s="228">
        <v>22.8</v>
      </c>
      <c r="O215" s="228">
        <v>22.68</v>
      </c>
      <c r="P215" s="228">
        <v>0.12</v>
      </c>
      <c r="Q215" s="229">
        <v>5.3E-3</v>
      </c>
      <c r="R215" s="228">
        <v>22.93</v>
      </c>
      <c r="S215" s="228">
        <v>22.82</v>
      </c>
      <c r="T215" s="228">
        <v>0.11</v>
      </c>
      <c r="U215" s="229">
        <v>4.7999999999999996E-3</v>
      </c>
      <c r="V215" s="228">
        <v>23.09</v>
      </c>
      <c r="W215" s="228">
        <v>22.97</v>
      </c>
      <c r="X215" s="228">
        <v>0.12</v>
      </c>
      <c r="Y215" s="229">
        <v>5.1999999999999998E-3</v>
      </c>
      <c r="Z215" s="228">
        <v>0.03</v>
      </c>
      <c r="AA215" s="228">
        <v>0.01</v>
      </c>
      <c r="AB215" s="228">
        <v>0.02</v>
      </c>
      <c r="AC215" s="229">
        <v>1.2999999999999999E-3</v>
      </c>
      <c r="AD215" s="228">
        <v>0.03</v>
      </c>
      <c r="AE215" s="228">
        <v>0.01</v>
      </c>
      <c r="AF215" s="228">
        <v>0.02</v>
      </c>
      <c r="AG215" s="229">
        <v>1.2999999999999999E-3</v>
      </c>
      <c r="AH215" s="228">
        <v>0.16</v>
      </c>
      <c r="AI215" s="228">
        <v>0.15</v>
      </c>
      <c r="AJ215" s="228">
        <v>0.01</v>
      </c>
      <c r="AK215" s="229">
        <v>7.0000000000000001E-3</v>
      </c>
      <c r="AL215" s="228">
        <v>0.32</v>
      </c>
      <c r="AM215" s="228">
        <v>0.3</v>
      </c>
      <c r="AN215" s="228">
        <v>0.02</v>
      </c>
      <c r="AO215" s="229">
        <v>1.41E-2</v>
      </c>
      <c r="AP215" s="228">
        <v>22.83</v>
      </c>
      <c r="AQ215" s="228">
        <v>22.97</v>
      </c>
      <c r="AR215" s="228">
        <v>0</v>
      </c>
      <c r="AS215" s="230">
        <v>1314</v>
      </c>
      <c r="AT215" s="230">
        <v>1071</v>
      </c>
      <c r="AU215" s="228">
        <v>243</v>
      </c>
      <c r="AV215" s="229">
        <v>0.22650000000000001</v>
      </c>
      <c r="AW215" s="228">
        <v>619</v>
      </c>
      <c r="AX215" s="228">
        <v>533</v>
      </c>
      <c r="AY215" s="228">
        <v>86</v>
      </c>
      <c r="AZ215" s="229">
        <v>0.16039999999999999</v>
      </c>
      <c r="BA215" s="228">
        <v>670</v>
      </c>
      <c r="BB215" s="228">
        <v>526</v>
      </c>
      <c r="BC215" s="228">
        <v>143</v>
      </c>
      <c r="BD215" s="229">
        <v>0.27260000000000001</v>
      </c>
      <c r="BE215" s="228">
        <v>26</v>
      </c>
      <c r="BF215" s="228">
        <v>12</v>
      </c>
      <c r="BG215" s="228">
        <v>14</v>
      </c>
      <c r="BH215" s="229">
        <v>1.1412</v>
      </c>
      <c r="BI215" s="228">
        <v>282</v>
      </c>
      <c r="BJ215" s="228">
        <v>597</v>
      </c>
      <c r="BK215" s="228">
        <v>-315</v>
      </c>
      <c r="BL215" s="229">
        <v>-0.52739999999999998</v>
      </c>
      <c r="BM215" s="228">
        <v>124</v>
      </c>
      <c r="BN215" s="228">
        <v>120</v>
      </c>
      <c r="BO215" s="228">
        <v>4</v>
      </c>
      <c r="BP215" s="229">
        <v>3.0599999999999999E-2</v>
      </c>
      <c r="BQ215" s="230">
        <v>1721</v>
      </c>
      <c r="BR215" s="230">
        <v>1789</v>
      </c>
      <c r="BS215" s="228">
        <v>-69</v>
      </c>
      <c r="BT215" s="229">
        <v>-3.8300000000000001E-2</v>
      </c>
      <c r="BU215" s="230">
        <v>89638740</v>
      </c>
      <c r="BV215" s="230">
        <v>101211518</v>
      </c>
      <c r="BW215" s="230">
        <v>-11572778</v>
      </c>
      <c r="BX215" s="229">
        <v>-0.1143</v>
      </c>
      <c r="BY215" s="230">
        <v>2334</v>
      </c>
      <c r="BZ215" s="230">
        <v>2350</v>
      </c>
      <c r="CA215" s="228">
        <v>-17</v>
      </c>
      <c r="CB215" s="229">
        <v>-7.1000000000000004E-3</v>
      </c>
      <c r="CC215" s="228">
        <v>557</v>
      </c>
      <c r="CD215" s="230">
        <v>1052</v>
      </c>
      <c r="CE215" s="228">
        <v>-495</v>
      </c>
      <c r="CF215" s="229">
        <v>-0.4703</v>
      </c>
      <c r="CG215" s="230">
        <v>1695</v>
      </c>
      <c r="CH215" s="230">
        <v>1228</v>
      </c>
      <c r="CI215" s="228">
        <v>467</v>
      </c>
      <c r="CJ215" s="229">
        <v>0.38</v>
      </c>
      <c r="CK215" s="228">
        <v>81</v>
      </c>
      <c r="CL215" s="228">
        <v>70</v>
      </c>
      <c r="CM215" s="228">
        <v>11</v>
      </c>
      <c r="CN215" s="229">
        <v>0.1583</v>
      </c>
      <c r="CO215" s="230">
        <v>1044</v>
      </c>
      <c r="CP215" s="230">
        <v>1029</v>
      </c>
      <c r="CQ215" s="228">
        <v>15</v>
      </c>
      <c r="CR215" s="229">
        <v>1.41E-2</v>
      </c>
      <c r="CS215" s="228">
        <v>484</v>
      </c>
      <c r="CT215" s="228">
        <v>502</v>
      </c>
      <c r="CU215" s="228">
        <v>-18</v>
      </c>
      <c r="CV215" s="229">
        <v>-3.56E-2</v>
      </c>
      <c r="CW215" s="230">
        <v>3861</v>
      </c>
      <c r="CX215" s="230">
        <v>3881</v>
      </c>
      <c r="CY215" s="228">
        <v>-20</v>
      </c>
      <c r="CZ215" s="229">
        <v>-5.1999999999999998E-3</v>
      </c>
      <c r="DA215" s="228">
        <v>33.43</v>
      </c>
      <c r="DB215" s="228">
        <v>33.119999999999997</v>
      </c>
      <c r="DC215" s="228">
        <v>0.31</v>
      </c>
      <c r="DD215" s="228">
        <v>0.31</v>
      </c>
      <c r="DE215" s="228">
        <v>41.66</v>
      </c>
      <c r="DF215" s="228">
        <v>41.75</v>
      </c>
      <c r="DG215" s="228">
        <v>-8.23</v>
      </c>
      <c r="DH215" s="228">
        <v>-0.09</v>
      </c>
      <c r="DI215" s="228">
        <v>34.01</v>
      </c>
      <c r="DJ215" s="228">
        <v>33.36</v>
      </c>
      <c r="DK215" s="228">
        <v>0.65</v>
      </c>
      <c r="DL215" s="228">
        <v>0.65</v>
      </c>
      <c r="DM215" s="228">
        <v>31.54</v>
      </c>
      <c r="DN215" s="228">
        <v>31.58</v>
      </c>
      <c r="DO215" s="228">
        <v>-0.04</v>
      </c>
      <c r="DP215" s="228">
        <v>-0.04</v>
      </c>
      <c r="DQ215" s="228">
        <v>0.46</v>
      </c>
      <c r="DR215" s="228">
        <v>0.49</v>
      </c>
      <c r="DS215" s="228">
        <v>-0.03</v>
      </c>
      <c r="DT215" s="229">
        <v>-6.1199999999999997E-2</v>
      </c>
      <c r="DU215" s="228">
        <v>24</v>
      </c>
      <c r="DV215" s="228">
        <v>21</v>
      </c>
      <c r="DW215" s="228">
        <v>0.44</v>
      </c>
      <c r="DX215" s="228">
        <v>0.2</v>
      </c>
      <c r="DY215" s="228">
        <v>0.24</v>
      </c>
      <c r="DZ215" s="229">
        <v>1.2</v>
      </c>
      <c r="EA215" s="229">
        <v>0.76129999999999998</v>
      </c>
      <c r="EB215" s="230">
        <v>569627600</v>
      </c>
      <c r="EC215" s="229">
        <v>5.7000000000000002E-3</v>
      </c>
      <c r="ED215" s="229">
        <v>0.76129999999999998</v>
      </c>
      <c r="EE215" s="228">
        <v>0.14000000000000001</v>
      </c>
      <c r="EF215" s="229">
        <v>6.1000000000000004E-3</v>
      </c>
      <c r="EG215" s="230">
        <v>39332493</v>
      </c>
      <c r="EH215" s="230">
        <v>39786898</v>
      </c>
      <c r="EI215" s="229">
        <v>-1.14E-2</v>
      </c>
      <c r="EJ215" s="229">
        <v>0.43880000000000002</v>
      </c>
      <c r="EK215" s="228">
        <v>298.83999999999997</v>
      </c>
      <c r="EL215" s="228">
        <v>127.92</v>
      </c>
      <c r="EM215" s="231">
        <v>1320.15</v>
      </c>
      <c r="EN215" s="228">
        <v>97.85</v>
      </c>
      <c r="EO215" s="231">
        <v>1746.91</v>
      </c>
      <c r="EP215" s="231">
        <v>1825.41</v>
      </c>
      <c r="EQ215" s="228">
        <v>-78.5</v>
      </c>
      <c r="ER215" s="229">
        <v>-4.2999999999999997E-2</v>
      </c>
      <c r="ES215" s="231">
        <v>1119.1600000000001</v>
      </c>
      <c r="ET215" s="228">
        <v>459.51</v>
      </c>
      <c r="EU215" s="231">
        <v>2344.36</v>
      </c>
      <c r="EV215" s="231">
        <v>3136562346</v>
      </c>
      <c r="EW215" s="231">
        <v>3923.03</v>
      </c>
      <c r="EX215" s="231">
        <v>3926.86</v>
      </c>
      <c r="EY215" s="228">
        <v>-3.83</v>
      </c>
      <c r="EZ215" s="229">
        <v>-1E-3</v>
      </c>
      <c r="FA215" s="229">
        <v>0.53990000000000005</v>
      </c>
      <c r="FB215" s="227" t="s">
        <v>556</v>
      </c>
      <c r="FC215">
        <f t="shared" si="4"/>
        <v>0</v>
      </c>
    </row>
    <row r="216" spans="1:159" ht="17.25" thickBot="1" x14ac:dyDescent="0.3">
      <c r="A216" s="226">
        <v>45957</v>
      </c>
      <c r="B216" s="227" t="s">
        <v>170</v>
      </c>
      <c r="C216" s="227" t="s">
        <v>557</v>
      </c>
      <c r="D216" s="228">
        <v>900</v>
      </c>
      <c r="E216" s="228">
        <v>1</v>
      </c>
      <c r="F216" s="231">
        <v>1013.3</v>
      </c>
      <c r="G216" s="231">
        <v>1003.3</v>
      </c>
      <c r="H216" s="228">
        <v>10</v>
      </c>
      <c r="I216" s="229">
        <v>0.01</v>
      </c>
      <c r="J216" s="231">
        <v>1013.85</v>
      </c>
      <c r="K216" s="231">
        <v>1004.9</v>
      </c>
      <c r="L216" s="228">
        <v>8.9499999999999993</v>
      </c>
      <c r="M216" s="229">
        <v>8.8999999999999999E-3</v>
      </c>
      <c r="N216" s="231">
        <v>1013.3</v>
      </c>
      <c r="O216" s="231">
        <v>1003.3</v>
      </c>
      <c r="P216" s="228">
        <v>10</v>
      </c>
      <c r="Q216" s="229">
        <v>0.01</v>
      </c>
      <c r="R216" s="231">
        <v>1017.55</v>
      </c>
      <c r="S216" s="231">
        <v>1006.3</v>
      </c>
      <c r="T216" s="228">
        <v>11.25</v>
      </c>
      <c r="U216" s="229">
        <v>1.12E-2</v>
      </c>
      <c r="V216" s="231">
        <v>1023.45</v>
      </c>
      <c r="W216" s="231">
        <v>1011.55</v>
      </c>
      <c r="X216" s="228">
        <v>11.9</v>
      </c>
      <c r="Y216" s="229">
        <v>1.18E-2</v>
      </c>
      <c r="Z216" s="228">
        <v>-0.55000000000000004</v>
      </c>
      <c r="AA216" s="228">
        <v>-1.6</v>
      </c>
      <c r="AB216" s="228">
        <v>1.05</v>
      </c>
      <c r="AC216" s="229">
        <v>-5.0000000000000001E-4</v>
      </c>
      <c r="AD216" s="228">
        <v>-0.55000000000000004</v>
      </c>
      <c r="AE216" s="228">
        <v>-1.6</v>
      </c>
      <c r="AF216" s="228">
        <v>1.05</v>
      </c>
      <c r="AG216" s="229">
        <v>-5.0000000000000001E-4</v>
      </c>
      <c r="AH216" s="228">
        <v>3.7</v>
      </c>
      <c r="AI216" s="228">
        <v>1.4</v>
      </c>
      <c r="AJ216" s="228">
        <v>2.2999999999999998</v>
      </c>
      <c r="AK216" s="229">
        <v>3.5999999999999999E-3</v>
      </c>
      <c r="AL216" s="228">
        <v>9.6</v>
      </c>
      <c r="AM216" s="228">
        <v>6.65</v>
      </c>
      <c r="AN216" s="228">
        <v>2.95</v>
      </c>
      <c r="AO216" s="229">
        <v>9.4999999999999998E-3</v>
      </c>
      <c r="AP216" s="231">
        <v>1009.14</v>
      </c>
      <c r="AQ216" s="231">
        <v>1013.03</v>
      </c>
      <c r="AR216" s="228">
        <v>0</v>
      </c>
      <c r="AS216" s="228">
        <v>561</v>
      </c>
      <c r="AT216" s="228">
        <v>736</v>
      </c>
      <c r="AU216" s="228">
        <v>-175</v>
      </c>
      <c r="AV216" s="229">
        <v>-0.23810000000000001</v>
      </c>
      <c r="AW216" s="228">
        <v>278</v>
      </c>
      <c r="AX216" s="228">
        <v>382</v>
      </c>
      <c r="AY216" s="228">
        <v>-104</v>
      </c>
      <c r="AZ216" s="229">
        <v>-0.27200000000000002</v>
      </c>
      <c r="BA216" s="228">
        <v>281</v>
      </c>
      <c r="BB216" s="228">
        <v>353</v>
      </c>
      <c r="BC216" s="228">
        <v>-72</v>
      </c>
      <c r="BD216" s="229">
        <v>-0.20469999999999999</v>
      </c>
      <c r="BE216" s="228">
        <v>2</v>
      </c>
      <c r="BF216" s="228">
        <v>1</v>
      </c>
      <c r="BG216" s="228">
        <v>1</v>
      </c>
      <c r="BH216" s="229">
        <v>0.6</v>
      </c>
      <c r="BI216" s="228">
        <v>294</v>
      </c>
      <c r="BJ216" s="228">
        <v>374</v>
      </c>
      <c r="BK216" s="228">
        <v>-80</v>
      </c>
      <c r="BL216" s="229">
        <v>-0.21429999999999999</v>
      </c>
      <c r="BM216" s="228">
        <v>121</v>
      </c>
      <c r="BN216" s="228">
        <v>122</v>
      </c>
      <c r="BO216" s="228">
        <v>-1</v>
      </c>
      <c r="BP216" s="229">
        <v>-1.12E-2</v>
      </c>
      <c r="BQ216" s="228">
        <v>976</v>
      </c>
      <c r="BR216" s="230">
        <v>1233</v>
      </c>
      <c r="BS216" s="228">
        <v>-257</v>
      </c>
      <c r="BT216" s="229">
        <v>-0.20830000000000001</v>
      </c>
      <c r="BU216" s="230">
        <v>529501</v>
      </c>
      <c r="BV216" s="230">
        <v>596541</v>
      </c>
      <c r="BW216" s="230">
        <v>-67040</v>
      </c>
      <c r="BX216" s="229">
        <v>-0.1124</v>
      </c>
      <c r="BY216" s="228">
        <v>782</v>
      </c>
      <c r="BZ216" s="228">
        <v>829</v>
      </c>
      <c r="CA216" s="228">
        <v>-46</v>
      </c>
      <c r="CB216" s="229">
        <v>-5.5800000000000002E-2</v>
      </c>
      <c r="CC216" s="228">
        <v>82</v>
      </c>
      <c r="CD216" s="228">
        <v>254</v>
      </c>
      <c r="CE216" s="228">
        <v>-172</v>
      </c>
      <c r="CF216" s="229">
        <v>-0.67779999999999996</v>
      </c>
      <c r="CG216" s="228">
        <v>694</v>
      </c>
      <c r="CH216" s="228">
        <v>569</v>
      </c>
      <c r="CI216" s="228">
        <v>126</v>
      </c>
      <c r="CJ216" s="229">
        <v>0.2208</v>
      </c>
      <c r="CK216" s="228">
        <v>6</v>
      </c>
      <c r="CL216" s="228">
        <v>6</v>
      </c>
      <c r="CM216" s="228">
        <v>1</v>
      </c>
      <c r="CN216" s="229">
        <v>0.1148</v>
      </c>
      <c r="CO216" s="228">
        <v>273</v>
      </c>
      <c r="CP216" s="228">
        <v>295</v>
      </c>
      <c r="CQ216" s="228">
        <v>-22</v>
      </c>
      <c r="CR216" s="229">
        <v>-7.5200000000000003E-2</v>
      </c>
      <c r="CS216" s="228">
        <v>205</v>
      </c>
      <c r="CT216" s="228">
        <v>197</v>
      </c>
      <c r="CU216" s="228">
        <v>8</v>
      </c>
      <c r="CV216" s="229">
        <v>4.1200000000000001E-2</v>
      </c>
      <c r="CW216" s="230">
        <v>1260</v>
      </c>
      <c r="CX216" s="230">
        <v>1320</v>
      </c>
      <c r="CY216" s="228">
        <v>-60</v>
      </c>
      <c r="CZ216" s="229">
        <v>-4.5699999999999998E-2</v>
      </c>
      <c r="DA216" s="228">
        <v>25.28</v>
      </c>
      <c r="DB216" s="228">
        <v>24.92</v>
      </c>
      <c r="DC216" s="228">
        <v>0.36</v>
      </c>
      <c r="DD216" s="228">
        <v>0.36</v>
      </c>
      <c r="DE216" s="228">
        <v>29.6</v>
      </c>
      <c r="DF216" s="228">
        <v>29.65</v>
      </c>
      <c r="DG216" s="228">
        <v>-4.32</v>
      </c>
      <c r="DH216" s="228">
        <v>-0.05</v>
      </c>
      <c r="DI216" s="228">
        <v>25.04</v>
      </c>
      <c r="DJ216" s="228">
        <v>24.28</v>
      </c>
      <c r="DK216" s="228">
        <v>0.76</v>
      </c>
      <c r="DL216" s="228">
        <v>0.76</v>
      </c>
      <c r="DM216" s="228">
        <v>25.8</v>
      </c>
      <c r="DN216" s="228">
        <v>25.7</v>
      </c>
      <c r="DO216" s="228">
        <v>0.1</v>
      </c>
      <c r="DP216" s="228">
        <v>0.1</v>
      </c>
      <c r="DQ216" s="228">
        <v>0.75</v>
      </c>
      <c r="DR216" s="228">
        <v>0.67</v>
      </c>
      <c r="DS216" s="228">
        <v>0.08</v>
      </c>
      <c r="DT216" s="229">
        <v>0.11940000000000001</v>
      </c>
      <c r="DU216" s="231">
        <v>1040</v>
      </c>
      <c r="DV216" s="228">
        <v>880</v>
      </c>
      <c r="DW216" s="228">
        <v>0.41</v>
      </c>
      <c r="DX216" s="228">
        <v>0.33</v>
      </c>
      <c r="DY216" s="228">
        <v>0.08</v>
      </c>
      <c r="DZ216" s="229">
        <v>0.2424</v>
      </c>
      <c r="EA216" s="229">
        <v>0.8952</v>
      </c>
      <c r="EB216" s="230">
        <v>5667300</v>
      </c>
      <c r="EC216" s="229">
        <v>4.1999999999999997E-3</v>
      </c>
      <c r="ED216" s="229">
        <v>0.8952</v>
      </c>
      <c r="EE216" s="228">
        <v>3.89</v>
      </c>
      <c r="EF216" s="229">
        <v>3.8999999999999998E-3</v>
      </c>
      <c r="EG216" s="230">
        <v>350575</v>
      </c>
      <c r="EH216" s="230">
        <v>331742</v>
      </c>
      <c r="EI216" s="229">
        <v>5.6800000000000003E-2</v>
      </c>
      <c r="EJ216" s="229">
        <v>0.66210000000000002</v>
      </c>
      <c r="EK216" s="228">
        <v>302.87</v>
      </c>
      <c r="EL216" s="228">
        <v>121.13</v>
      </c>
      <c r="EM216" s="228">
        <v>559.66</v>
      </c>
      <c r="EN216" s="228">
        <v>41.05</v>
      </c>
      <c r="EO216" s="228">
        <v>983.66</v>
      </c>
      <c r="EP216" s="231">
        <v>1230.3900000000001</v>
      </c>
      <c r="EQ216" s="228">
        <v>-246.72</v>
      </c>
      <c r="ER216" s="229">
        <v>-0.20050000000000001</v>
      </c>
      <c r="ES216" s="228">
        <v>282.17</v>
      </c>
      <c r="ET216" s="228">
        <v>196.81</v>
      </c>
      <c r="EU216" s="228">
        <v>785.44</v>
      </c>
      <c r="EV216" s="231">
        <v>32617803</v>
      </c>
      <c r="EW216" s="231">
        <v>1264.42</v>
      </c>
      <c r="EX216" s="231">
        <v>1315.44</v>
      </c>
      <c r="EY216" s="228">
        <v>-51.02</v>
      </c>
      <c r="EZ216" s="229">
        <v>-3.8800000000000001E-2</v>
      </c>
      <c r="FA216" s="229">
        <v>0.38119999999999998</v>
      </c>
      <c r="FB216" s="227" t="s">
        <v>556</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G152" sqref="G152"/>
    </sheetView>
  </sheetViews>
  <sheetFormatPr defaultRowHeight="15" x14ac:dyDescent="0.25"/>
  <cols>
    <col min="1" max="1" width="11.8554687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85546875" customWidth="1"/>
    <col min="80" max="81" width="15.5703125" customWidth="1"/>
    <col min="82" max="82" width="16.42578125" customWidth="1"/>
    <col min="83" max="83" width="11.42578125" customWidth="1"/>
    <col min="84" max="86" width="15.5703125" customWidth="1"/>
    <col min="87" max="87" width="11.42578125" customWidth="1"/>
    <col min="88" max="89" width="14" customWidth="1"/>
    <col min="90" max="90" width="12.7109375" customWidth="1"/>
    <col min="91" max="91" width="10.140625" customWidth="1"/>
    <col min="92" max="93" width="15.5703125" customWidth="1"/>
    <col min="94" max="94" width="13.7109375" customWidth="1"/>
    <col min="95" max="95" width="10.42578125" customWidth="1"/>
    <col min="96" max="97" width="15.5703125" customWidth="1"/>
    <col min="98" max="98" width="14" customWidth="1"/>
    <col min="99" max="99" width="10.28515625" customWidth="1"/>
    <col min="100" max="101" width="16.710937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4.710937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45957</v>
      </c>
      <c r="B2" s="227" t="s">
        <v>175</v>
      </c>
      <c r="C2" s="227" t="s">
        <v>683</v>
      </c>
      <c r="D2" s="228">
        <v>500</v>
      </c>
      <c r="E2" s="231">
        <v>1174.0999999999999</v>
      </c>
      <c r="F2" s="231">
        <v>1180.5999999999999</v>
      </c>
      <c r="G2" s="228">
        <v>-6.5</v>
      </c>
      <c r="H2" s="229">
        <v>-5.4999999999999997E-3</v>
      </c>
      <c r="I2" s="231">
        <v>1173</v>
      </c>
      <c r="J2" s="231">
        <v>1185.7</v>
      </c>
      <c r="K2" s="228">
        <v>-12.7</v>
      </c>
      <c r="L2" s="229">
        <v>-1.0699999999999999E-2</v>
      </c>
      <c r="M2" s="231">
        <v>1174.0999999999999</v>
      </c>
      <c r="N2" s="231">
        <v>1180.5999999999999</v>
      </c>
      <c r="O2" s="228">
        <v>-6.5</v>
      </c>
      <c r="P2" s="229">
        <v>-5.4999999999999997E-3</v>
      </c>
      <c r="Q2" s="231">
        <v>1180.4000000000001</v>
      </c>
      <c r="R2" s="231">
        <v>1187.5</v>
      </c>
      <c r="S2" s="228">
        <v>-7.1</v>
      </c>
      <c r="T2" s="229">
        <v>-6.0000000000000001E-3</v>
      </c>
      <c r="U2" s="231">
        <v>1184.5</v>
      </c>
      <c r="V2" s="231">
        <v>1193.2</v>
      </c>
      <c r="W2" s="228">
        <v>-8.6999999999999993</v>
      </c>
      <c r="X2" s="229">
        <v>-7.3000000000000001E-3</v>
      </c>
      <c r="Y2" s="228">
        <v>1.1000000000000001</v>
      </c>
      <c r="Z2" s="228">
        <v>-5.0999999999999996</v>
      </c>
      <c r="AA2" s="228">
        <v>6.2</v>
      </c>
      <c r="AB2" s="229">
        <v>8.9999999999999998E-4</v>
      </c>
      <c r="AC2" s="228">
        <v>1.1000000000000001</v>
      </c>
      <c r="AD2" s="228">
        <v>-5.0999999999999996</v>
      </c>
      <c r="AE2" s="228">
        <v>6.2</v>
      </c>
      <c r="AF2" s="229">
        <v>8.9999999999999998E-4</v>
      </c>
      <c r="AG2" s="228">
        <v>7.4</v>
      </c>
      <c r="AH2" s="228">
        <v>1.8</v>
      </c>
      <c r="AI2" s="228">
        <v>5.6</v>
      </c>
      <c r="AJ2" s="229">
        <v>6.3E-3</v>
      </c>
      <c r="AK2" s="228">
        <v>11.5</v>
      </c>
      <c r="AL2" s="228">
        <v>7.5</v>
      </c>
      <c r="AM2" s="228">
        <v>4</v>
      </c>
      <c r="AN2" s="229">
        <v>9.7999999999999997E-3</v>
      </c>
      <c r="AO2" s="231">
        <v>1179.58</v>
      </c>
      <c r="AP2" s="231">
        <v>1185.26</v>
      </c>
      <c r="AQ2" s="228">
        <v>0</v>
      </c>
      <c r="AR2" s="230">
        <v>2704000</v>
      </c>
      <c r="AS2" s="230">
        <v>2781500</v>
      </c>
      <c r="AT2" s="230">
        <v>-77500</v>
      </c>
      <c r="AU2" s="229">
        <v>-2.7900000000000001E-2</v>
      </c>
      <c r="AV2" s="230">
        <v>1233500</v>
      </c>
      <c r="AW2" s="230">
        <v>1476000</v>
      </c>
      <c r="AX2" s="230">
        <v>-242500</v>
      </c>
      <c r="AY2" s="229">
        <v>-0.1643</v>
      </c>
      <c r="AZ2" s="230">
        <v>1468000</v>
      </c>
      <c r="BA2" s="230">
        <v>1304500</v>
      </c>
      <c r="BB2" s="230">
        <v>163500</v>
      </c>
      <c r="BC2" s="229">
        <v>0.12529999999999999</v>
      </c>
      <c r="BD2" s="230">
        <v>2500</v>
      </c>
      <c r="BE2" s="230">
        <v>1000</v>
      </c>
      <c r="BF2" s="230">
        <v>1500</v>
      </c>
      <c r="BG2" s="229">
        <v>1.5</v>
      </c>
      <c r="BH2" s="230">
        <v>1583500</v>
      </c>
      <c r="BI2" s="230">
        <v>3235500</v>
      </c>
      <c r="BJ2" s="230">
        <v>-1652000</v>
      </c>
      <c r="BK2" s="229">
        <v>-0.51060000000000005</v>
      </c>
      <c r="BL2" s="230">
        <v>1380500</v>
      </c>
      <c r="BM2" s="230">
        <v>1417500</v>
      </c>
      <c r="BN2" s="230">
        <v>-37000</v>
      </c>
      <c r="BO2" s="229">
        <v>-2.6100000000000002E-2</v>
      </c>
      <c r="BP2" s="230">
        <v>5668000</v>
      </c>
      <c r="BQ2" s="230">
        <v>7434500</v>
      </c>
      <c r="BR2" s="230">
        <v>-1766500</v>
      </c>
      <c r="BS2" s="229">
        <v>-0.23760000000000001</v>
      </c>
      <c r="BT2" s="230">
        <v>614376</v>
      </c>
      <c r="BU2" s="230">
        <v>508201</v>
      </c>
      <c r="BV2" s="230">
        <v>106175</v>
      </c>
      <c r="BW2" s="229">
        <v>0.2089</v>
      </c>
      <c r="BX2" s="230">
        <v>2717000</v>
      </c>
      <c r="BY2" s="230">
        <v>3338500</v>
      </c>
      <c r="BZ2" s="230">
        <v>-621500</v>
      </c>
      <c r="CA2" s="229">
        <v>-0.1862</v>
      </c>
      <c r="CB2" s="230">
        <v>729000</v>
      </c>
      <c r="CC2" s="230">
        <v>1544000</v>
      </c>
      <c r="CD2" s="230">
        <v>-815000</v>
      </c>
      <c r="CE2" s="229">
        <v>-0.52780000000000005</v>
      </c>
      <c r="CF2" s="230">
        <v>1980000</v>
      </c>
      <c r="CG2" s="230">
        <v>1789000</v>
      </c>
      <c r="CH2" s="230">
        <v>191000</v>
      </c>
      <c r="CI2" s="229">
        <v>0.10680000000000001</v>
      </c>
      <c r="CJ2" s="230">
        <v>8000</v>
      </c>
      <c r="CK2" s="230">
        <v>5500</v>
      </c>
      <c r="CL2" s="230">
        <v>2500</v>
      </c>
      <c r="CM2" s="229">
        <v>0.45450000000000002</v>
      </c>
      <c r="CN2" s="230">
        <v>1920500</v>
      </c>
      <c r="CO2" s="230">
        <v>2143500</v>
      </c>
      <c r="CP2" s="230">
        <v>-223000</v>
      </c>
      <c r="CQ2" s="229">
        <v>-0.104</v>
      </c>
      <c r="CR2" s="230">
        <v>1313000</v>
      </c>
      <c r="CS2" s="230">
        <v>1385500</v>
      </c>
      <c r="CT2" s="230">
        <v>-72500</v>
      </c>
      <c r="CU2" s="229">
        <v>-5.2299999999999999E-2</v>
      </c>
      <c r="CV2" s="230">
        <v>5950500</v>
      </c>
      <c r="CW2" s="230">
        <v>6867500</v>
      </c>
      <c r="CX2" s="230">
        <v>-917000</v>
      </c>
      <c r="CY2" s="229">
        <v>-0.13350000000000001</v>
      </c>
      <c r="CZ2" s="228">
        <v>29.31</v>
      </c>
      <c r="DA2" s="228">
        <v>29.31</v>
      </c>
      <c r="DB2" s="228">
        <v>0</v>
      </c>
      <c r="DC2" s="228">
        <v>0</v>
      </c>
      <c r="DD2" s="228">
        <v>45.39</v>
      </c>
      <c r="DE2" s="228">
        <v>45.5</v>
      </c>
      <c r="DF2" s="228">
        <v>-16.079999999999998</v>
      </c>
      <c r="DG2" s="228">
        <v>-0.11</v>
      </c>
      <c r="DH2" s="228">
        <v>29.37</v>
      </c>
      <c r="DI2" s="228">
        <v>28.93</v>
      </c>
      <c r="DJ2" s="228">
        <v>0.44</v>
      </c>
      <c r="DK2" s="228">
        <v>0.44</v>
      </c>
      <c r="DL2" s="228">
        <v>29.21</v>
      </c>
      <c r="DM2" s="228">
        <v>29.87</v>
      </c>
      <c r="DN2" s="228">
        <v>-0.66</v>
      </c>
      <c r="DO2" s="228">
        <v>-0.66</v>
      </c>
      <c r="DP2" s="228">
        <v>0.68</v>
      </c>
      <c r="DQ2" s="228">
        <v>0.65</v>
      </c>
      <c r="DR2" s="228">
        <v>0.03</v>
      </c>
      <c r="DS2" s="229">
        <v>4.6199999999999998E-2</v>
      </c>
      <c r="DT2" s="231">
        <v>1200</v>
      </c>
      <c r="DU2" s="231">
        <v>1140</v>
      </c>
      <c r="DV2" s="228">
        <v>0.87</v>
      </c>
      <c r="DW2" s="228">
        <v>0.44</v>
      </c>
      <c r="DX2" s="228">
        <v>0.43</v>
      </c>
      <c r="DY2" s="229">
        <v>0.97729999999999995</v>
      </c>
      <c r="DZ2" s="229">
        <v>0.73170000000000002</v>
      </c>
      <c r="EA2" s="230">
        <v>1794500</v>
      </c>
      <c r="EB2" s="229">
        <v>5.4000000000000003E-3</v>
      </c>
      <c r="EC2" s="229">
        <v>0.73170000000000002</v>
      </c>
      <c r="ED2" s="228">
        <v>5.68</v>
      </c>
      <c r="EE2" s="229">
        <v>4.7999999999999996E-3</v>
      </c>
      <c r="EF2" s="230">
        <v>384238</v>
      </c>
      <c r="EG2" s="230">
        <v>250853</v>
      </c>
      <c r="EH2" s="229">
        <v>0.53169999999999995</v>
      </c>
      <c r="EI2" s="229">
        <v>0.62539999999999996</v>
      </c>
      <c r="EJ2" s="231">
        <v>19228.509999999998</v>
      </c>
      <c r="EK2" s="231">
        <v>15142.68</v>
      </c>
      <c r="EL2" s="231">
        <v>31979.45</v>
      </c>
      <c r="EM2" s="231">
        <v>4520</v>
      </c>
      <c r="EN2" s="231">
        <v>66350.64</v>
      </c>
      <c r="EO2" s="231">
        <v>88655.039999999994</v>
      </c>
      <c r="EP2" s="231">
        <v>-22304.400000000001</v>
      </c>
      <c r="EQ2" s="229">
        <v>-0.25159999999999999</v>
      </c>
      <c r="ER2" s="231">
        <v>22854</v>
      </c>
      <c r="ES2" s="231">
        <v>14485</v>
      </c>
      <c r="ET2" s="231">
        <v>32026</v>
      </c>
      <c r="EU2" s="231">
        <v>44660948</v>
      </c>
      <c r="EV2" s="231">
        <v>69365</v>
      </c>
      <c r="EW2" s="231">
        <v>80376</v>
      </c>
      <c r="EX2" s="231">
        <v>-11011</v>
      </c>
      <c r="EY2" s="229">
        <v>-0.13700000000000001</v>
      </c>
      <c r="EZ2" s="229">
        <v>0.13320000000000001</v>
      </c>
      <c r="FA2" s="227" t="s">
        <v>568</v>
      </c>
      <c r="FB2" s="161">
        <f>BX2-CB2</f>
        <v>1988000</v>
      </c>
    </row>
    <row r="3" spans="1:158" ht="17.25" hidden="1" thickBot="1" x14ac:dyDescent="0.3">
      <c r="A3" s="226">
        <v>45957</v>
      </c>
      <c r="B3" s="227" t="s">
        <v>184</v>
      </c>
      <c r="C3" s="227" t="s">
        <v>553</v>
      </c>
      <c r="D3" s="228">
        <v>125</v>
      </c>
      <c r="E3" s="231">
        <v>5240</v>
      </c>
      <c r="F3" s="231">
        <v>5173.5</v>
      </c>
      <c r="G3" s="228">
        <v>66.5</v>
      </c>
      <c r="H3" s="229">
        <v>1.29E-2</v>
      </c>
      <c r="I3" s="231">
        <v>5238</v>
      </c>
      <c r="J3" s="231">
        <v>5181</v>
      </c>
      <c r="K3" s="228">
        <v>57</v>
      </c>
      <c r="L3" s="229">
        <v>1.0999999999999999E-2</v>
      </c>
      <c r="M3" s="231">
        <v>5240</v>
      </c>
      <c r="N3" s="231">
        <v>5173.5</v>
      </c>
      <c r="O3" s="228">
        <v>66.5</v>
      </c>
      <c r="P3" s="229">
        <v>1.29E-2</v>
      </c>
      <c r="Q3" s="231">
        <v>5238.5</v>
      </c>
      <c r="R3" s="231">
        <v>5172</v>
      </c>
      <c r="S3" s="228">
        <v>66.5</v>
      </c>
      <c r="T3" s="229">
        <v>1.29E-2</v>
      </c>
      <c r="U3" s="231">
        <v>5263</v>
      </c>
      <c r="V3" s="231">
        <v>5193.5</v>
      </c>
      <c r="W3" s="228">
        <v>69.5</v>
      </c>
      <c r="X3" s="229">
        <v>1.34E-2</v>
      </c>
      <c r="Y3" s="228">
        <v>2</v>
      </c>
      <c r="Z3" s="228">
        <v>-7.5</v>
      </c>
      <c r="AA3" s="228">
        <v>9.5</v>
      </c>
      <c r="AB3" s="229">
        <v>4.0000000000000002E-4</v>
      </c>
      <c r="AC3" s="228">
        <v>2</v>
      </c>
      <c r="AD3" s="228">
        <v>-7.5</v>
      </c>
      <c r="AE3" s="228">
        <v>9.5</v>
      </c>
      <c r="AF3" s="229">
        <v>4.0000000000000002E-4</v>
      </c>
      <c r="AG3" s="228">
        <v>0.5</v>
      </c>
      <c r="AH3" s="228">
        <v>-9</v>
      </c>
      <c r="AI3" s="228">
        <v>9.5</v>
      </c>
      <c r="AJ3" s="229">
        <v>1E-4</v>
      </c>
      <c r="AK3" s="228">
        <v>25</v>
      </c>
      <c r="AL3" s="228">
        <v>12.5</v>
      </c>
      <c r="AM3" s="228">
        <v>12.5</v>
      </c>
      <c r="AN3" s="229">
        <v>4.7999999999999996E-3</v>
      </c>
      <c r="AO3" s="231">
        <v>5210.05</v>
      </c>
      <c r="AP3" s="231">
        <v>5214.1499999999996</v>
      </c>
      <c r="AQ3" s="228">
        <v>0</v>
      </c>
      <c r="AR3" s="230">
        <v>1863375</v>
      </c>
      <c r="AS3" s="230">
        <v>2305125</v>
      </c>
      <c r="AT3" s="230">
        <v>-441750</v>
      </c>
      <c r="AU3" s="229">
        <v>-0.19159999999999999</v>
      </c>
      <c r="AV3" s="230">
        <v>895250</v>
      </c>
      <c r="AW3" s="230">
        <v>1111000</v>
      </c>
      <c r="AX3" s="230">
        <v>-215750</v>
      </c>
      <c r="AY3" s="229">
        <v>-0.19420000000000001</v>
      </c>
      <c r="AZ3" s="230">
        <v>949875</v>
      </c>
      <c r="BA3" s="230">
        <v>1168375</v>
      </c>
      <c r="BB3" s="230">
        <v>-218500</v>
      </c>
      <c r="BC3" s="229">
        <v>-0.187</v>
      </c>
      <c r="BD3" s="230">
        <v>18250</v>
      </c>
      <c r="BE3" s="230">
        <v>25750</v>
      </c>
      <c r="BF3" s="230">
        <v>-7500</v>
      </c>
      <c r="BG3" s="229">
        <v>-0.2913</v>
      </c>
      <c r="BH3" s="230">
        <v>1371250</v>
      </c>
      <c r="BI3" s="230">
        <v>1349625</v>
      </c>
      <c r="BJ3" s="230">
        <v>21625</v>
      </c>
      <c r="BK3" s="229">
        <v>1.6E-2</v>
      </c>
      <c r="BL3" s="230">
        <v>685250</v>
      </c>
      <c r="BM3" s="230">
        <v>976875</v>
      </c>
      <c r="BN3" s="230">
        <v>-291625</v>
      </c>
      <c r="BO3" s="229">
        <v>-0.29849999999999999</v>
      </c>
      <c r="BP3" s="230">
        <v>3919875</v>
      </c>
      <c r="BQ3" s="230">
        <v>4631625</v>
      </c>
      <c r="BR3" s="230">
        <v>-711750</v>
      </c>
      <c r="BS3" s="229">
        <v>-0.1537</v>
      </c>
      <c r="BT3" s="230">
        <v>77451</v>
      </c>
      <c r="BU3" s="230">
        <v>251323</v>
      </c>
      <c r="BV3" s="230">
        <v>-173872</v>
      </c>
      <c r="BW3" s="229">
        <v>-0.69179999999999997</v>
      </c>
      <c r="BX3" s="230">
        <v>2613750</v>
      </c>
      <c r="BY3" s="230">
        <v>2617750</v>
      </c>
      <c r="BZ3" s="230">
        <v>-4000</v>
      </c>
      <c r="CA3" s="229">
        <v>-1.5E-3</v>
      </c>
      <c r="CB3" s="230">
        <v>346000</v>
      </c>
      <c r="CC3" s="230">
        <v>835375</v>
      </c>
      <c r="CD3" s="230">
        <v>-489375</v>
      </c>
      <c r="CE3" s="229">
        <v>-0.58579999999999999</v>
      </c>
      <c r="CF3" s="230">
        <v>2227375</v>
      </c>
      <c r="CG3" s="230">
        <v>1748500</v>
      </c>
      <c r="CH3" s="230">
        <v>478875</v>
      </c>
      <c r="CI3" s="229">
        <v>0.27389999999999998</v>
      </c>
      <c r="CJ3" s="230">
        <v>40375</v>
      </c>
      <c r="CK3" s="230">
        <v>33875</v>
      </c>
      <c r="CL3" s="230">
        <v>6500</v>
      </c>
      <c r="CM3" s="229">
        <v>0.19189999999999999</v>
      </c>
      <c r="CN3" s="230">
        <v>1118000</v>
      </c>
      <c r="CO3" s="230">
        <v>1200000</v>
      </c>
      <c r="CP3" s="230">
        <v>-82000</v>
      </c>
      <c r="CQ3" s="229">
        <v>-6.83E-2</v>
      </c>
      <c r="CR3" s="230">
        <v>831625</v>
      </c>
      <c r="CS3" s="230">
        <v>827375</v>
      </c>
      <c r="CT3" s="230">
        <v>4250</v>
      </c>
      <c r="CU3" s="229">
        <v>5.1000000000000004E-3</v>
      </c>
      <c r="CV3" s="230">
        <v>4563375</v>
      </c>
      <c r="CW3" s="230">
        <v>4645125</v>
      </c>
      <c r="CX3" s="230">
        <v>-81750</v>
      </c>
      <c r="CY3" s="229">
        <v>-1.7600000000000001E-2</v>
      </c>
      <c r="CZ3" s="228">
        <v>27.57</v>
      </c>
      <c r="DA3" s="228">
        <v>28.25</v>
      </c>
      <c r="DB3" s="228">
        <v>-0.68</v>
      </c>
      <c r="DC3" s="228">
        <v>-0.68</v>
      </c>
      <c r="DD3" s="228">
        <v>36.090000000000003</v>
      </c>
      <c r="DE3" s="228">
        <v>36.15</v>
      </c>
      <c r="DF3" s="228">
        <v>-8.52</v>
      </c>
      <c r="DG3" s="228">
        <v>-0.06</v>
      </c>
      <c r="DH3" s="228">
        <v>27.44</v>
      </c>
      <c r="DI3" s="228">
        <v>27.34</v>
      </c>
      <c r="DJ3" s="228">
        <v>0.1</v>
      </c>
      <c r="DK3" s="228">
        <v>0.1</v>
      </c>
      <c r="DL3" s="228">
        <v>27.77</v>
      </c>
      <c r="DM3" s="228">
        <v>29.28</v>
      </c>
      <c r="DN3" s="228">
        <v>-1.51</v>
      </c>
      <c r="DO3" s="228">
        <v>-1.51</v>
      </c>
      <c r="DP3" s="228">
        <v>0.74</v>
      </c>
      <c r="DQ3" s="228">
        <v>0.69</v>
      </c>
      <c r="DR3" s="228">
        <v>0.05</v>
      </c>
      <c r="DS3" s="229">
        <v>7.2499999999999995E-2</v>
      </c>
      <c r="DT3" s="231">
        <v>5300</v>
      </c>
      <c r="DU3" s="231">
        <v>5200</v>
      </c>
      <c r="DV3" s="228">
        <v>0.5</v>
      </c>
      <c r="DW3" s="228">
        <v>0.72</v>
      </c>
      <c r="DX3" s="228">
        <v>-0.22</v>
      </c>
      <c r="DY3" s="229">
        <v>-0.30559999999999998</v>
      </c>
      <c r="DZ3" s="229">
        <v>0.86760000000000004</v>
      </c>
      <c r="EA3" s="230">
        <v>1782375</v>
      </c>
      <c r="EB3" s="229">
        <v>-2.9999999999999997E-4</v>
      </c>
      <c r="EC3" s="229">
        <v>0.86760000000000004</v>
      </c>
      <c r="ED3" s="228">
        <v>4.0999999999999996</v>
      </c>
      <c r="EE3" s="229">
        <v>8.0000000000000004E-4</v>
      </c>
      <c r="EF3" s="230">
        <v>38384</v>
      </c>
      <c r="EG3" s="230">
        <v>172651</v>
      </c>
      <c r="EH3" s="229">
        <v>-0.77769999999999995</v>
      </c>
      <c r="EI3" s="229">
        <v>0.49559999999999998</v>
      </c>
      <c r="EJ3" s="231">
        <v>74143.070000000007</v>
      </c>
      <c r="EK3" s="231">
        <v>36161.910000000003</v>
      </c>
      <c r="EL3" s="231">
        <v>97126.24</v>
      </c>
      <c r="EM3" s="231">
        <v>9885</v>
      </c>
      <c r="EN3" s="231">
        <v>207431.22</v>
      </c>
      <c r="EO3" s="231">
        <v>244794.41</v>
      </c>
      <c r="EP3" s="231">
        <v>-37363.19</v>
      </c>
      <c r="EQ3" s="229">
        <v>-0.15260000000000001</v>
      </c>
      <c r="ER3" s="231">
        <v>60591</v>
      </c>
      <c r="ES3" s="231">
        <v>43290</v>
      </c>
      <c r="ET3" s="231">
        <v>136936</v>
      </c>
      <c r="EU3" s="231">
        <v>7946564</v>
      </c>
      <c r="EV3" s="231">
        <v>240817</v>
      </c>
      <c r="EW3" s="231">
        <v>243417</v>
      </c>
      <c r="EX3" s="231">
        <v>-2600</v>
      </c>
      <c r="EY3" s="229">
        <v>-1.0699999999999999E-2</v>
      </c>
      <c r="EZ3" s="229">
        <v>0.57430000000000003</v>
      </c>
      <c r="FA3" s="227" t="s">
        <v>556</v>
      </c>
      <c r="FB3" s="161">
        <f t="shared" ref="FB3:FB66" si="0">BX3-CB3</f>
        <v>2267750</v>
      </c>
    </row>
    <row r="4" spans="1:158" ht="17.25" hidden="1" thickBot="1" x14ac:dyDescent="0.3">
      <c r="A4" s="226">
        <v>45957</v>
      </c>
      <c r="B4" s="227" t="s">
        <v>175</v>
      </c>
      <c r="C4" s="227" t="s">
        <v>544</v>
      </c>
      <c r="D4" s="228">
        <v>3100</v>
      </c>
      <c r="E4" s="228">
        <v>310.8</v>
      </c>
      <c r="F4" s="228">
        <v>305.7</v>
      </c>
      <c r="G4" s="228">
        <v>5.0999999999999996</v>
      </c>
      <c r="H4" s="229">
        <v>1.67E-2</v>
      </c>
      <c r="I4" s="228">
        <v>310.75</v>
      </c>
      <c r="J4" s="228">
        <v>306.14999999999998</v>
      </c>
      <c r="K4" s="228">
        <v>4.5999999999999996</v>
      </c>
      <c r="L4" s="229">
        <v>1.4999999999999999E-2</v>
      </c>
      <c r="M4" s="228">
        <v>310.8</v>
      </c>
      <c r="N4" s="228">
        <v>305.7</v>
      </c>
      <c r="O4" s="228">
        <v>5.0999999999999996</v>
      </c>
      <c r="P4" s="229">
        <v>1.67E-2</v>
      </c>
      <c r="Q4" s="228">
        <v>312.8</v>
      </c>
      <c r="R4" s="228">
        <v>307.60000000000002</v>
      </c>
      <c r="S4" s="228">
        <v>5.2</v>
      </c>
      <c r="T4" s="229">
        <v>1.6899999999999998E-2</v>
      </c>
      <c r="U4" s="228">
        <v>314.64999999999998</v>
      </c>
      <c r="V4" s="228">
        <v>309.45</v>
      </c>
      <c r="W4" s="228">
        <v>5.2</v>
      </c>
      <c r="X4" s="229">
        <v>1.6799999999999999E-2</v>
      </c>
      <c r="Y4" s="228">
        <v>0.05</v>
      </c>
      <c r="Z4" s="228">
        <v>-0.45</v>
      </c>
      <c r="AA4" s="228">
        <v>0.5</v>
      </c>
      <c r="AB4" s="229">
        <v>2.0000000000000001E-4</v>
      </c>
      <c r="AC4" s="228">
        <v>0.05</v>
      </c>
      <c r="AD4" s="228">
        <v>-0.45</v>
      </c>
      <c r="AE4" s="228">
        <v>0.5</v>
      </c>
      <c r="AF4" s="229">
        <v>2.0000000000000001E-4</v>
      </c>
      <c r="AG4" s="228">
        <v>2.0499999999999998</v>
      </c>
      <c r="AH4" s="228">
        <v>1.45</v>
      </c>
      <c r="AI4" s="228">
        <v>0.6</v>
      </c>
      <c r="AJ4" s="229">
        <v>6.6E-3</v>
      </c>
      <c r="AK4" s="228">
        <v>3.9</v>
      </c>
      <c r="AL4" s="228">
        <v>3.3</v>
      </c>
      <c r="AM4" s="228">
        <v>0.6</v>
      </c>
      <c r="AN4" s="229">
        <v>1.26E-2</v>
      </c>
      <c r="AO4" s="228">
        <v>310.10000000000002</v>
      </c>
      <c r="AP4" s="228">
        <v>311.95999999999998</v>
      </c>
      <c r="AQ4" s="228">
        <v>0</v>
      </c>
      <c r="AR4" s="230">
        <v>52390000</v>
      </c>
      <c r="AS4" s="230">
        <v>71151200</v>
      </c>
      <c r="AT4" s="230">
        <v>-18761200</v>
      </c>
      <c r="AU4" s="229">
        <v>-0.26369999999999999</v>
      </c>
      <c r="AV4" s="230">
        <v>25175100</v>
      </c>
      <c r="AW4" s="230">
        <v>35293500</v>
      </c>
      <c r="AX4" s="230">
        <v>-10118400</v>
      </c>
      <c r="AY4" s="229">
        <v>-0.28670000000000001</v>
      </c>
      <c r="AZ4" s="230">
        <v>26997900</v>
      </c>
      <c r="BA4" s="230">
        <v>35631400</v>
      </c>
      <c r="BB4" s="230">
        <v>-8633500</v>
      </c>
      <c r="BC4" s="229">
        <v>-0.24229999999999999</v>
      </c>
      <c r="BD4" s="230">
        <v>217000</v>
      </c>
      <c r="BE4" s="230">
        <v>226300</v>
      </c>
      <c r="BF4" s="230">
        <v>-9300</v>
      </c>
      <c r="BG4" s="229">
        <v>-4.1099999999999998E-2</v>
      </c>
      <c r="BH4" s="230">
        <v>20776200</v>
      </c>
      <c r="BI4" s="230">
        <v>23808000</v>
      </c>
      <c r="BJ4" s="230">
        <v>-3031800</v>
      </c>
      <c r="BK4" s="229">
        <v>-0.1273</v>
      </c>
      <c r="BL4" s="230">
        <v>13469500</v>
      </c>
      <c r="BM4" s="230">
        <v>12393800</v>
      </c>
      <c r="BN4" s="230">
        <v>1075700</v>
      </c>
      <c r="BO4" s="229">
        <v>8.6800000000000002E-2</v>
      </c>
      <c r="BP4" s="230">
        <v>86635700</v>
      </c>
      <c r="BQ4" s="230">
        <v>107353000</v>
      </c>
      <c r="BR4" s="230">
        <v>-20717300</v>
      </c>
      <c r="BS4" s="229">
        <v>-0.193</v>
      </c>
      <c r="BT4" s="230">
        <v>2320944</v>
      </c>
      <c r="BU4" s="230">
        <v>2825488</v>
      </c>
      <c r="BV4" s="230">
        <v>-504544</v>
      </c>
      <c r="BW4" s="229">
        <v>-0.17860000000000001</v>
      </c>
      <c r="BX4" s="230">
        <v>76483200</v>
      </c>
      <c r="BY4" s="230">
        <v>75953100</v>
      </c>
      <c r="BZ4" s="230">
        <v>530100</v>
      </c>
      <c r="CA4" s="229">
        <v>7.0000000000000001E-3</v>
      </c>
      <c r="CB4" s="230">
        <v>5167700</v>
      </c>
      <c r="CC4" s="230">
        <v>25342500</v>
      </c>
      <c r="CD4" s="230">
        <v>-20174800</v>
      </c>
      <c r="CE4" s="229">
        <v>-0.79610000000000003</v>
      </c>
      <c r="CF4" s="230">
        <v>70695500</v>
      </c>
      <c r="CG4" s="230">
        <v>50123900</v>
      </c>
      <c r="CH4" s="230">
        <v>20571600</v>
      </c>
      <c r="CI4" s="229">
        <v>0.41039999999999999</v>
      </c>
      <c r="CJ4" s="230">
        <v>620000</v>
      </c>
      <c r="CK4" s="230">
        <v>486700</v>
      </c>
      <c r="CL4" s="230">
        <v>133300</v>
      </c>
      <c r="CM4" s="229">
        <v>0.27389999999999998</v>
      </c>
      <c r="CN4" s="230">
        <v>17325900</v>
      </c>
      <c r="CO4" s="230">
        <v>18336500</v>
      </c>
      <c r="CP4" s="230">
        <v>-1010600</v>
      </c>
      <c r="CQ4" s="229">
        <v>-5.5100000000000003E-2</v>
      </c>
      <c r="CR4" s="230">
        <v>14411900</v>
      </c>
      <c r="CS4" s="230">
        <v>13795000</v>
      </c>
      <c r="CT4" s="230">
        <v>616900</v>
      </c>
      <c r="CU4" s="229">
        <v>4.4699999999999997E-2</v>
      </c>
      <c r="CV4" s="230">
        <v>108221000</v>
      </c>
      <c r="CW4" s="230">
        <v>108084600</v>
      </c>
      <c r="CX4" s="230">
        <v>136400</v>
      </c>
      <c r="CY4" s="229">
        <v>1.2999999999999999E-3</v>
      </c>
      <c r="CZ4" s="228">
        <v>32.22</v>
      </c>
      <c r="DA4" s="228">
        <v>32.4</v>
      </c>
      <c r="DB4" s="228">
        <v>-0.18</v>
      </c>
      <c r="DC4" s="228">
        <v>-0.18</v>
      </c>
      <c r="DD4" s="228">
        <v>39.880000000000003</v>
      </c>
      <c r="DE4" s="228">
        <v>39.92</v>
      </c>
      <c r="DF4" s="228">
        <v>-7.66</v>
      </c>
      <c r="DG4" s="228">
        <v>-0.04</v>
      </c>
      <c r="DH4" s="228">
        <v>32.15</v>
      </c>
      <c r="DI4" s="228">
        <v>32.29</v>
      </c>
      <c r="DJ4" s="228">
        <v>-0.14000000000000001</v>
      </c>
      <c r="DK4" s="228">
        <v>-0.14000000000000001</v>
      </c>
      <c r="DL4" s="228">
        <v>32.340000000000003</v>
      </c>
      <c r="DM4" s="228">
        <v>32.57</v>
      </c>
      <c r="DN4" s="228">
        <v>-0.23</v>
      </c>
      <c r="DO4" s="228">
        <v>-0.23</v>
      </c>
      <c r="DP4" s="228">
        <v>0.83</v>
      </c>
      <c r="DQ4" s="228">
        <v>0.75</v>
      </c>
      <c r="DR4" s="228">
        <v>0.08</v>
      </c>
      <c r="DS4" s="229">
        <v>0.1067</v>
      </c>
      <c r="DT4" s="228">
        <v>320</v>
      </c>
      <c r="DU4" s="228">
        <v>300</v>
      </c>
      <c r="DV4" s="228">
        <v>0.65</v>
      </c>
      <c r="DW4" s="228">
        <v>0.52</v>
      </c>
      <c r="DX4" s="228">
        <v>0.13</v>
      </c>
      <c r="DY4" s="229">
        <v>0.25</v>
      </c>
      <c r="DZ4" s="229">
        <v>0.93240000000000001</v>
      </c>
      <c r="EA4" s="230">
        <v>50610600</v>
      </c>
      <c r="EB4" s="229">
        <v>6.4000000000000003E-3</v>
      </c>
      <c r="EC4" s="229">
        <v>0.93240000000000001</v>
      </c>
      <c r="ED4" s="228">
        <v>1.86</v>
      </c>
      <c r="EE4" s="229">
        <v>6.0000000000000001E-3</v>
      </c>
      <c r="EF4" s="230">
        <v>948287</v>
      </c>
      <c r="EG4" s="230">
        <v>1265587</v>
      </c>
      <c r="EH4" s="229">
        <v>-0.25069999999999998</v>
      </c>
      <c r="EI4" s="229">
        <v>0.40860000000000002</v>
      </c>
      <c r="EJ4" s="231">
        <v>66474.899999999994</v>
      </c>
      <c r="EK4" s="231">
        <v>40897.42</v>
      </c>
      <c r="EL4" s="231">
        <v>162971.35999999999</v>
      </c>
      <c r="EM4" s="231">
        <v>10400</v>
      </c>
      <c r="EN4" s="231">
        <v>270343.67999999999</v>
      </c>
      <c r="EO4" s="231">
        <v>331742.26</v>
      </c>
      <c r="EP4" s="231">
        <v>-61398.58</v>
      </c>
      <c r="EQ4" s="229">
        <v>-0.18509999999999999</v>
      </c>
      <c r="ER4" s="231">
        <v>54647</v>
      </c>
      <c r="ES4" s="231">
        <v>41721</v>
      </c>
      <c r="ET4" s="231">
        <v>239148</v>
      </c>
      <c r="EU4" s="231">
        <v>122316423</v>
      </c>
      <c r="EV4" s="231">
        <v>335516</v>
      </c>
      <c r="EW4" s="231">
        <v>330487</v>
      </c>
      <c r="EX4" s="231">
        <v>5029</v>
      </c>
      <c r="EY4" s="229">
        <v>1.52E-2</v>
      </c>
      <c r="EZ4" s="229">
        <v>0.88480000000000003</v>
      </c>
      <c r="FA4" s="227" t="s">
        <v>555</v>
      </c>
      <c r="FB4" s="161">
        <f t="shared" si="0"/>
        <v>71315500</v>
      </c>
    </row>
    <row r="5" spans="1:158" ht="17.25" hidden="1" thickBot="1" x14ac:dyDescent="0.3">
      <c r="A5" s="226">
        <v>45957</v>
      </c>
      <c r="B5" s="227" t="s">
        <v>161</v>
      </c>
      <c r="C5" s="227" t="s">
        <v>579</v>
      </c>
      <c r="D5" s="228">
        <v>675</v>
      </c>
      <c r="E5" s="228">
        <v>945.55</v>
      </c>
      <c r="F5" s="228">
        <v>942.9</v>
      </c>
      <c r="G5" s="228">
        <v>2.65</v>
      </c>
      <c r="H5" s="229">
        <v>2.8E-3</v>
      </c>
      <c r="I5" s="228">
        <v>946.35</v>
      </c>
      <c r="J5" s="228">
        <v>944.25</v>
      </c>
      <c r="K5" s="228">
        <v>2.1</v>
      </c>
      <c r="L5" s="229">
        <v>2.2000000000000001E-3</v>
      </c>
      <c r="M5" s="228">
        <v>945.55</v>
      </c>
      <c r="N5" s="228">
        <v>942.9</v>
      </c>
      <c r="O5" s="228">
        <v>2.65</v>
      </c>
      <c r="P5" s="229">
        <v>2.8E-3</v>
      </c>
      <c r="Q5" s="228">
        <v>951.05</v>
      </c>
      <c r="R5" s="228">
        <v>948.3</v>
      </c>
      <c r="S5" s="228">
        <v>2.75</v>
      </c>
      <c r="T5" s="229">
        <v>2.8999999999999998E-3</v>
      </c>
      <c r="U5" s="228">
        <v>957.25</v>
      </c>
      <c r="V5" s="228">
        <v>950</v>
      </c>
      <c r="W5" s="228">
        <v>7.25</v>
      </c>
      <c r="X5" s="229">
        <v>7.6E-3</v>
      </c>
      <c r="Y5" s="228">
        <v>-0.8</v>
      </c>
      <c r="Z5" s="228">
        <v>-1.35</v>
      </c>
      <c r="AA5" s="228">
        <v>0.55000000000000004</v>
      </c>
      <c r="AB5" s="229">
        <v>-8.0000000000000004E-4</v>
      </c>
      <c r="AC5" s="228">
        <v>-0.8</v>
      </c>
      <c r="AD5" s="228">
        <v>-1.35</v>
      </c>
      <c r="AE5" s="228">
        <v>0.55000000000000004</v>
      </c>
      <c r="AF5" s="229">
        <v>-8.0000000000000004E-4</v>
      </c>
      <c r="AG5" s="228">
        <v>4.7</v>
      </c>
      <c r="AH5" s="228">
        <v>4.05</v>
      </c>
      <c r="AI5" s="228">
        <v>0.65</v>
      </c>
      <c r="AJ5" s="229">
        <v>5.0000000000000001E-3</v>
      </c>
      <c r="AK5" s="228">
        <v>10.9</v>
      </c>
      <c r="AL5" s="228">
        <v>5.75</v>
      </c>
      <c r="AM5" s="228">
        <v>5.15</v>
      </c>
      <c r="AN5" s="229">
        <v>1.15E-2</v>
      </c>
      <c r="AO5" s="228">
        <v>944.38</v>
      </c>
      <c r="AP5" s="228">
        <v>949.8</v>
      </c>
      <c r="AQ5" s="228">
        <v>0</v>
      </c>
      <c r="AR5" s="230">
        <v>8677125</v>
      </c>
      <c r="AS5" s="230">
        <v>12081150</v>
      </c>
      <c r="AT5" s="230">
        <v>-3404025</v>
      </c>
      <c r="AU5" s="229">
        <v>-0.28179999999999999</v>
      </c>
      <c r="AV5" s="230">
        <v>4187025</v>
      </c>
      <c r="AW5" s="230">
        <v>6234975</v>
      </c>
      <c r="AX5" s="230">
        <v>-2047950</v>
      </c>
      <c r="AY5" s="229">
        <v>-0.32850000000000001</v>
      </c>
      <c r="AZ5" s="230">
        <v>4469175</v>
      </c>
      <c r="BA5" s="230">
        <v>5819850</v>
      </c>
      <c r="BB5" s="230">
        <v>-1350675</v>
      </c>
      <c r="BC5" s="229">
        <v>-0.2321</v>
      </c>
      <c r="BD5" s="230">
        <v>20925</v>
      </c>
      <c r="BE5" s="230">
        <v>26325</v>
      </c>
      <c r="BF5" s="230">
        <v>-5400</v>
      </c>
      <c r="BG5" s="229">
        <v>-0.2051</v>
      </c>
      <c r="BH5" s="230">
        <v>9418950</v>
      </c>
      <c r="BI5" s="230">
        <v>4124925</v>
      </c>
      <c r="BJ5" s="230">
        <v>5294025</v>
      </c>
      <c r="BK5" s="229">
        <v>1.2834000000000001</v>
      </c>
      <c r="BL5" s="230">
        <v>3637575</v>
      </c>
      <c r="BM5" s="230">
        <v>1729350</v>
      </c>
      <c r="BN5" s="230">
        <v>1908225</v>
      </c>
      <c r="BO5" s="229">
        <v>1.1033999999999999</v>
      </c>
      <c r="BP5" s="230">
        <v>21733650</v>
      </c>
      <c r="BQ5" s="230">
        <v>17935425</v>
      </c>
      <c r="BR5" s="230">
        <v>3798225</v>
      </c>
      <c r="BS5" s="229">
        <v>0.21179999999999999</v>
      </c>
      <c r="BT5" s="230">
        <v>621387</v>
      </c>
      <c r="BU5" s="230">
        <v>1193382</v>
      </c>
      <c r="BV5" s="230">
        <v>-571995</v>
      </c>
      <c r="BW5" s="229">
        <v>-0.4793</v>
      </c>
      <c r="BX5" s="230">
        <v>18511200</v>
      </c>
      <c r="BY5" s="230">
        <v>18387675</v>
      </c>
      <c r="BZ5" s="230">
        <v>123525</v>
      </c>
      <c r="CA5" s="229">
        <v>6.7000000000000002E-3</v>
      </c>
      <c r="CB5" s="230">
        <v>1873125</v>
      </c>
      <c r="CC5" s="230">
        <v>5387850</v>
      </c>
      <c r="CD5" s="230">
        <v>-3514725</v>
      </c>
      <c r="CE5" s="229">
        <v>-0.65229999999999999</v>
      </c>
      <c r="CF5" s="230">
        <v>16562475</v>
      </c>
      <c r="CG5" s="230">
        <v>12935700</v>
      </c>
      <c r="CH5" s="230">
        <v>3626775</v>
      </c>
      <c r="CI5" s="229">
        <v>0.28039999999999998</v>
      </c>
      <c r="CJ5" s="230">
        <v>75600</v>
      </c>
      <c r="CK5" s="230">
        <v>64125</v>
      </c>
      <c r="CL5" s="230">
        <v>11475</v>
      </c>
      <c r="CM5" s="229">
        <v>0.1789</v>
      </c>
      <c r="CN5" s="230">
        <v>4400325</v>
      </c>
      <c r="CO5" s="230">
        <v>3611250</v>
      </c>
      <c r="CP5" s="230">
        <v>789075</v>
      </c>
      <c r="CQ5" s="229">
        <v>0.2185</v>
      </c>
      <c r="CR5" s="230">
        <v>2577150</v>
      </c>
      <c r="CS5" s="230">
        <v>2118825</v>
      </c>
      <c r="CT5" s="230">
        <v>458325</v>
      </c>
      <c r="CU5" s="229">
        <v>0.21629999999999999</v>
      </c>
      <c r="CV5" s="230">
        <v>25488675</v>
      </c>
      <c r="CW5" s="230">
        <v>24117750</v>
      </c>
      <c r="CX5" s="230">
        <v>1370925</v>
      </c>
      <c r="CY5" s="229">
        <v>5.6800000000000003E-2</v>
      </c>
      <c r="CZ5" s="228">
        <v>38.19</v>
      </c>
      <c r="DA5" s="228">
        <v>37.97</v>
      </c>
      <c r="DB5" s="228">
        <v>0.22</v>
      </c>
      <c r="DC5" s="228">
        <v>0.22</v>
      </c>
      <c r="DD5" s="228">
        <v>55.08</v>
      </c>
      <c r="DE5" s="228">
        <v>55.22</v>
      </c>
      <c r="DF5" s="228">
        <v>-16.89</v>
      </c>
      <c r="DG5" s="228">
        <v>-0.14000000000000001</v>
      </c>
      <c r="DH5" s="228">
        <v>38.1</v>
      </c>
      <c r="DI5" s="228">
        <v>37.69</v>
      </c>
      <c r="DJ5" s="228">
        <v>0.41</v>
      </c>
      <c r="DK5" s="228">
        <v>0.41</v>
      </c>
      <c r="DL5" s="228">
        <v>38.4</v>
      </c>
      <c r="DM5" s="228">
        <v>39.07</v>
      </c>
      <c r="DN5" s="228">
        <v>-0.67</v>
      </c>
      <c r="DO5" s="228">
        <v>-0.67</v>
      </c>
      <c r="DP5" s="228">
        <v>0.59</v>
      </c>
      <c r="DQ5" s="228">
        <v>0.59</v>
      </c>
      <c r="DR5" s="228">
        <v>0</v>
      </c>
      <c r="DS5" s="229">
        <v>0</v>
      </c>
      <c r="DT5" s="231">
        <v>1000</v>
      </c>
      <c r="DU5" s="228">
        <v>930</v>
      </c>
      <c r="DV5" s="228">
        <v>0.39</v>
      </c>
      <c r="DW5" s="228">
        <v>0.42</v>
      </c>
      <c r="DX5" s="228">
        <v>-0.03</v>
      </c>
      <c r="DY5" s="229">
        <v>-7.1400000000000005E-2</v>
      </c>
      <c r="DZ5" s="229">
        <v>0.89880000000000004</v>
      </c>
      <c r="EA5" s="230">
        <v>12999825</v>
      </c>
      <c r="EB5" s="229">
        <v>5.7999999999999996E-3</v>
      </c>
      <c r="EC5" s="229">
        <v>0.89880000000000004</v>
      </c>
      <c r="ED5" s="228">
        <v>5.42</v>
      </c>
      <c r="EE5" s="229">
        <v>5.7000000000000002E-3</v>
      </c>
      <c r="EF5" s="230">
        <v>313554</v>
      </c>
      <c r="EG5" s="230">
        <v>706814</v>
      </c>
      <c r="EH5" s="229">
        <v>-0.55640000000000001</v>
      </c>
      <c r="EI5" s="229">
        <v>0.50460000000000005</v>
      </c>
      <c r="EJ5" s="231">
        <v>92963.199999999997</v>
      </c>
      <c r="EK5" s="231">
        <v>33628.46</v>
      </c>
      <c r="EL5" s="231">
        <v>82190.05</v>
      </c>
      <c r="EM5" s="231">
        <v>11102</v>
      </c>
      <c r="EN5" s="231">
        <v>208781.71</v>
      </c>
      <c r="EO5" s="231">
        <v>171085.87</v>
      </c>
      <c r="EP5" s="231">
        <v>37695.839999999997</v>
      </c>
      <c r="EQ5" s="229">
        <v>0.2203</v>
      </c>
      <c r="ER5" s="231">
        <v>42876</v>
      </c>
      <c r="ES5" s="231">
        <v>23011</v>
      </c>
      <c r="ET5" s="231">
        <v>175952</v>
      </c>
      <c r="EU5" s="231">
        <v>51907388</v>
      </c>
      <c r="EV5" s="231">
        <v>241840</v>
      </c>
      <c r="EW5" s="231">
        <v>227958</v>
      </c>
      <c r="EX5" s="231">
        <v>13882</v>
      </c>
      <c r="EY5" s="229">
        <v>6.0900000000000003E-2</v>
      </c>
      <c r="EZ5" s="229">
        <v>0.49099999999999999</v>
      </c>
      <c r="FA5" s="227" t="s">
        <v>555</v>
      </c>
      <c r="FB5" s="161">
        <f t="shared" si="0"/>
        <v>16638075</v>
      </c>
    </row>
    <row r="6" spans="1:158" ht="17.25" hidden="1" thickBot="1" x14ac:dyDescent="0.3">
      <c r="A6" s="226">
        <v>45957</v>
      </c>
      <c r="B6" s="227" t="s">
        <v>215</v>
      </c>
      <c r="C6" s="227" t="s">
        <v>159</v>
      </c>
      <c r="D6" s="228">
        <v>300</v>
      </c>
      <c r="E6" s="231">
        <v>2492.8000000000002</v>
      </c>
      <c r="F6" s="231">
        <v>2501.8000000000002</v>
      </c>
      <c r="G6" s="228">
        <v>-9</v>
      </c>
      <c r="H6" s="229">
        <v>-3.5999999999999999E-3</v>
      </c>
      <c r="I6" s="231">
        <v>2492.8000000000002</v>
      </c>
      <c r="J6" s="231">
        <v>2504.1999999999998</v>
      </c>
      <c r="K6" s="228">
        <v>-11.4</v>
      </c>
      <c r="L6" s="229">
        <v>-4.5999999999999999E-3</v>
      </c>
      <c r="M6" s="231">
        <v>2492.8000000000002</v>
      </c>
      <c r="N6" s="231">
        <v>2501.8000000000002</v>
      </c>
      <c r="O6" s="228">
        <v>-9</v>
      </c>
      <c r="P6" s="229">
        <v>-3.5999999999999999E-3</v>
      </c>
      <c r="Q6" s="231">
        <v>2506.1</v>
      </c>
      <c r="R6" s="231">
        <v>2515.4</v>
      </c>
      <c r="S6" s="228">
        <v>-9.3000000000000007</v>
      </c>
      <c r="T6" s="229">
        <v>-3.7000000000000002E-3</v>
      </c>
      <c r="U6" s="231">
        <v>2525</v>
      </c>
      <c r="V6" s="231">
        <v>2532.5</v>
      </c>
      <c r="W6" s="228">
        <v>-7.5</v>
      </c>
      <c r="X6" s="229">
        <v>-3.0000000000000001E-3</v>
      </c>
      <c r="Y6" s="228">
        <v>0</v>
      </c>
      <c r="Z6" s="228">
        <v>-2.4</v>
      </c>
      <c r="AA6" s="228">
        <v>2.4</v>
      </c>
      <c r="AB6" s="229">
        <v>0</v>
      </c>
      <c r="AC6" s="228">
        <v>0</v>
      </c>
      <c r="AD6" s="228">
        <v>-2.4</v>
      </c>
      <c r="AE6" s="228">
        <v>2.4</v>
      </c>
      <c r="AF6" s="229">
        <v>0</v>
      </c>
      <c r="AG6" s="228">
        <v>13.3</v>
      </c>
      <c r="AH6" s="228">
        <v>11.2</v>
      </c>
      <c r="AI6" s="228">
        <v>2.1</v>
      </c>
      <c r="AJ6" s="229">
        <v>5.3E-3</v>
      </c>
      <c r="AK6" s="228">
        <v>32.200000000000003</v>
      </c>
      <c r="AL6" s="228">
        <v>28.3</v>
      </c>
      <c r="AM6" s="228">
        <v>3.9</v>
      </c>
      <c r="AN6" s="229">
        <v>1.29E-2</v>
      </c>
      <c r="AO6" s="231">
        <v>2496.09</v>
      </c>
      <c r="AP6" s="231">
        <v>2509.5300000000002</v>
      </c>
      <c r="AQ6" s="228">
        <v>0</v>
      </c>
      <c r="AR6" s="230">
        <v>7846800</v>
      </c>
      <c r="AS6" s="230">
        <v>8153400</v>
      </c>
      <c r="AT6" s="230">
        <v>-306600</v>
      </c>
      <c r="AU6" s="229">
        <v>-3.7600000000000001E-2</v>
      </c>
      <c r="AV6" s="230">
        <v>3861300</v>
      </c>
      <c r="AW6" s="230">
        <v>4259700</v>
      </c>
      <c r="AX6" s="230">
        <v>-398400</v>
      </c>
      <c r="AY6" s="229">
        <v>-9.35E-2</v>
      </c>
      <c r="AZ6" s="230">
        <v>3949200</v>
      </c>
      <c r="BA6" s="230">
        <v>3847800</v>
      </c>
      <c r="BB6" s="230">
        <v>101400</v>
      </c>
      <c r="BC6" s="229">
        <v>2.64E-2</v>
      </c>
      <c r="BD6" s="230">
        <v>36300</v>
      </c>
      <c r="BE6" s="230">
        <v>45900</v>
      </c>
      <c r="BF6" s="230">
        <v>-9600</v>
      </c>
      <c r="BG6" s="229">
        <v>-0.2092</v>
      </c>
      <c r="BH6" s="230">
        <v>11298300</v>
      </c>
      <c r="BI6" s="230">
        <v>10748700</v>
      </c>
      <c r="BJ6" s="230">
        <v>549600</v>
      </c>
      <c r="BK6" s="229">
        <v>5.11E-2</v>
      </c>
      <c r="BL6" s="230">
        <v>6553500</v>
      </c>
      <c r="BM6" s="230">
        <v>4462200</v>
      </c>
      <c r="BN6" s="230">
        <v>2091300</v>
      </c>
      <c r="BO6" s="229">
        <v>0.46870000000000001</v>
      </c>
      <c r="BP6" s="230">
        <v>25698600</v>
      </c>
      <c r="BQ6" s="230">
        <v>23364300</v>
      </c>
      <c r="BR6" s="230">
        <v>2334300</v>
      </c>
      <c r="BS6" s="229">
        <v>9.9900000000000003E-2</v>
      </c>
      <c r="BT6" s="230">
        <v>502949</v>
      </c>
      <c r="BU6" s="230">
        <v>516485</v>
      </c>
      <c r="BV6" s="230">
        <v>-13536</v>
      </c>
      <c r="BW6" s="229">
        <v>-2.6200000000000001E-2</v>
      </c>
      <c r="BX6" s="230">
        <v>14862000</v>
      </c>
      <c r="BY6" s="230">
        <v>14676000</v>
      </c>
      <c r="BZ6" s="230">
        <v>186000</v>
      </c>
      <c r="CA6" s="229">
        <v>1.2699999999999999E-2</v>
      </c>
      <c r="CB6" s="230">
        <v>2946900</v>
      </c>
      <c r="CC6" s="230">
        <v>5913000</v>
      </c>
      <c r="CD6" s="230">
        <v>-2966100</v>
      </c>
      <c r="CE6" s="229">
        <v>-0.50160000000000005</v>
      </c>
      <c r="CF6" s="230">
        <v>11813100</v>
      </c>
      <c r="CG6" s="230">
        <v>8677200</v>
      </c>
      <c r="CH6" s="230">
        <v>3135900</v>
      </c>
      <c r="CI6" s="229">
        <v>0.3614</v>
      </c>
      <c r="CJ6" s="230">
        <v>102000</v>
      </c>
      <c r="CK6" s="230">
        <v>85800</v>
      </c>
      <c r="CL6" s="230">
        <v>16200</v>
      </c>
      <c r="CM6" s="229">
        <v>0.1888</v>
      </c>
      <c r="CN6" s="230">
        <v>6975600</v>
      </c>
      <c r="CO6" s="230">
        <v>7593000</v>
      </c>
      <c r="CP6" s="230">
        <v>-617400</v>
      </c>
      <c r="CQ6" s="229">
        <v>-8.1299999999999997E-2</v>
      </c>
      <c r="CR6" s="230">
        <v>4329900</v>
      </c>
      <c r="CS6" s="230">
        <v>4332600</v>
      </c>
      <c r="CT6" s="230">
        <v>-2700</v>
      </c>
      <c r="CU6" s="229">
        <v>-5.9999999999999995E-4</v>
      </c>
      <c r="CV6" s="230">
        <v>26167500</v>
      </c>
      <c r="CW6" s="230">
        <v>26601600</v>
      </c>
      <c r="CX6" s="230">
        <v>-434100</v>
      </c>
      <c r="CY6" s="229">
        <v>-1.6299999999999999E-2</v>
      </c>
      <c r="CZ6" s="228">
        <v>30.75</v>
      </c>
      <c r="DA6" s="228">
        <v>29.88</v>
      </c>
      <c r="DB6" s="228">
        <v>0.87</v>
      </c>
      <c r="DC6" s="228">
        <v>0.87</v>
      </c>
      <c r="DD6" s="228">
        <v>48.65</v>
      </c>
      <c r="DE6" s="228">
        <v>48.77</v>
      </c>
      <c r="DF6" s="228">
        <v>-17.899999999999999</v>
      </c>
      <c r="DG6" s="228">
        <v>-0.12</v>
      </c>
      <c r="DH6" s="228">
        <v>31.13</v>
      </c>
      <c r="DI6" s="228">
        <v>29.73</v>
      </c>
      <c r="DJ6" s="228">
        <v>1.4</v>
      </c>
      <c r="DK6" s="228">
        <v>1.4</v>
      </c>
      <c r="DL6" s="228">
        <v>30.2</v>
      </c>
      <c r="DM6" s="228">
        <v>30.28</v>
      </c>
      <c r="DN6" s="228">
        <v>-0.08</v>
      </c>
      <c r="DO6" s="228">
        <v>-0.08</v>
      </c>
      <c r="DP6" s="228">
        <v>0.62</v>
      </c>
      <c r="DQ6" s="228">
        <v>0.56999999999999995</v>
      </c>
      <c r="DR6" s="228">
        <v>0.05</v>
      </c>
      <c r="DS6" s="229">
        <v>8.77E-2</v>
      </c>
      <c r="DT6" s="231">
        <v>2600</v>
      </c>
      <c r="DU6" s="231">
        <v>2500</v>
      </c>
      <c r="DV6" s="228">
        <v>0.57999999999999996</v>
      </c>
      <c r="DW6" s="228">
        <v>0.42</v>
      </c>
      <c r="DX6" s="228">
        <v>0.16</v>
      </c>
      <c r="DY6" s="229">
        <v>0.38100000000000001</v>
      </c>
      <c r="DZ6" s="229">
        <v>0.80169999999999997</v>
      </c>
      <c r="EA6" s="230">
        <v>8763000</v>
      </c>
      <c r="EB6" s="229">
        <v>5.3E-3</v>
      </c>
      <c r="EC6" s="229">
        <v>0.80169999999999997</v>
      </c>
      <c r="ED6" s="228">
        <v>13.44</v>
      </c>
      <c r="EE6" s="229">
        <v>5.4000000000000003E-3</v>
      </c>
      <c r="EF6" s="230">
        <v>174858</v>
      </c>
      <c r="EG6" s="230">
        <v>221251</v>
      </c>
      <c r="EH6" s="229">
        <v>-0.2097</v>
      </c>
      <c r="EI6" s="229">
        <v>0.34770000000000001</v>
      </c>
      <c r="EJ6" s="231">
        <v>293822.48</v>
      </c>
      <c r="EK6" s="231">
        <v>162828.53</v>
      </c>
      <c r="EL6" s="231">
        <v>196405.79</v>
      </c>
      <c r="EM6" s="231">
        <v>17754</v>
      </c>
      <c r="EN6" s="231">
        <v>653056.80000000005</v>
      </c>
      <c r="EO6" s="231">
        <v>600873.62</v>
      </c>
      <c r="EP6" s="231">
        <v>52183.18</v>
      </c>
      <c r="EQ6" s="229">
        <v>8.6800000000000002E-2</v>
      </c>
      <c r="ER6" s="231">
        <v>184864</v>
      </c>
      <c r="ES6" s="231">
        <v>109088</v>
      </c>
      <c r="ET6" s="231">
        <v>372084</v>
      </c>
      <c r="EU6" s="231">
        <v>30040977</v>
      </c>
      <c r="EV6" s="231">
        <v>666036</v>
      </c>
      <c r="EW6" s="231">
        <v>679323</v>
      </c>
      <c r="EX6" s="231">
        <v>-13287</v>
      </c>
      <c r="EY6" s="229">
        <v>-1.9599999999999999E-2</v>
      </c>
      <c r="EZ6" s="229">
        <v>0.87109999999999999</v>
      </c>
      <c r="FA6" s="227" t="s">
        <v>567</v>
      </c>
      <c r="FB6" s="161">
        <f t="shared" si="0"/>
        <v>11915100</v>
      </c>
    </row>
    <row r="7" spans="1:158" ht="17.25" hidden="1" thickBot="1" x14ac:dyDescent="0.3">
      <c r="A7" s="226">
        <v>45957</v>
      </c>
      <c r="B7" s="227" t="s">
        <v>161</v>
      </c>
      <c r="C7" s="227" t="s">
        <v>606</v>
      </c>
      <c r="D7" s="228">
        <v>600</v>
      </c>
      <c r="E7" s="231">
        <v>1016.5</v>
      </c>
      <c r="F7" s="231">
        <v>1029.8</v>
      </c>
      <c r="G7" s="228">
        <v>-13.3</v>
      </c>
      <c r="H7" s="229">
        <v>-1.29E-2</v>
      </c>
      <c r="I7" s="231">
        <v>1017.1</v>
      </c>
      <c r="J7" s="231">
        <v>1031.0999999999999</v>
      </c>
      <c r="K7" s="228">
        <v>-14</v>
      </c>
      <c r="L7" s="229">
        <v>-1.3599999999999999E-2</v>
      </c>
      <c r="M7" s="231">
        <v>1016.5</v>
      </c>
      <c r="N7" s="231">
        <v>1029.8</v>
      </c>
      <c r="O7" s="228">
        <v>-13.3</v>
      </c>
      <c r="P7" s="229">
        <v>-1.29E-2</v>
      </c>
      <c r="Q7" s="231">
        <v>1022.6</v>
      </c>
      <c r="R7" s="231">
        <v>1035.5999999999999</v>
      </c>
      <c r="S7" s="228">
        <v>-13</v>
      </c>
      <c r="T7" s="229">
        <v>-1.26E-2</v>
      </c>
      <c r="U7" s="231">
        <v>1029.5999999999999</v>
      </c>
      <c r="V7" s="231">
        <v>1043.4000000000001</v>
      </c>
      <c r="W7" s="228">
        <v>-13.8</v>
      </c>
      <c r="X7" s="229">
        <v>-1.32E-2</v>
      </c>
      <c r="Y7" s="228">
        <v>-0.6</v>
      </c>
      <c r="Z7" s="228">
        <v>-1.3</v>
      </c>
      <c r="AA7" s="228">
        <v>0.7</v>
      </c>
      <c r="AB7" s="229">
        <v>-5.9999999999999995E-4</v>
      </c>
      <c r="AC7" s="228">
        <v>-0.6</v>
      </c>
      <c r="AD7" s="228">
        <v>-1.3</v>
      </c>
      <c r="AE7" s="228">
        <v>0.7</v>
      </c>
      <c r="AF7" s="229">
        <v>-5.9999999999999995E-4</v>
      </c>
      <c r="AG7" s="228">
        <v>5.5</v>
      </c>
      <c r="AH7" s="228">
        <v>4.5</v>
      </c>
      <c r="AI7" s="228">
        <v>1</v>
      </c>
      <c r="AJ7" s="229">
        <v>5.4000000000000003E-3</v>
      </c>
      <c r="AK7" s="228">
        <v>12.5</v>
      </c>
      <c r="AL7" s="228">
        <v>12.3</v>
      </c>
      <c r="AM7" s="228">
        <v>0.2</v>
      </c>
      <c r="AN7" s="229">
        <v>1.23E-2</v>
      </c>
      <c r="AO7" s="231">
        <v>1020.34</v>
      </c>
      <c r="AP7" s="231">
        <v>1026.49</v>
      </c>
      <c r="AQ7" s="228">
        <v>0</v>
      </c>
      <c r="AR7" s="230">
        <v>12150000</v>
      </c>
      <c r="AS7" s="230">
        <v>11728800</v>
      </c>
      <c r="AT7" s="230">
        <v>421200</v>
      </c>
      <c r="AU7" s="229">
        <v>3.5900000000000001E-2</v>
      </c>
      <c r="AV7" s="230">
        <v>5675400</v>
      </c>
      <c r="AW7" s="230">
        <v>5976600</v>
      </c>
      <c r="AX7" s="230">
        <v>-301200</v>
      </c>
      <c r="AY7" s="229">
        <v>-5.04E-2</v>
      </c>
      <c r="AZ7" s="230">
        <v>6327600</v>
      </c>
      <c r="BA7" s="230">
        <v>5685000</v>
      </c>
      <c r="BB7" s="230">
        <v>642600</v>
      </c>
      <c r="BC7" s="229">
        <v>0.113</v>
      </c>
      <c r="BD7" s="230">
        <v>147000</v>
      </c>
      <c r="BE7" s="230">
        <v>67200</v>
      </c>
      <c r="BF7" s="230">
        <v>79800</v>
      </c>
      <c r="BG7" s="229">
        <v>1.1875</v>
      </c>
      <c r="BH7" s="230">
        <v>21434400</v>
      </c>
      <c r="BI7" s="230">
        <v>14451600</v>
      </c>
      <c r="BJ7" s="230">
        <v>6982800</v>
      </c>
      <c r="BK7" s="229">
        <v>0.48320000000000002</v>
      </c>
      <c r="BL7" s="230">
        <v>8906400</v>
      </c>
      <c r="BM7" s="230">
        <v>4780200</v>
      </c>
      <c r="BN7" s="230">
        <v>4126200</v>
      </c>
      <c r="BO7" s="229">
        <v>0.86319999999999997</v>
      </c>
      <c r="BP7" s="230">
        <v>42490800</v>
      </c>
      <c r="BQ7" s="230">
        <v>30960600</v>
      </c>
      <c r="BR7" s="230">
        <v>11530200</v>
      </c>
      <c r="BS7" s="229">
        <v>0.37240000000000001</v>
      </c>
      <c r="BT7" s="230">
        <v>1875835</v>
      </c>
      <c r="BU7" s="230">
        <v>1394186</v>
      </c>
      <c r="BV7" s="230">
        <v>481649</v>
      </c>
      <c r="BW7" s="229">
        <v>0.34549999999999997</v>
      </c>
      <c r="BX7" s="230">
        <v>21489600</v>
      </c>
      <c r="BY7" s="230">
        <v>20871000</v>
      </c>
      <c r="BZ7" s="230">
        <v>618600</v>
      </c>
      <c r="CA7" s="229">
        <v>2.9600000000000001E-2</v>
      </c>
      <c r="CB7" s="230">
        <v>3729000</v>
      </c>
      <c r="CC7" s="230">
        <v>7636800</v>
      </c>
      <c r="CD7" s="230">
        <v>-3907800</v>
      </c>
      <c r="CE7" s="229">
        <v>-0.51170000000000004</v>
      </c>
      <c r="CF7" s="230">
        <v>17440200</v>
      </c>
      <c r="CG7" s="230">
        <v>12994800</v>
      </c>
      <c r="CH7" s="230">
        <v>4445400</v>
      </c>
      <c r="CI7" s="229">
        <v>0.34210000000000002</v>
      </c>
      <c r="CJ7" s="230">
        <v>320400</v>
      </c>
      <c r="CK7" s="230">
        <v>239400</v>
      </c>
      <c r="CL7" s="230">
        <v>81000</v>
      </c>
      <c r="CM7" s="229">
        <v>0.33829999999999999</v>
      </c>
      <c r="CN7" s="230">
        <v>10924200</v>
      </c>
      <c r="CO7" s="230">
        <v>11262600</v>
      </c>
      <c r="CP7" s="230">
        <v>-338400</v>
      </c>
      <c r="CQ7" s="229">
        <v>-0.03</v>
      </c>
      <c r="CR7" s="230">
        <v>5094000</v>
      </c>
      <c r="CS7" s="230">
        <v>5515200</v>
      </c>
      <c r="CT7" s="230">
        <v>-421200</v>
      </c>
      <c r="CU7" s="229">
        <v>-7.6399999999999996E-2</v>
      </c>
      <c r="CV7" s="230">
        <v>37507800</v>
      </c>
      <c r="CW7" s="230">
        <v>37648800</v>
      </c>
      <c r="CX7" s="230">
        <v>-141000</v>
      </c>
      <c r="CY7" s="229">
        <v>-3.7000000000000002E-3</v>
      </c>
      <c r="CZ7" s="228">
        <v>40.659999999999997</v>
      </c>
      <c r="DA7" s="228">
        <v>40.9</v>
      </c>
      <c r="DB7" s="228">
        <v>-0.24</v>
      </c>
      <c r="DC7" s="228">
        <v>-0.24</v>
      </c>
      <c r="DD7" s="228">
        <v>57.72</v>
      </c>
      <c r="DE7" s="228">
        <v>57.83</v>
      </c>
      <c r="DF7" s="228">
        <v>-17.059999999999999</v>
      </c>
      <c r="DG7" s="228">
        <v>-0.11</v>
      </c>
      <c r="DH7" s="228">
        <v>41.27</v>
      </c>
      <c r="DI7" s="228">
        <v>41.26</v>
      </c>
      <c r="DJ7" s="228">
        <v>0.01</v>
      </c>
      <c r="DK7" s="228">
        <v>0.01</v>
      </c>
      <c r="DL7" s="228">
        <v>39.32</v>
      </c>
      <c r="DM7" s="228">
        <v>40.11</v>
      </c>
      <c r="DN7" s="228">
        <v>-0.79</v>
      </c>
      <c r="DO7" s="228">
        <v>-0.79</v>
      </c>
      <c r="DP7" s="228">
        <v>0.47</v>
      </c>
      <c r="DQ7" s="228">
        <v>0.49</v>
      </c>
      <c r="DR7" s="228">
        <v>-0.02</v>
      </c>
      <c r="DS7" s="229">
        <v>-4.0800000000000003E-2</v>
      </c>
      <c r="DT7" s="231">
        <v>1100</v>
      </c>
      <c r="DU7" s="231">
        <v>1020</v>
      </c>
      <c r="DV7" s="228">
        <v>0.42</v>
      </c>
      <c r="DW7" s="228">
        <v>0.33</v>
      </c>
      <c r="DX7" s="228">
        <v>0.09</v>
      </c>
      <c r="DY7" s="229">
        <v>0.2727</v>
      </c>
      <c r="DZ7" s="229">
        <v>0.82650000000000001</v>
      </c>
      <c r="EA7" s="230">
        <v>13234200</v>
      </c>
      <c r="EB7" s="229">
        <v>6.0000000000000001E-3</v>
      </c>
      <c r="EC7" s="229">
        <v>0.82650000000000001</v>
      </c>
      <c r="ED7" s="228">
        <v>6.15</v>
      </c>
      <c r="EE7" s="229">
        <v>6.0000000000000001E-3</v>
      </c>
      <c r="EF7" s="230">
        <v>679236</v>
      </c>
      <c r="EG7" s="230">
        <v>583696</v>
      </c>
      <c r="EH7" s="229">
        <v>0.16370000000000001</v>
      </c>
      <c r="EI7" s="229">
        <v>0.36209999999999998</v>
      </c>
      <c r="EJ7" s="231">
        <v>232516.89</v>
      </c>
      <c r="EK7" s="231">
        <v>90944.43</v>
      </c>
      <c r="EL7" s="231">
        <v>124379.86</v>
      </c>
      <c r="EM7" s="231">
        <v>13311</v>
      </c>
      <c r="EN7" s="231">
        <v>447841.18</v>
      </c>
      <c r="EO7" s="231">
        <v>330440</v>
      </c>
      <c r="EP7" s="231">
        <v>117401.18</v>
      </c>
      <c r="EQ7" s="229">
        <v>0.3553</v>
      </c>
      <c r="ER7" s="231">
        <v>122058</v>
      </c>
      <c r="ES7" s="231">
        <v>52302</v>
      </c>
      <c r="ET7" s="231">
        <v>219548</v>
      </c>
      <c r="EU7" s="231">
        <v>61877951</v>
      </c>
      <c r="EV7" s="231">
        <v>393908</v>
      </c>
      <c r="EW7" s="231">
        <v>399286</v>
      </c>
      <c r="EX7" s="231">
        <v>-5378</v>
      </c>
      <c r="EY7" s="229">
        <v>-1.35E-2</v>
      </c>
      <c r="EZ7" s="229">
        <v>0.60619999999999996</v>
      </c>
      <c r="FA7" s="227" t="s">
        <v>567</v>
      </c>
      <c r="FB7" s="161">
        <f t="shared" si="0"/>
        <v>17760600</v>
      </c>
    </row>
    <row r="8" spans="1:158" ht="17.25" hidden="1" thickBot="1" x14ac:dyDescent="0.3">
      <c r="A8" s="226">
        <v>45957</v>
      </c>
      <c r="B8" s="227" t="s">
        <v>215</v>
      </c>
      <c r="C8" s="227" t="s">
        <v>160</v>
      </c>
      <c r="D8" s="228">
        <v>475</v>
      </c>
      <c r="E8" s="231">
        <v>1421.6</v>
      </c>
      <c r="F8" s="231">
        <v>1427.7</v>
      </c>
      <c r="G8" s="228">
        <v>-6.1</v>
      </c>
      <c r="H8" s="229">
        <v>-4.3E-3</v>
      </c>
      <c r="I8" s="231">
        <v>1420.6</v>
      </c>
      <c r="J8" s="231">
        <v>1429</v>
      </c>
      <c r="K8" s="228">
        <v>-8.4</v>
      </c>
      <c r="L8" s="229">
        <v>-5.8999999999999999E-3</v>
      </c>
      <c r="M8" s="231">
        <v>1421.6</v>
      </c>
      <c r="N8" s="231">
        <v>1427.7</v>
      </c>
      <c r="O8" s="228">
        <v>-6.1</v>
      </c>
      <c r="P8" s="229">
        <v>-4.3E-3</v>
      </c>
      <c r="Q8" s="231">
        <v>1429.7</v>
      </c>
      <c r="R8" s="231">
        <v>1435.6</v>
      </c>
      <c r="S8" s="228">
        <v>-5.9</v>
      </c>
      <c r="T8" s="229">
        <v>-4.1000000000000003E-3</v>
      </c>
      <c r="U8" s="231">
        <v>1439.8</v>
      </c>
      <c r="V8" s="231">
        <v>1445.9</v>
      </c>
      <c r="W8" s="228">
        <v>-6.1</v>
      </c>
      <c r="X8" s="229">
        <v>-4.1999999999999997E-3</v>
      </c>
      <c r="Y8" s="228">
        <v>1</v>
      </c>
      <c r="Z8" s="228">
        <v>-1.3</v>
      </c>
      <c r="AA8" s="228">
        <v>2.2999999999999998</v>
      </c>
      <c r="AB8" s="229">
        <v>6.9999999999999999E-4</v>
      </c>
      <c r="AC8" s="228">
        <v>1</v>
      </c>
      <c r="AD8" s="228">
        <v>-1.3</v>
      </c>
      <c r="AE8" s="228">
        <v>2.2999999999999998</v>
      </c>
      <c r="AF8" s="229">
        <v>6.9999999999999999E-4</v>
      </c>
      <c r="AG8" s="228">
        <v>9.1</v>
      </c>
      <c r="AH8" s="228">
        <v>6.6</v>
      </c>
      <c r="AI8" s="228">
        <v>2.5</v>
      </c>
      <c r="AJ8" s="229">
        <v>6.4000000000000003E-3</v>
      </c>
      <c r="AK8" s="228">
        <v>19.2</v>
      </c>
      <c r="AL8" s="228">
        <v>16.899999999999999</v>
      </c>
      <c r="AM8" s="228">
        <v>2.2999999999999998</v>
      </c>
      <c r="AN8" s="229">
        <v>1.35E-2</v>
      </c>
      <c r="AO8" s="231">
        <v>1419.45</v>
      </c>
      <c r="AP8" s="231">
        <v>1427.67</v>
      </c>
      <c r="AQ8" s="228">
        <v>0</v>
      </c>
      <c r="AR8" s="230">
        <v>16879600</v>
      </c>
      <c r="AS8" s="230">
        <v>16594125</v>
      </c>
      <c r="AT8" s="230">
        <v>285475</v>
      </c>
      <c r="AU8" s="229">
        <v>1.72E-2</v>
      </c>
      <c r="AV8" s="230">
        <v>8149100</v>
      </c>
      <c r="AW8" s="230">
        <v>8320575</v>
      </c>
      <c r="AX8" s="230">
        <v>-171475</v>
      </c>
      <c r="AY8" s="229">
        <v>-2.06E-2</v>
      </c>
      <c r="AZ8" s="230">
        <v>8427450</v>
      </c>
      <c r="BA8" s="230">
        <v>8162400</v>
      </c>
      <c r="BB8" s="230">
        <v>265050</v>
      </c>
      <c r="BC8" s="229">
        <v>3.2500000000000001E-2</v>
      </c>
      <c r="BD8" s="230">
        <v>303050</v>
      </c>
      <c r="BE8" s="230">
        <v>111150</v>
      </c>
      <c r="BF8" s="230">
        <v>191900</v>
      </c>
      <c r="BG8" s="229">
        <v>1.7264999999999999</v>
      </c>
      <c r="BH8" s="230">
        <v>15237525</v>
      </c>
      <c r="BI8" s="230">
        <v>15064150</v>
      </c>
      <c r="BJ8" s="230">
        <v>173375</v>
      </c>
      <c r="BK8" s="229">
        <v>1.15E-2</v>
      </c>
      <c r="BL8" s="230">
        <v>9693800</v>
      </c>
      <c r="BM8" s="230">
        <v>8917175</v>
      </c>
      <c r="BN8" s="230">
        <v>776625</v>
      </c>
      <c r="BO8" s="229">
        <v>8.7099999999999997E-2</v>
      </c>
      <c r="BP8" s="230">
        <v>41810925</v>
      </c>
      <c r="BQ8" s="230">
        <v>40575450</v>
      </c>
      <c r="BR8" s="230">
        <v>1235475</v>
      </c>
      <c r="BS8" s="229">
        <v>3.04E-2</v>
      </c>
      <c r="BT8" s="230">
        <v>2345924</v>
      </c>
      <c r="BU8" s="230">
        <v>1976160</v>
      </c>
      <c r="BV8" s="230">
        <v>369764</v>
      </c>
      <c r="BW8" s="229">
        <v>0.18709999999999999</v>
      </c>
      <c r="BX8" s="230">
        <v>25032975</v>
      </c>
      <c r="BY8" s="230">
        <v>24725175</v>
      </c>
      <c r="BZ8" s="230">
        <v>307800</v>
      </c>
      <c r="CA8" s="229">
        <v>1.24E-2</v>
      </c>
      <c r="CB8" s="230">
        <v>5498600</v>
      </c>
      <c r="CC8" s="230">
        <v>11894475</v>
      </c>
      <c r="CD8" s="230">
        <v>-6395875</v>
      </c>
      <c r="CE8" s="229">
        <v>-0.53769999999999996</v>
      </c>
      <c r="CF8" s="230">
        <v>19134900</v>
      </c>
      <c r="CG8" s="230">
        <v>12609350</v>
      </c>
      <c r="CH8" s="230">
        <v>6525550</v>
      </c>
      <c r="CI8" s="229">
        <v>0.51749999999999996</v>
      </c>
      <c r="CJ8" s="230">
        <v>399475</v>
      </c>
      <c r="CK8" s="230">
        <v>221350</v>
      </c>
      <c r="CL8" s="230">
        <v>178125</v>
      </c>
      <c r="CM8" s="229">
        <v>0.80469999999999997</v>
      </c>
      <c r="CN8" s="230">
        <v>7723500</v>
      </c>
      <c r="CO8" s="230">
        <v>8495850</v>
      </c>
      <c r="CP8" s="230">
        <v>-772350</v>
      </c>
      <c r="CQ8" s="229">
        <v>-9.0899999999999995E-2</v>
      </c>
      <c r="CR8" s="230">
        <v>5445875</v>
      </c>
      <c r="CS8" s="230">
        <v>5416900</v>
      </c>
      <c r="CT8" s="230">
        <v>28975</v>
      </c>
      <c r="CU8" s="229">
        <v>5.3E-3</v>
      </c>
      <c r="CV8" s="230">
        <v>38202350</v>
      </c>
      <c r="CW8" s="230">
        <v>38637925</v>
      </c>
      <c r="CX8" s="230">
        <v>-435575</v>
      </c>
      <c r="CY8" s="229">
        <v>-1.1299999999999999E-2</v>
      </c>
      <c r="CZ8" s="228">
        <v>26.12</v>
      </c>
      <c r="DA8" s="228">
        <v>26.57</v>
      </c>
      <c r="DB8" s="228">
        <v>-0.45</v>
      </c>
      <c r="DC8" s="228">
        <v>-0.45</v>
      </c>
      <c r="DD8" s="228">
        <v>38.619999999999997</v>
      </c>
      <c r="DE8" s="228">
        <v>38.71</v>
      </c>
      <c r="DF8" s="228">
        <v>-12.5</v>
      </c>
      <c r="DG8" s="228">
        <v>-0.09</v>
      </c>
      <c r="DH8" s="228">
        <v>26.6</v>
      </c>
      <c r="DI8" s="228">
        <v>26.94</v>
      </c>
      <c r="DJ8" s="228">
        <v>-0.34</v>
      </c>
      <c r="DK8" s="228">
        <v>-0.34</v>
      </c>
      <c r="DL8" s="228">
        <v>25.42</v>
      </c>
      <c r="DM8" s="228">
        <v>26.02</v>
      </c>
      <c r="DN8" s="228">
        <v>-0.6</v>
      </c>
      <c r="DO8" s="228">
        <v>-0.6</v>
      </c>
      <c r="DP8" s="228">
        <v>0.71</v>
      </c>
      <c r="DQ8" s="228">
        <v>0.64</v>
      </c>
      <c r="DR8" s="228">
        <v>7.0000000000000007E-2</v>
      </c>
      <c r="DS8" s="229">
        <v>0.1094</v>
      </c>
      <c r="DT8" s="231">
        <v>1500</v>
      </c>
      <c r="DU8" s="231">
        <v>1400</v>
      </c>
      <c r="DV8" s="228">
        <v>0.64</v>
      </c>
      <c r="DW8" s="228">
        <v>0.59</v>
      </c>
      <c r="DX8" s="228">
        <v>0.05</v>
      </c>
      <c r="DY8" s="229">
        <v>8.4699999999999998E-2</v>
      </c>
      <c r="DZ8" s="229">
        <v>0.78029999999999999</v>
      </c>
      <c r="EA8" s="230">
        <v>12830700</v>
      </c>
      <c r="EB8" s="229">
        <v>5.7000000000000002E-3</v>
      </c>
      <c r="EC8" s="229">
        <v>0.78029999999999999</v>
      </c>
      <c r="ED8" s="228">
        <v>8.2200000000000006</v>
      </c>
      <c r="EE8" s="229">
        <v>5.7999999999999996E-3</v>
      </c>
      <c r="EF8" s="230">
        <v>1330765</v>
      </c>
      <c r="EG8" s="230">
        <v>1037257</v>
      </c>
      <c r="EH8" s="229">
        <v>0.28299999999999997</v>
      </c>
      <c r="EI8" s="229">
        <v>0.56730000000000003</v>
      </c>
      <c r="EJ8" s="231">
        <v>223778.46</v>
      </c>
      <c r="EK8" s="231">
        <v>137482.04999999999</v>
      </c>
      <c r="EL8" s="231">
        <v>240343.66</v>
      </c>
      <c r="EM8" s="231">
        <v>16748</v>
      </c>
      <c r="EN8" s="231">
        <v>601604.17000000004</v>
      </c>
      <c r="EO8" s="231">
        <v>590898.01</v>
      </c>
      <c r="EP8" s="231">
        <v>10706.16</v>
      </c>
      <c r="EQ8" s="229">
        <v>1.8100000000000002E-2</v>
      </c>
      <c r="ER8" s="231">
        <v>114903</v>
      </c>
      <c r="ES8" s="231">
        <v>76392</v>
      </c>
      <c r="ET8" s="231">
        <v>357491</v>
      </c>
      <c r="EU8" s="231">
        <v>73799006</v>
      </c>
      <c r="EV8" s="231">
        <v>548786</v>
      </c>
      <c r="EW8" s="231">
        <v>556601</v>
      </c>
      <c r="EX8" s="231">
        <v>-7815</v>
      </c>
      <c r="EY8" s="229">
        <v>-1.4E-2</v>
      </c>
      <c r="EZ8" s="229">
        <v>0.51770000000000005</v>
      </c>
      <c r="FA8" s="227" t="s">
        <v>567</v>
      </c>
      <c r="FB8" s="161">
        <f t="shared" si="0"/>
        <v>19534375</v>
      </c>
    </row>
    <row r="9" spans="1:158" ht="17.25" hidden="1" thickBot="1" x14ac:dyDescent="0.3">
      <c r="A9" s="226">
        <v>45957</v>
      </c>
      <c r="B9" s="227" t="s">
        <v>170</v>
      </c>
      <c r="C9" s="227" t="s">
        <v>497</v>
      </c>
      <c r="D9" s="228">
        <v>125</v>
      </c>
      <c r="E9" s="231">
        <v>5469.5</v>
      </c>
      <c r="F9" s="231">
        <v>5537.5</v>
      </c>
      <c r="G9" s="228">
        <v>-68</v>
      </c>
      <c r="H9" s="229">
        <v>-1.23E-2</v>
      </c>
      <c r="I9" s="231">
        <v>5475.5</v>
      </c>
      <c r="J9" s="231">
        <v>5545</v>
      </c>
      <c r="K9" s="228">
        <v>-69.5</v>
      </c>
      <c r="L9" s="229">
        <v>-1.2500000000000001E-2</v>
      </c>
      <c r="M9" s="231">
        <v>5469.5</v>
      </c>
      <c r="N9" s="231">
        <v>5537.5</v>
      </c>
      <c r="O9" s="228">
        <v>-68</v>
      </c>
      <c r="P9" s="229">
        <v>-1.23E-2</v>
      </c>
      <c r="Q9" s="231">
        <v>5499.5</v>
      </c>
      <c r="R9" s="231">
        <v>5567.5</v>
      </c>
      <c r="S9" s="228">
        <v>-68</v>
      </c>
      <c r="T9" s="229">
        <v>-1.2200000000000001E-2</v>
      </c>
      <c r="U9" s="231">
        <v>5525</v>
      </c>
      <c r="V9" s="231">
        <v>5601.5</v>
      </c>
      <c r="W9" s="228">
        <v>-76.5</v>
      </c>
      <c r="X9" s="229">
        <v>-1.37E-2</v>
      </c>
      <c r="Y9" s="228">
        <v>-6</v>
      </c>
      <c r="Z9" s="228">
        <v>-7.5</v>
      </c>
      <c r="AA9" s="228">
        <v>1.5</v>
      </c>
      <c r="AB9" s="229">
        <v>-1.1000000000000001E-3</v>
      </c>
      <c r="AC9" s="228">
        <v>-6</v>
      </c>
      <c r="AD9" s="228">
        <v>-7.5</v>
      </c>
      <c r="AE9" s="228">
        <v>1.5</v>
      </c>
      <c r="AF9" s="229">
        <v>-1.1000000000000001E-3</v>
      </c>
      <c r="AG9" s="228">
        <v>24</v>
      </c>
      <c r="AH9" s="228">
        <v>22.5</v>
      </c>
      <c r="AI9" s="228">
        <v>1.5</v>
      </c>
      <c r="AJ9" s="229">
        <v>4.4000000000000003E-3</v>
      </c>
      <c r="AK9" s="228">
        <v>49.5</v>
      </c>
      <c r="AL9" s="228">
        <v>56.5</v>
      </c>
      <c r="AM9" s="228">
        <v>-7</v>
      </c>
      <c r="AN9" s="229">
        <v>8.9999999999999993E-3</v>
      </c>
      <c r="AO9" s="231">
        <v>5512.64</v>
      </c>
      <c r="AP9" s="231">
        <v>5541.69</v>
      </c>
      <c r="AQ9" s="228">
        <v>0</v>
      </c>
      <c r="AR9" s="230">
        <v>1266750</v>
      </c>
      <c r="AS9" s="230">
        <v>1505250</v>
      </c>
      <c r="AT9" s="230">
        <v>-238500</v>
      </c>
      <c r="AU9" s="229">
        <v>-0.15840000000000001</v>
      </c>
      <c r="AV9" s="230">
        <v>617750</v>
      </c>
      <c r="AW9" s="230">
        <v>798000</v>
      </c>
      <c r="AX9" s="230">
        <v>-180250</v>
      </c>
      <c r="AY9" s="229">
        <v>-0.22589999999999999</v>
      </c>
      <c r="AZ9" s="230">
        <v>648125</v>
      </c>
      <c r="BA9" s="230">
        <v>707125</v>
      </c>
      <c r="BB9" s="230">
        <v>-59000</v>
      </c>
      <c r="BC9" s="229">
        <v>-8.3400000000000002E-2</v>
      </c>
      <c r="BD9" s="228">
        <v>875</v>
      </c>
      <c r="BE9" s="228">
        <v>125</v>
      </c>
      <c r="BF9" s="228">
        <v>750</v>
      </c>
      <c r="BG9" s="229">
        <v>6</v>
      </c>
      <c r="BH9" s="230">
        <v>245625</v>
      </c>
      <c r="BI9" s="230">
        <v>377250</v>
      </c>
      <c r="BJ9" s="230">
        <v>-131625</v>
      </c>
      <c r="BK9" s="229">
        <v>-0.34889999999999999</v>
      </c>
      <c r="BL9" s="230">
        <v>497625</v>
      </c>
      <c r="BM9" s="230">
        <v>312250</v>
      </c>
      <c r="BN9" s="230">
        <v>185375</v>
      </c>
      <c r="BO9" s="229">
        <v>0.59370000000000001</v>
      </c>
      <c r="BP9" s="230">
        <v>2010000</v>
      </c>
      <c r="BQ9" s="230">
        <v>2194750</v>
      </c>
      <c r="BR9" s="230">
        <v>-184750</v>
      </c>
      <c r="BS9" s="229">
        <v>-8.4199999999999997E-2</v>
      </c>
      <c r="BT9" s="230">
        <v>73628</v>
      </c>
      <c r="BU9" s="230">
        <v>118061</v>
      </c>
      <c r="BV9" s="230">
        <v>-44433</v>
      </c>
      <c r="BW9" s="229">
        <v>-0.37640000000000001</v>
      </c>
      <c r="BX9" s="230">
        <v>1573250</v>
      </c>
      <c r="BY9" s="230">
        <v>1595250</v>
      </c>
      <c r="BZ9" s="230">
        <v>-22000</v>
      </c>
      <c r="CA9" s="229">
        <v>-1.38E-2</v>
      </c>
      <c r="CB9" s="230">
        <v>171125</v>
      </c>
      <c r="CC9" s="230">
        <v>697625</v>
      </c>
      <c r="CD9" s="230">
        <v>-526500</v>
      </c>
      <c r="CE9" s="229">
        <v>-0.75470000000000004</v>
      </c>
      <c r="CF9" s="230">
        <v>1400625</v>
      </c>
      <c r="CG9" s="230">
        <v>896375</v>
      </c>
      <c r="CH9" s="230">
        <v>504250</v>
      </c>
      <c r="CI9" s="229">
        <v>0.5625</v>
      </c>
      <c r="CJ9" s="230">
        <v>1500</v>
      </c>
      <c r="CK9" s="230">
        <v>1250</v>
      </c>
      <c r="CL9" s="228">
        <v>250</v>
      </c>
      <c r="CM9" s="229">
        <v>0.2</v>
      </c>
      <c r="CN9" s="230">
        <v>232375</v>
      </c>
      <c r="CO9" s="230">
        <v>231250</v>
      </c>
      <c r="CP9" s="230">
        <v>1125</v>
      </c>
      <c r="CQ9" s="229">
        <v>4.8999999999999998E-3</v>
      </c>
      <c r="CR9" s="230">
        <v>183750</v>
      </c>
      <c r="CS9" s="230">
        <v>214000</v>
      </c>
      <c r="CT9" s="230">
        <v>-30250</v>
      </c>
      <c r="CU9" s="229">
        <v>-0.1414</v>
      </c>
      <c r="CV9" s="230">
        <v>1989375</v>
      </c>
      <c r="CW9" s="230">
        <v>2040500</v>
      </c>
      <c r="CX9" s="230">
        <v>-51125</v>
      </c>
      <c r="CY9" s="229">
        <v>-2.5100000000000001E-2</v>
      </c>
      <c r="CZ9" s="228">
        <v>25.19</v>
      </c>
      <c r="DA9" s="228">
        <v>27.15</v>
      </c>
      <c r="DB9" s="228">
        <v>-1.96</v>
      </c>
      <c r="DC9" s="228">
        <v>-1.96</v>
      </c>
      <c r="DD9" s="228">
        <v>27.52</v>
      </c>
      <c r="DE9" s="228">
        <v>27.54</v>
      </c>
      <c r="DF9" s="228">
        <v>-2.33</v>
      </c>
      <c r="DG9" s="228">
        <v>-0.02</v>
      </c>
      <c r="DH9" s="228">
        <v>24.87</v>
      </c>
      <c r="DI9" s="228">
        <v>25.13</v>
      </c>
      <c r="DJ9" s="228">
        <v>-0.26</v>
      </c>
      <c r="DK9" s="228">
        <v>-0.26</v>
      </c>
      <c r="DL9" s="228">
        <v>25.77</v>
      </c>
      <c r="DM9" s="228">
        <v>28.57</v>
      </c>
      <c r="DN9" s="228">
        <v>-2.8</v>
      </c>
      <c r="DO9" s="228">
        <v>-2.8</v>
      </c>
      <c r="DP9" s="228">
        <v>0.79</v>
      </c>
      <c r="DQ9" s="228">
        <v>0.93</v>
      </c>
      <c r="DR9" s="228">
        <v>-0.14000000000000001</v>
      </c>
      <c r="DS9" s="229">
        <v>-0.15049999999999999</v>
      </c>
      <c r="DT9" s="231">
        <v>5600</v>
      </c>
      <c r="DU9" s="231">
        <v>5400</v>
      </c>
      <c r="DV9" s="228">
        <v>2.0299999999999998</v>
      </c>
      <c r="DW9" s="228">
        <v>0.83</v>
      </c>
      <c r="DX9" s="228">
        <v>1.2</v>
      </c>
      <c r="DY9" s="229">
        <v>1.4458</v>
      </c>
      <c r="DZ9" s="229">
        <v>0.89119999999999999</v>
      </c>
      <c r="EA9" s="230">
        <v>897625</v>
      </c>
      <c r="EB9" s="229">
        <v>5.4999999999999997E-3</v>
      </c>
      <c r="EC9" s="229">
        <v>0.89119999999999999</v>
      </c>
      <c r="ED9" s="228">
        <v>29.05</v>
      </c>
      <c r="EE9" s="229">
        <v>5.3E-3</v>
      </c>
      <c r="EF9" s="230">
        <v>47230</v>
      </c>
      <c r="EG9" s="230">
        <v>82925</v>
      </c>
      <c r="EH9" s="229">
        <v>-0.4304</v>
      </c>
      <c r="EI9" s="229">
        <v>0.64149999999999996</v>
      </c>
      <c r="EJ9" s="231">
        <v>13911.39</v>
      </c>
      <c r="EK9" s="231">
        <v>26580.62</v>
      </c>
      <c r="EL9" s="231">
        <v>70020.070000000007</v>
      </c>
      <c r="EM9" s="231">
        <v>4666</v>
      </c>
      <c r="EN9" s="231">
        <v>110512.08</v>
      </c>
      <c r="EO9" s="231">
        <v>121229.09</v>
      </c>
      <c r="EP9" s="231">
        <v>-10717.01</v>
      </c>
      <c r="EQ9" s="229">
        <v>-8.8400000000000006E-2</v>
      </c>
      <c r="ER9" s="231">
        <v>13343</v>
      </c>
      <c r="ES9" s="231">
        <v>9799</v>
      </c>
      <c r="ET9" s="231">
        <v>86470</v>
      </c>
      <c r="EU9" s="231">
        <v>6130387</v>
      </c>
      <c r="EV9" s="231">
        <v>109612</v>
      </c>
      <c r="EW9" s="231">
        <v>113340</v>
      </c>
      <c r="EX9" s="231">
        <v>-3728</v>
      </c>
      <c r="EY9" s="229">
        <v>-3.2899999999999999E-2</v>
      </c>
      <c r="EZ9" s="229">
        <v>0.32450000000000001</v>
      </c>
      <c r="FA9" s="227" t="s">
        <v>568</v>
      </c>
      <c r="FB9" s="161">
        <f t="shared" si="0"/>
        <v>1402125</v>
      </c>
    </row>
    <row r="10" spans="1:158" ht="17.25" hidden="1" thickBot="1" x14ac:dyDescent="0.3">
      <c r="A10" s="226">
        <v>45957</v>
      </c>
      <c r="B10" s="227" t="s">
        <v>184</v>
      </c>
      <c r="C10" s="227" t="s">
        <v>682</v>
      </c>
      <c r="D10" s="228">
        <v>100</v>
      </c>
      <c r="E10" s="231">
        <v>8466</v>
      </c>
      <c r="F10" s="231">
        <v>8318</v>
      </c>
      <c r="G10" s="228">
        <v>148</v>
      </c>
      <c r="H10" s="229">
        <v>1.78E-2</v>
      </c>
      <c r="I10" s="231">
        <v>8476</v>
      </c>
      <c r="J10" s="231">
        <v>8321.5</v>
      </c>
      <c r="K10" s="228">
        <v>154.5</v>
      </c>
      <c r="L10" s="229">
        <v>1.8599999999999998E-2</v>
      </c>
      <c r="M10" s="231">
        <v>8466</v>
      </c>
      <c r="N10" s="231">
        <v>8318</v>
      </c>
      <c r="O10" s="228">
        <v>148</v>
      </c>
      <c r="P10" s="229">
        <v>1.78E-2</v>
      </c>
      <c r="Q10" s="231">
        <v>8258.5</v>
      </c>
      <c r="R10" s="231">
        <v>8020</v>
      </c>
      <c r="S10" s="228">
        <v>238.5</v>
      </c>
      <c r="T10" s="229">
        <v>2.9700000000000001E-2</v>
      </c>
      <c r="U10" s="231">
        <v>8088.5</v>
      </c>
      <c r="V10" s="231">
        <v>7817</v>
      </c>
      <c r="W10" s="228">
        <v>271.5</v>
      </c>
      <c r="X10" s="229">
        <v>3.4700000000000002E-2</v>
      </c>
      <c r="Y10" s="228">
        <v>-10</v>
      </c>
      <c r="Z10" s="228">
        <v>-3.5</v>
      </c>
      <c r="AA10" s="228">
        <v>-6.5</v>
      </c>
      <c r="AB10" s="229">
        <v>-1.1999999999999999E-3</v>
      </c>
      <c r="AC10" s="228">
        <v>-10</v>
      </c>
      <c r="AD10" s="228">
        <v>-3.5</v>
      </c>
      <c r="AE10" s="228">
        <v>-6.5</v>
      </c>
      <c r="AF10" s="229">
        <v>-1.1999999999999999E-3</v>
      </c>
      <c r="AG10" s="228">
        <v>-217.5</v>
      </c>
      <c r="AH10" s="228">
        <v>-301.5</v>
      </c>
      <c r="AI10" s="228">
        <v>84</v>
      </c>
      <c r="AJ10" s="229">
        <v>-2.5700000000000001E-2</v>
      </c>
      <c r="AK10" s="228">
        <v>-387.5</v>
      </c>
      <c r="AL10" s="228">
        <v>-504.5</v>
      </c>
      <c r="AM10" s="228">
        <v>117</v>
      </c>
      <c r="AN10" s="229">
        <v>-4.5699999999999998E-2</v>
      </c>
      <c r="AO10" s="231">
        <v>8437.1200000000008</v>
      </c>
      <c r="AP10" s="231">
        <v>8218.0499999999993</v>
      </c>
      <c r="AQ10" s="228">
        <v>0</v>
      </c>
      <c r="AR10" s="230">
        <v>980300</v>
      </c>
      <c r="AS10" s="230">
        <v>913800</v>
      </c>
      <c r="AT10" s="230">
        <v>66500</v>
      </c>
      <c r="AU10" s="229">
        <v>7.2800000000000004E-2</v>
      </c>
      <c r="AV10" s="230">
        <v>442900</v>
      </c>
      <c r="AW10" s="230">
        <v>456100</v>
      </c>
      <c r="AX10" s="230">
        <v>-13200</v>
      </c>
      <c r="AY10" s="229">
        <v>-2.8899999999999999E-2</v>
      </c>
      <c r="AZ10" s="230">
        <v>524400</v>
      </c>
      <c r="BA10" s="230">
        <v>450100</v>
      </c>
      <c r="BB10" s="230">
        <v>74300</v>
      </c>
      <c r="BC10" s="229">
        <v>0.1651</v>
      </c>
      <c r="BD10" s="230">
        <v>13000</v>
      </c>
      <c r="BE10" s="230">
        <v>7600</v>
      </c>
      <c r="BF10" s="230">
        <v>5400</v>
      </c>
      <c r="BG10" s="229">
        <v>0.71050000000000002</v>
      </c>
      <c r="BH10" s="230">
        <v>1722300</v>
      </c>
      <c r="BI10" s="230">
        <v>1709800</v>
      </c>
      <c r="BJ10" s="230">
        <v>12500</v>
      </c>
      <c r="BK10" s="229">
        <v>7.3000000000000001E-3</v>
      </c>
      <c r="BL10" s="230">
        <v>810300</v>
      </c>
      <c r="BM10" s="230">
        <v>846600</v>
      </c>
      <c r="BN10" s="230">
        <v>-36300</v>
      </c>
      <c r="BO10" s="229">
        <v>-4.2900000000000001E-2</v>
      </c>
      <c r="BP10" s="230">
        <v>3512900</v>
      </c>
      <c r="BQ10" s="230">
        <v>3470200</v>
      </c>
      <c r="BR10" s="230">
        <v>42700</v>
      </c>
      <c r="BS10" s="229">
        <v>1.23E-2</v>
      </c>
      <c r="BT10" s="230">
        <v>342053</v>
      </c>
      <c r="BU10" s="230">
        <v>314853</v>
      </c>
      <c r="BV10" s="230">
        <v>27200</v>
      </c>
      <c r="BW10" s="229">
        <v>8.6400000000000005E-2</v>
      </c>
      <c r="BX10" s="230">
        <v>779500</v>
      </c>
      <c r="BY10" s="230">
        <v>881300</v>
      </c>
      <c r="BZ10" s="230">
        <v>-101800</v>
      </c>
      <c r="CA10" s="229">
        <v>-0.11550000000000001</v>
      </c>
      <c r="CB10" s="230">
        <v>154000</v>
      </c>
      <c r="CC10" s="230">
        <v>351900</v>
      </c>
      <c r="CD10" s="230">
        <v>-197900</v>
      </c>
      <c r="CE10" s="229">
        <v>-0.56240000000000001</v>
      </c>
      <c r="CF10" s="230">
        <v>607900</v>
      </c>
      <c r="CG10" s="230">
        <v>508800</v>
      </c>
      <c r="CH10" s="230">
        <v>99100</v>
      </c>
      <c r="CI10" s="229">
        <v>0.1948</v>
      </c>
      <c r="CJ10" s="230">
        <v>17600</v>
      </c>
      <c r="CK10" s="230">
        <v>20600</v>
      </c>
      <c r="CL10" s="230">
        <v>-3000</v>
      </c>
      <c r="CM10" s="229">
        <v>-0.14560000000000001</v>
      </c>
      <c r="CN10" s="230">
        <v>470800</v>
      </c>
      <c r="CO10" s="230">
        <v>567600</v>
      </c>
      <c r="CP10" s="230">
        <v>-96800</v>
      </c>
      <c r="CQ10" s="229">
        <v>-0.17050000000000001</v>
      </c>
      <c r="CR10" s="230">
        <v>334400</v>
      </c>
      <c r="CS10" s="230">
        <v>298400</v>
      </c>
      <c r="CT10" s="230">
        <v>36000</v>
      </c>
      <c r="CU10" s="229">
        <v>0.1206</v>
      </c>
      <c r="CV10" s="230">
        <v>1584700</v>
      </c>
      <c r="CW10" s="230">
        <v>1747300</v>
      </c>
      <c r="CX10" s="230">
        <v>-162600</v>
      </c>
      <c r="CY10" s="229">
        <v>-9.3100000000000002E-2</v>
      </c>
      <c r="CZ10" s="228">
        <v>35.18</v>
      </c>
      <c r="DA10" s="228">
        <v>35.58</v>
      </c>
      <c r="DB10" s="228">
        <v>-0.4</v>
      </c>
      <c r="DC10" s="228">
        <v>-0.4</v>
      </c>
      <c r="DD10" s="228">
        <v>53.97</v>
      </c>
      <c r="DE10" s="228">
        <v>54.06</v>
      </c>
      <c r="DF10" s="228">
        <v>-18.79</v>
      </c>
      <c r="DG10" s="228">
        <v>-0.09</v>
      </c>
      <c r="DH10" s="228">
        <v>35.200000000000003</v>
      </c>
      <c r="DI10" s="228">
        <v>35.799999999999997</v>
      </c>
      <c r="DJ10" s="228">
        <v>-0.6</v>
      </c>
      <c r="DK10" s="228">
        <v>-0.6</v>
      </c>
      <c r="DL10" s="228">
        <v>35.119999999999997</v>
      </c>
      <c r="DM10" s="228">
        <v>35.11</v>
      </c>
      <c r="DN10" s="228">
        <v>0.01</v>
      </c>
      <c r="DO10" s="228">
        <v>0.01</v>
      </c>
      <c r="DP10" s="228">
        <v>0.71</v>
      </c>
      <c r="DQ10" s="228">
        <v>0.53</v>
      </c>
      <c r="DR10" s="228">
        <v>0.18</v>
      </c>
      <c r="DS10" s="229">
        <v>0.33960000000000001</v>
      </c>
      <c r="DT10" s="231">
        <v>9000</v>
      </c>
      <c r="DU10" s="231">
        <v>8400</v>
      </c>
      <c r="DV10" s="228">
        <v>0.47</v>
      </c>
      <c r="DW10" s="228">
        <v>0.5</v>
      </c>
      <c r="DX10" s="228">
        <v>-0.03</v>
      </c>
      <c r="DY10" s="229">
        <v>-0.06</v>
      </c>
      <c r="DZ10" s="229">
        <v>0.8024</v>
      </c>
      <c r="EA10" s="230">
        <v>529400</v>
      </c>
      <c r="EB10" s="229">
        <v>-2.4500000000000001E-2</v>
      </c>
      <c r="EC10" s="229">
        <v>0.8024</v>
      </c>
      <c r="ED10" s="228">
        <v>-219.07</v>
      </c>
      <c r="EE10" s="229">
        <v>-2.5999999999999999E-2</v>
      </c>
      <c r="EF10" s="230">
        <v>111224</v>
      </c>
      <c r="EG10" s="230">
        <v>113912</v>
      </c>
      <c r="EH10" s="229">
        <v>-2.3599999999999999E-2</v>
      </c>
      <c r="EI10" s="229">
        <v>0.32519999999999999</v>
      </c>
      <c r="EJ10" s="231">
        <v>149410.26999999999</v>
      </c>
      <c r="EK10" s="231">
        <v>66661.45</v>
      </c>
      <c r="EL10" s="231">
        <v>81504.899999999994</v>
      </c>
      <c r="EM10" s="231">
        <v>5040</v>
      </c>
      <c r="EN10" s="231">
        <v>297576.62</v>
      </c>
      <c r="EO10" s="231">
        <v>292541.43</v>
      </c>
      <c r="EP10" s="231">
        <v>5035.1899999999996</v>
      </c>
      <c r="EQ10" s="229">
        <v>1.72E-2</v>
      </c>
      <c r="ER10" s="231">
        <v>40566</v>
      </c>
      <c r="ES10" s="231">
        <v>26797</v>
      </c>
      <c r="ET10" s="231">
        <v>64665</v>
      </c>
      <c r="EU10" s="231">
        <v>3067454</v>
      </c>
      <c r="EV10" s="231">
        <v>132028</v>
      </c>
      <c r="EW10" s="231">
        <v>144347</v>
      </c>
      <c r="EX10" s="231">
        <v>-12319</v>
      </c>
      <c r="EY10" s="229">
        <v>-8.5300000000000001E-2</v>
      </c>
      <c r="EZ10" s="229">
        <v>0.51659999999999995</v>
      </c>
      <c r="FA10" s="227" t="s">
        <v>556</v>
      </c>
      <c r="FB10" s="161">
        <f t="shared" si="0"/>
        <v>625500</v>
      </c>
    </row>
    <row r="11" spans="1:158" ht="17.25" hidden="1" thickBot="1" x14ac:dyDescent="0.3">
      <c r="A11" s="226">
        <v>45957</v>
      </c>
      <c r="B11" s="227" t="s">
        <v>157</v>
      </c>
      <c r="C11" s="227" t="s">
        <v>164</v>
      </c>
      <c r="D11" s="228">
        <v>1050</v>
      </c>
      <c r="E11" s="228">
        <v>561.04999999999995</v>
      </c>
      <c r="F11" s="228">
        <v>555.95000000000005</v>
      </c>
      <c r="G11" s="228">
        <v>5.0999999999999996</v>
      </c>
      <c r="H11" s="229">
        <v>9.1999999999999998E-3</v>
      </c>
      <c r="I11" s="228">
        <v>560.25</v>
      </c>
      <c r="J11" s="228">
        <v>555</v>
      </c>
      <c r="K11" s="228">
        <v>5.25</v>
      </c>
      <c r="L11" s="229">
        <v>9.4999999999999998E-3</v>
      </c>
      <c r="M11" s="228">
        <v>561.04999999999995</v>
      </c>
      <c r="N11" s="228">
        <v>555.95000000000005</v>
      </c>
      <c r="O11" s="228">
        <v>5.0999999999999996</v>
      </c>
      <c r="P11" s="229">
        <v>9.1999999999999998E-3</v>
      </c>
      <c r="Q11" s="228">
        <v>564.35</v>
      </c>
      <c r="R11" s="228">
        <v>558.95000000000005</v>
      </c>
      <c r="S11" s="228">
        <v>5.4</v>
      </c>
      <c r="T11" s="229">
        <v>9.7000000000000003E-3</v>
      </c>
      <c r="U11" s="228">
        <v>568.15</v>
      </c>
      <c r="V11" s="228">
        <v>562.70000000000005</v>
      </c>
      <c r="W11" s="228">
        <v>5.45</v>
      </c>
      <c r="X11" s="229">
        <v>9.7000000000000003E-3</v>
      </c>
      <c r="Y11" s="228">
        <v>0.8</v>
      </c>
      <c r="Z11" s="228">
        <v>0.95</v>
      </c>
      <c r="AA11" s="228">
        <v>-0.15</v>
      </c>
      <c r="AB11" s="229">
        <v>1.4E-3</v>
      </c>
      <c r="AC11" s="228">
        <v>0.8</v>
      </c>
      <c r="AD11" s="228">
        <v>0.95</v>
      </c>
      <c r="AE11" s="228">
        <v>-0.15</v>
      </c>
      <c r="AF11" s="229">
        <v>1.4E-3</v>
      </c>
      <c r="AG11" s="228">
        <v>4.0999999999999996</v>
      </c>
      <c r="AH11" s="228">
        <v>3.95</v>
      </c>
      <c r="AI11" s="228">
        <v>0.15</v>
      </c>
      <c r="AJ11" s="229">
        <v>7.3000000000000001E-3</v>
      </c>
      <c r="AK11" s="228">
        <v>7.9</v>
      </c>
      <c r="AL11" s="228">
        <v>7.7</v>
      </c>
      <c r="AM11" s="228">
        <v>0.2</v>
      </c>
      <c r="AN11" s="229">
        <v>1.41E-2</v>
      </c>
      <c r="AO11" s="228">
        <v>556.85</v>
      </c>
      <c r="AP11" s="228">
        <v>559.86</v>
      </c>
      <c r="AQ11" s="228">
        <v>0</v>
      </c>
      <c r="AR11" s="230">
        <v>24581550</v>
      </c>
      <c r="AS11" s="230">
        <v>28772100</v>
      </c>
      <c r="AT11" s="230">
        <v>-4190550</v>
      </c>
      <c r="AU11" s="229">
        <v>-0.14560000000000001</v>
      </c>
      <c r="AV11" s="230">
        <v>11653950</v>
      </c>
      <c r="AW11" s="230">
        <v>12812100</v>
      </c>
      <c r="AX11" s="230">
        <v>-1158150</v>
      </c>
      <c r="AY11" s="229">
        <v>-9.0399999999999994E-2</v>
      </c>
      <c r="AZ11" s="230">
        <v>12707100</v>
      </c>
      <c r="BA11" s="230">
        <v>15884400</v>
      </c>
      <c r="BB11" s="230">
        <v>-3177300</v>
      </c>
      <c r="BC11" s="229">
        <v>-0.2</v>
      </c>
      <c r="BD11" s="230">
        <v>220500</v>
      </c>
      <c r="BE11" s="230">
        <v>75600</v>
      </c>
      <c r="BF11" s="230">
        <v>144900</v>
      </c>
      <c r="BG11" s="229">
        <v>1.9167000000000001</v>
      </c>
      <c r="BH11" s="230">
        <v>12984300</v>
      </c>
      <c r="BI11" s="230">
        <v>9893100</v>
      </c>
      <c r="BJ11" s="230">
        <v>3091200</v>
      </c>
      <c r="BK11" s="229">
        <v>0.3125</v>
      </c>
      <c r="BL11" s="230">
        <v>6751500</v>
      </c>
      <c r="BM11" s="230">
        <v>4839450</v>
      </c>
      <c r="BN11" s="230">
        <v>1912050</v>
      </c>
      <c r="BO11" s="229">
        <v>0.39510000000000001</v>
      </c>
      <c r="BP11" s="230">
        <v>44317350</v>
      </c>
      <c r="BQ11" s="230">
        <v>43504650</v>
      </c>
      <c r="BR11" s="230">
        <v>812700</v>
      </c>
      <c r="BS11" s="229">
        <v>1.8700000000000001E-2</v>
      </c>
      <c r="BT11" s="230">
        <v>2259027</v>
      </c>
      <c r="BU11" s="230">
        <v>5132338</v>
      </c>
      <c r="BV11" s="230">
        <v>-2873311</v>
      </c>
      <c r="BW11" s="229">
        <v>-0.55979999999999996</v>
      </c>
      <c r="BX11" s="230">
        <v>46289250</v>
      </c>
      <c r="BY11" s="230">
        <v>45934350</v>
      </c>
      <c r="BZ11" s="230">
        <v>354900</v>
      </c>
      <c r="CA11" s="229">
        <v>7.7000000000000002E-3</v>
      </c>
      <c r="CB11" s="230">
        <v>9963450</v>
      </c>
      <c r="CC11" s="230">
        <v>18895800</v>
      </c>
      <c r="CD11" s="230">
        <v>-8932350</v>
      </c>
      <c r="CE11" s="229">
        <v>-0.47270000000000001</v>
      </c>
      <c r="CF11" s="230">
        <v>35994000</v>
      </c>
      <c r="CG11" s="230">
        <v>26873700</v>
      </c>
      <c r="CH11" s="230">
        <v>9120300</v>
      </c>
      <c r="CI11" s="229">
        <v>0.33939999999999998</v>
      </c>
      <c r="CJ11" s="230">
        <v>331800</v>
      </c>
      <c r="CK11" s="230">
        <v>164850</v>
      </c>
      <c r="CL11" s="230">
        <v>166950</v>
      </c>
      <c r="CM11" s="229">
        <v>1.0126999999999999</v>
      </c>
      <c r="CN11" s="230">
        <v>11308500</v>
      </c>
      <c r="CO11" s="230">
        <v>12642000</v>
      </c>
      <c r="CP11" s="230">
        <v>-1333500</v>
      </c>
      <c r="CQ11" s="229">
        <v>-0.1055</v>
      </c>
      <c r="CR11" s="230">
        <v>8409450</v>
      </c>
      <c r="CS11" s="230">
        <v>8615250</v>
      </c>
      <c r="CT11" s="230">
        <v>-205800</v>
      </c>
      <c r="CU11" s="229">
        <v>-2.3900000000000001E-2</v>
      </c>
      <c r="CV11" s="230">
        <v>66007200</v>
      </c>
      <c r="CW11" s="230">
        <v>67191600</v>
      </c>
      <c r="CX11" s="230">
        <v>-1184400</v>
      </c>
      <c r="CY11" s="229">
        <v>-1.7600000000000001E-2</v>
      </c>
      <c r="CZ11" s="228">
        <v>24.86</v>
      </c>
      <c r="DA11" s="228">
        <v>24.78</v>
      </c>
      <c r="DB11" s="228">
        <v>0.08</v>
      </c>
      <c r="DC11" s="228">
        <v>0.08</v>
      </c>
      <c r="DD11" s="228">
        <v>33.549999999999997</v>
      </c>
      <c r="DE11" s="228">
        <v>33.61</v>
      </c>
      <c r="DF11" s="228">
        <v>-8.69</v>
      </c>
      <c r="DG11" s="228">
        <v>-0.06</v>
      </c>
      <c r="DH11" s="228">
        <v>24.68</v>
      </c>
      <c r="DI11" s="228">
        <v>24.94</v>
      </c>
      <c r="DJ11" s="228">
        <v>-0.26</v>
      </c>
      <c r="DK11" s="228">
        <v>-0.26</v>
      </c>
      <c r="DL11" s="228">
        <v>25.12</v>
      </c>
      <c r="DM11" s="228">
        <v>24.57</v>
      </c>
      <c r="DN11" s="228">
        <v>0.55000000000000004</v>
      </c>
      <c r="DO11" s="228">
        <v>0.55000000000000004</v>
      </c>
      <c r="DP11" s="228">
        <v>0.74</v>
      </c>
      <c r="DQ11" s="228">
        <v>0.68</v>
      </c>
      <c r="DR11" s="228">
        <v>0.06</v>
      </c>
      <c r="DS11" s="229">
        <v>8.8200000000000001E-2</v>
      </c>
      <c r="DT11" s="228">
        <v>600</v>
      </c>
      <c r="DU11" s="228">
        <v>650</v>
      </c>
      <c r="DV11" s="228">
        <v>0.52</v>
      </c>
      <c r="DW11" s="228">
        <v>0.49</v>
      </c>
      <c r="DX11" s="228">
        <v>0.03</v>
      </c>
      <c r="DY11" s="229">
        <v>6.1199999999999997E-2</v>
      </c>
      <c r="DZ11" s="229">
        <v>0.78480000000000005</v>
      </c>
      <c r="EA11" s="230">
        <v>27038550</v>
      </c>
      <c r="EB11" s="229">
        <v>5.8999999999999999E-3</v>
      </c>
      <c r="EC11" s="229">
        <v>0.78480000000000005</v>
      </c>
      <c r="ED11" s="228">
        <v>3.01</v>
      </c>
      <c r="EE11" s="229">
        <v>5.4000000000000003E-3</v>
      </c>
      <c r="EF11" s="230">
        <v>1703079</v>
      </c>
      <c r="EG11" s="230">
        <v>4345052</v>
      </c>
      <c r="EH11" s="229">
        <v>-0.60799999999999998</v>
      </c>
      <c r="EI11" s="229">
        <v>0.75390000000000001</v>
      </c>
      <c r="EJ11" s="231">
        <v>75553.48</v>
      </c>
      <c r="EK11" s="231">
        <v>38775.769999999997</v>
      </c>
      <c r="EL11" s="231">
        <v>137278.76999999999</v>
      </c>
      <c r="EM11" s="231">
        <v>13271</v>
      </c>
      <c r="EN11" s="231">
        <v>251608.02</v>
      </c>
      <c r="EO11" s="231">
        <v>246153.22</v>
      </c>
      <c r="EP11" s="231">
        <v>5454.8</v>
      </c>
      <c r="EQ11" s="229">
        <v>2.2200000000000001E-2</v>
      </c>
      <c r="ER11" s="231">
        <v>66942</v>
      </c>
      <c r="ES11" s="231">
        <v>48555</v>
      </c>
      <c r="ET11" s="231">
        <v>260917</v>
      </c>
      <c r="EU11" s="231">
        <v>119762774</v>
      </c>
      <c r="EV11" s="231">
        <v>376415</v>
      </c>
      <c r="EW11" s="231">
        <v>380798</v>
      </c>
      <c r="EX11" s="231">
        <v>-4383</v>
      </c>
      <c r="EY11" s="229">
        <v>-1.15E-2</v>
      </c>
      <c r="EZ11" s="229">
        <v>0.55110000000000003</v>
      </c>
      <c r="FA11" s="227" t="s">
        <v>555</v>
      </c>
      <c r="FB11" s="161">
        <f t="shared" si="0"/>
        <v>36325800</v>
      </c>
    </row>
    <row r="12" spans="1:158" ht="17.25" hidden="1" thickBot="1" x14ac:dyDescent="0.3">
      <c r="A12" s="226">
        <v>45957</v>
      </c>
      <c r="B12" s="227" t="s">
        <v>175</v>
      </c>
      <c r="C12" s="227" t="s">
        <v>609</v>
      </c>
      <c r="D12" s="228">
        <v>250</v>
      </c>
      <c r="E12" s="231">
        <v>2574.5</v>
      </c>
      <c r="F12" s="231">
        <v>2513.9</v>
      </c>
      <c r="G12" s="228">
        <v>60.6</v>
      </c>
      <c r="H12" s="229">
        <v>2.41E-2</v>
      </c>
      <c r="I12" s="231">
        <v>2577</v>
      </c>
      <c r="J12" s="231">
        <v>2514.5</v>
      </c>
      <c r="K12" s="228">
        <v>62.5</v>
      </c>
      <c r="L12" s="229">
        <v>2.4899999999999999E-2</v>
      </c>
      <c r="M12" s="231">
        <v>2574.5</v>
      </c>
      <c r="N12" s="231">
        <v>2513.9</v>
      </c>
      <c r="O12" s="228">
        <v>60.6</v>
      </c>
      <c r="P12" s="229">
        <v>2.41E-2</v>
      </c>
      <c r="Q12" s="231">
        <v>2587.3000000000002</v>
      </c>
      <c r="R12" s="231">
        <v>2517</v>
      </c>
      <c r="S12" s="228">
        <v>70.3</v>
      </c>
      <c r="T12" s="229">
        <v>2.7900000000000001E-2</v>
      </c>
      <c r="U12" s="231">
        <v>2590.4</v>
      </c>
      <c r="V12" s="231">
        <v>2517.8000000000002</v>
      </c>
      <c r="W12" s="228">
        <v>72.599999999999994</v>
      </c>
      <c r="X12" s="229">
        <v>2.8799999999999999E-2</v>
      </c>
      <c r="Y12" s="228">
        <v>-2.5</v>
      </c>
      <c r="Z12" s="228">
        <v>-0.6</v>
      </c>
      <c r="AA12" s="228">
        <v>-1.9</v>
      </c>
      <c r="AB12" s="229">
        <v>-1E-3</v>
      </c>
      <c r="AC12" s="228">
        <v>-2.5</v>
      </c>
      <c r="AD12" s="228">
        <v>-0.6</v>
      </c>
      <c r="AE12" s="228">
        <v>-1.9</v>
      </c>
      <c r="AF12" s="229">
        <v>-1E-3</v>
      </c>
      <c r="AG12" s="228">
        <v>10.3</v>
      </c>
      <c r="AH12" s="228">
        <v>2.5</v>
      </c>
      <c r="AI12" s="228">
        <v>7.8</v>
      </c>
      <c r="AJ12" s="229">
        <v>4.0000000000000001E-3</v>
      </c>
      <c r="AK12" s="228">
        <v>13.4</v>
      </c>
      <c r="AL12" s="228">
        <v>3.3</v>
      </c>
      <c r="AM12" s="228">
        <v>10.1</v>
      </c>
      <c r="AN12" s="229">
        <v>5.1999999999999998E-3</v>
      </c>
      <c r="AO12" s="231">
        <v>2550.9</v>
      </c>
      <c r="AP12" s="231">
        <v>2563.11</v>
      </c>
      <c r="AQ12" s="228">
        <v>0</v>
      </c>
      <c r="AR12" s="230">
        <v>3186250</v>
      </c>
      <c r="AS12" s="230">
        <v>3009000</v>
      </c>
      <c r="AT12" s="230">
        <v>177250</v>
      </c>
      <c r="AU12" s="229">
        <v>5.8900000000000001E-2</v>
      </c>
      <c r="AV12" s="230">
        <v>1482500</v>
      </c>
      <c r="AW12" s="230">
        <v>1487750</v>
      </c>
      <c r="AX12" s="230">
        <v>-5250</v>
      </c>
      <c r="AY12" s="229">
        <v>-3.5000000000000001E-3</v>
      </c>
      <c r="AZ12" s="230">
        <v>1649250</v>
      </c>
      <c r="BA12" s="230">
        <v>1487500</v>
      </c>
      <c r="BB12" s="230">
        <v>161750</v>
      </c>
      <c r="BC12" s="229">
        <v>0.1087</v>
      </c>
      <c r="BD12" s="230">
        <v>54500</v>
      </c>
      <c r="BE12" s="230">
        <v>33750</v>
      </c>
      <c r="BF12" s="230">
        <v>20750</v>
      </c>
      <c r="BG12" s="229">
        <v>0.61480000000000001</v>
      </c>
      <c r="BH12" s="230">
        <v>5628750</v>
      </c>
      <c r="BI12" s="230">
        <v>3666250</v>
      </c>
      <c r="BJ12" s="230">
        <v>1962500</v>
      </c>
      <c r="BK12" s="229">
        <v>0.5353</v>
      </c>
      <c r="BL12" s="230">
        <v>2807250</v>
      </c>
      <c r="BM12" s="230">
        <v>2702000</v>
      </c>
      <c r="BN12" s="230">
        <v>105250</v>
      </c>
      <c r="BO12" s="229">
        <v>3.9E-2</v>
      </c>
      <c r="BP12" s="230">
        <v>11622250</v>
      </c>
      <c r="BQ12" s="230">
        <v>9377250</v>
      </c>
      <c r="BR12" s="230">
        <v>2245000</v>
      </c>
      <c r="BS12" s="229">
        <v>0.2394</v>
      </c>
      <c r="BT12" s="230">
        <v>761609</v>
      </c>
      <c r="BU12" s="230">
        <v>410326</v>
      </c>
      <c r="BV12" s="230">
        <v>351283</v>
      </c>
      <c r="BW12" s="229">
        <v>0.85609999999999997</v>
      </c>
      <c r="BX12" s="230">
        <v>3265500</v>
      </c>
      <c r="BY12" s="230">
        <v>3196750</v>
      </c>
      <c r="BZ12" s="230">
        <v>68750</v>
      </c>
      <c r="CA12" s="229">
        <v>2.1499999999999998E-2</v>
      </c>
      <c r="CB12" s="230">
        <v>592750</v>
      </c>
      <c r="CC12" s="230">
        <v>1313500</v>
      </c>
      <c r="CD12" s="230">
        <v>-720750</v>
      </c>
      <c r="CE12" s="229">
        <v>-0.54869999999999997</v>
      </c>
      <c r="CF12" s="230">
        <v>2588250</v>
      </c>
      <c r="CG12" s="230">
        <v>1805250</v>
      </c>
      <c r="CH12" s="230">
        <v>783000</v>
      </c>
      <c r="CI12" s="229">
        <v>0.43369999999999997</v>
      </c>
      <c r="CJ12" s="230">
        <v>84500</v>
      </c>
      <c r="CK12" s="230">
        <v>78000</v>
      </c>
      <c r="CL12" s="230">
        <v>6500</v>
      </c>
      <c r="CM12" s="229">
        <v>8.3299999999999999E-2</v>
      </c>
      <c r="CN12" s="230">
        <v>1948500</v>
      </c>
      <c r="CO12" s="230">
        <v>2174250</v>
      </c>
      <c r="CP12" s="230">
        <v>-225750</v>
      </c>
      <c r="CQ12" s="229">
        <v>-0.1038</v>
      </c>
      <c r="CR12" s="230">
        <v>1757500</v>
      </c>
      <c r="CS12" s="230">
        <v>1897500</v>
      </c>
      <c r="CT12" s="230">
        <v>-140000</v>
      </c>
      <c r="CU12" s="229">
        <v>-7.3800000000000004E-2</v>
      </c>
      <c r="CV12" s="230">
        <v>6971500</v>
      </c>
      <c r="CW12" s="230">
        <v>7268500</v>
      </c>
      <c r="CX12" s="230">
        <v>-297000</v>
      </c>
      <c r="CY12" s="229">
        <v>-4.0899999999999999E-2</v>
      </c>
      <c r="CZ12" s="228">
        <v>36.68</v>
      </c>
      <c r="DA12" s="228">
        <v>34.76</v>
      </c>
      <c r="DB12" s="228">
        <v>1.92</v>
      </c>
      <c r="DC12" s="228">
        <v>1.92</v>
      </c>
      <c r="DD12" s="228">
        <v>54.92</v>
      </c>
      <c r="DE12" s="228">
        <v>54.96</v>
      </c>
      <c r="DF12" s="228">
        <v>-18.239999999999998</v>
      </c>
      <c r="DG12" s="228">
        <v>-0.04</v>
      </c>
      <c r="DH12" s="228">
        <v>36.520000000000003</v>
      </c>
      <c r="DI12" s="228">
        <v>34.25</v>
      </c>
      <c r="DJ12" s="228">
        <v>2.27</v>
      </c>
      <c r="DK12" s="228">
        <v>2.27</v>
      </c>
      <c r="DL12" s="228">
        <v>37.090000000000003</v>
      </c>
      <c r="DM12" s="228">
        <v>35.64</v>
      </c>
      <c r="DN12" s="228">
        <v>1.45</v>
      </c>
      <c r="DO12" s="228">
        <v>1.45</v>
      </c>
      <c r="DP12" s="228">
        <v>0.9</v>
      </c>
      <c r="DQ12" s="228">
        <v>0.87</v>
      </c>
      <c r="DR12" s="228">
        <v>0.03</v>
      </c>
      <c r="DS12" s="229">
        <v>3.4500000000000003E-2</v>
      </c>
      <c r="DT12" s="231">
        <v>2700</v>
      </c>
      <c r="DU12" s="231">
        <v>2400</v>
      </c>
      <c r="DV12" s="228">
        <v>0.5</v>
      </c>
      <c r="DW12" s="228">
        <v>0.74</v>
      </c>
      <c r="DX12" s="228">
        <v>-0.24</v>
      </c>
      <c r="DY12" s="229">
        <v>-0.32429999999999998</v>
      </c>
      <c r="DZ12" s="229">
        <v>0.81850000000000001</v>
      </c>
      <c r="EA12" s="230">
        <v>1883250</v>
      </c>
      <c r="EB12" s="229">
        <v>5.0000000000000001E-3</v>
      </c>
      <c r="EC12" s="229">
        <v>0.81850000000000001</v>
      </c>
      <c r="ED12" s="228">
        <v>12.21</v>
      </c>
      <c r="EE12" s="229">
        <v>4.7999999999999996E-3</v>
      </c>
      <c r="EF12" s="230">
        <v>301369</v>
      </c>
      <c r="EG12" s="230">
        <v>129444</v>
      </c>
      <c r="EH12" s="229">
        <v>1.3282</v>
      </c>
      <c r="EI12" s="229">
        <v>0.3957</v>
      </c>
      <c r="EJ12" s="231">
        <v>148404.14000000001</v>
      </c>
      <c r="EK12" s="231">
        <v>68668.73</v>
      </c>
      <c r="EL12" s="231">
        <v>81485.78</v>
      </c>
      <c r="EM12" s="231">
        <v>6740</v>
      </c>
      <c r="EN12" s="231">
        <v>298558.65000000002</v>
      </c>
      <c r="EO12" s="231">
        <v>236204.84</v>
      </c>
      <c r="EP12" s="231">
        <v>62353.81</v>
      </c>
      <c r="EQ12" s="229">
        <v>0.26400000000000001</v>
      </c>
      <c r="ER12" s="231">
        <v>48412</v>
      </c>
      <c r="ES12" s="231">
        <v>40782</v>
      </c>
      <c r="ET12" s="231">
        <v>84415</v>
      </c>
      <c r="EU12" s="231">
        <v>9647634</v>
      </c>
      <c r="EV12" s="231">
        <v>173609</v>
      </c>
      <c r="EW12" s="231">
        <v>178119</v>
      </c>
      <c r="EX12" s="231">
        <v>-4510</v>
      </c>
      <c r="EY12" s="229">
        <v>-2.53E-2</v>
      </c>
      <c r="EZ12" s="229">
        <v>0.72260000000000002</v>
      </c>
      <c r="FA12" s="227" t="s">
        <v>555</v>
      </c>
      <c r="FB12" s="161">
        <f t="shared" si="0"/>
        <v>2672750</v>
      </c>
    </row>
    <row r="13" spans="1:158" ht="17.25" hidden="1" thickBot="1" x14ac:dyDescent="0.3">
      <c r="A13" s="226">
        <v>45957</v>
      </c>
      <c r="B13" s="227" t="s">
        <v>227</v>
      </c>
      <c r="C13" s="227" t="s">
        <v>598</v>
      </c>
      <c r="D13" s="228">
        <v>350</v>
      </c>
      <c r="E13" s="231">
        <v>1768</v>
      </c>
      <c r="F13" s="231">
        <v>1754.9</v>
      </c>
      <c r="G13" s="228">
        <v>13.1</v>
      </c>
      <c r="H13" s="229">
        <v>7.4999999999999997E-3</v>
      </c>
      <c r="I13" s="231">
        <v>1767</v>
      </c>
      <c r="J13" s="231">
        <v>1754.4</v>
      </c>
      <c r="K13" s="228">
        <v>12.6</v>
      </c>
      <c r="L13" s="229">
        <v>7.1999999999999998E-3</v>
      </c>
      <c r="M13" s="231">
        <v>1768</v>
      </c>
      <c r="N13" s="231">
        <v>1754.9</v>
      </c>
      <c r="O13" s="228">
        <v>13.1</v>
      </c>
      <c r="P13" s="229">
        <v>7.4999999999999997E-3</v>
      </c>
      <c r="Q13" s="231">
        <v>1778.4</v>
      </c>
      <c r="R13" s="231">
        <v>1764.7</v>
      </c>
      <c r="S13" s="228">
        <v>13.7</v>
      </c>
      <c r="T13" s="229">
        <v>7.7999999999999996E-3</v>
      </c>
      <c r="U13" s="231">
        <v>1785.5</v>
      </c>
      <c r="V13" s="231">
        <v>1775.4</v>
      </c>
      <c r="W13" s="228">
        <v>10.1</v>
      </c>
      <c r="X13" s="229">
        <v>5.7000000000000002E-3</v>
      </c>
      <c r="Y13" s="228">
        <v>1</v>
      </c>
      <c r="Z13" s="228">
        <v>0.5</v>
      </c>
      <c r="AA13" s="228">
        <v>0.5</v>
      </c>
      <c r="AB13" s="229">
        <v>5.9999999999999995E-4</v>
      </c>
      <c r="AC13" s="228">
        <v>1</v>
      </c>
      <c r="AD13" s="228">
        <v>0.5</v>
      </c>
      <c r="AE13" s="228">
        <v>0.5</v>
      </c>
      <c r="AF13" s="229">
        <v>5.9999999999999995E-4</v>
      </c>
      <c r="AG13" s="228">
        <v>11.4</v>
      </c>
      <c r="AH13" s="228">
        <v>10.3</v>
      </c>
      <c r="AI13" s="228">
        <v>1.1000000000000001</v>
      </c>
      <c r="AJ13" s="229">
        <v>6.4999999999999997E-3</v>
      </c>
      <c r="AK13" s="228">
        <v>18.5</v>
      </c>
      <c r="AL13" s="228">
        <v>21</v>
      </c>
      <c r="AM13" s="228">
        <v>-2.5</v>
      </c>
      <c r="AN13" s="229">
        <v>1.0500000000000001E-2</v>
      </c>
      <c r="AO13" s="231">
        <v>1768.37</v>
      </c>
      <c r="AP13" s="231">
        <v>1779.04</v>
      </c>
      <c r="AQ13" s="228">
        <v>0</v>
      </c>
      <c r="AR13" s="230">
        <v>7560700</v>
      </c>
      <c r="AS13" s="230">
        <v>8272250</v>
      </c>
      <c r="AT13" s="230">
        <v>-711550</v>
      </c>
      <c r="AU13" s="229">
        <v>-8.5999999999999993E-2</v>
      </c>
      <c r="AV13" s="230">
        <v>3648050</v>
      </c>
      <c r="AW13" s="230">
        <v>4194050</v>
      </c>
      <c r="AX13" s="230">
        <v>-546000</v>
      </c>
      <c r="AY13" s="229">
        <v>-0.13020000000000001</v>
      </c>
      <c r="AZ13" s="230">
        <v>3907050</v>
      </c>
      <c r="BA13" s="230">
        <v>4073650</v>
      </c>
      <c r="BB13" s="230">
        <v>-166600</v>
      </c>
      <c r="BC13" s="229">
        <v>-4.0899999999999999E-2</v>
      </c>
      <c r="BD13" s="230">
        <v>5600</v>
      </c>
      <c r="BE13" s="230">
        <v>4550</v>
      </c>
      <c r="BF13" s="230">
        <v>1050</v>
      </c>
      <c r="BG13" s="229">
        <v>0.23080000000000001</v>
      </c>
      <c r="BH13" s="230">
        <v>4009250</v>
      </c>
      <c r="BI13" s="230">
        <v>2844800</v>
      </c>
      <c r="BJ13" s="230">
        <v>1164450</v>
      </c>
      <c r="BK13" s="229">
        <v>0.4093</v>
      </c>
      <c r="BL13" s="230">
        <v>1693650</v>
      </c>
      <c r="BM13" s="230">
        <v>1275400</v>
      </c>
      <c r="BN13" s="230">
        <v>418250</v>
      </c>
      <c r="BO13" s="229">
        <v>0.32790000000000002</v>
      </c>
      <c r="BP13" s="230">
        <v>13263600</v>
      </c>
      <c r="BQ13" s="230">
        <v>12392450</v>
      </c>
      <c r="BR13" s="230">
        <v>871150</v>
      </c>
      <c r="BS13" s="229">
        <v>7.0300000000000001E-2</v>
      </c>
      <c r="BT13" s="230">
        <v>287317</v>
      </c>
      <c r="BU13" s="230">
        <v>308679</v>
      </c>
      <c r="BV13" s="230">
        <v>-21362</v>
      </c>
      <c r="BW13" s="229">
        <v>-6.9199999999999998E-2</v>
      </c>
      <c r="BX13" s="230">
        <v>9903250</v>
      </c>
      <c r="BY13" s="230">
        <v>10042200</v>
      </c>
      <c r="BZ13" s="230">
        <v>-138950</v>
      </c>
      <c r="CA13" s="229">
        <v>-1.38E-2</v>
      </c>
      <c r="CB13" s="230">
        <v>1077300</v>
      </c>
      <c r="CC13" s="230">
        <v>3964100</v>
      </c>
      <c r="CD13" s="230">
        <v>-2886800</v>
      </c>
      <c r="CE13" s="229">
        <v>-0.72819999999999996</v>
      </c>
      <c r="CF13" s="230">
        <v>8809850</v>
      </c>
      <c r="CG13" s="230">
        <v>6066200</v>
      </c>
      <c r="CH13" s="230">
        <v>2743650</v>
      </c>
      <c r="CI13" s="229">
        <v>0.45229999999999998</v>
      </c>
      <c r="CJ13" s="230">
        <v>16100</v>
      </c>
      <c r="CK13" s="230">
        <v>11900</v>
      </c>
      <c r="CL13" s="230">
        <v>4200</v>
      </c>
      <c r="CM13" s="229">
        <v>0.35289999999999999</v>
      </c>
      <c r="CN13" s="230">
        <v>1586550</v>
      </c>
      <c r="CO13" s="230">
        <v>1701700</v>
      </c>
      <c r="CP13" s="230">
        <v>-115150</v>
      </c>
      <c r="CQ13" s="229">
        <v>-6.7699999999999996E-2</v>
      </c>
      <c r="CR13" s="230">
        <v>1118950</v>
      </c>
      <c r="CS13" s="230">
        <v>965300</v>
      </c>
      <c r="CT13" s="230">
        <v>153650</v>
      </c>
      <c r="CU13" s="229">
        <v>0.15920000000000001</v>
      </c>
      <c r="CV13" s="230">
        <v>12608750</v>
      </c>
      <c r="CW13" s="230">
        <v>12709200</v>
      </c>
      <c r="CX13" s="230">
        <v>-100450</v>
      </c>
      <c r="CY13" s="229">
        <v>-7.9000000000000008E-3</v>
      </c>
      <c r="CZ13" s="228">
        <v>28.92</v>
      </c>
      <c r="DA13" s="228">
        <v>28.61</v>
      </c>
      <c r="DB13" s="228">
        <v>0.31</v>
      </c>
      <c r="DC13" s="228">
        <v>0.31</v>
      </c>
      <c r="DD13" s="228">
        <v>34.270000000000003</v>
      </c>
      <c r="DE13" s="228">
        <v>34.35</v>
      </c>
      <c r="DF13" s="228">
        <v>-5.35</v>
      </c>
      <c r="DG13" s="228">
        <v>-0.08</v>
      </c>
      <c r="DH13" s="228">
        <v>28.89</v>
      </c>
      <c r="DI13" s="228">
        <v>28.93</v>
      </c>
      <c r="DJ13" s="228">
        <v>-0.04</v>
      </c>
      <c r="DK13" s="228">
        <v>-0.04</v>
      </c>
      <c r="DL13" s="228">
        <v>28.99</v>
      </c>
      <c r="DM13" s="228">
        <v>28.02</v>
      </c>
      <c r="DN13" s="228">
        <v>0.97</v>
      </c>
      <c r="DO13" s="228">
        <v>0.97</v>
      </c>
      <c r="DP13" s="228">
        <v>0.71</v>
      </c>
      <c r="DQ13" s="228">
        <v>0.56999999999999995</v>
      </c>
      <c r="DR13" s="228">
        <v>0.14000000000000001</v>
      </c>
      <c r="DS13" s="229">
        <v>0.24560000000000001</v>
      </c>
      <c r="DT13" s="231">
        <v>1860</v>
      </c>
      <c r="DU13" s="231">
        <v>1700</v>
      </c>
      <c r="DV13" s="228">
        <v>0.42</v>
      </c>
      <c r="DW13" s="228">
        <v>0.45</v>
      </c>
      <c r="DX13" s="228">
        <v>-0.03</v>
      </c>
      <c r="DY13" s="229">
        <v>-6.6699999999999995E-2</v>
      </c>
      <c r="DZ13" s="229">
        <v>0.89119999999999999</v>
      </c>
      <c r="EA13" s="230">
        <v>6078100</v>
      </c>
      <c r="EB13" s="229">
        <v>5.8999999999999999E-3</v>
      </c>
      <c r="EC13" s="229">
        <v>0.89119999999999999</v>
      </c>
      <c r="ED13" s="228">
        <v>10.67</v>
      </c>
      <c r="EE13" s="229">
        <v>6.0000000000000001E-3</v>
      </c>
      <c r="EF13" s="230">
        <v>116618</v>
      </c>
      <c r="EG13" s="230">
        <v>158251</v>
      </c>
      <c r="EH13" s="229">
        <v>-0.2631</v>
      </c>
      <c r="EI13" s="229">
        <v>0.40589999999999998</v>
      </c>
      <c r="EJ13" s="231">
        <v>72559.28</v>
      </c>
      <c r="EK13" s="231">
        <v>29456.43</v>
      </c>
      <c r="EL13" s="231">
        <v>134119.5</v>
      </c>
      <c r="EM13" s="231">
        <v>9697</v>
      </c>
      <c r="EN13" s="231">
        <v>236135.21</v>
      </c>
      <c r="EO13" s="231">
        <v>218672.35</v>
      </c>
      <c r="EP13" s="231">
        <v>17462.86</v>
      </c>
      <c r="EQ13" s="229">
        <v>7.9899999999999999E-2</v>
      </c>
      <c r="ER13" s="231">
        <v>28289</v>
      </c>
      <c r="ES13" s="231">
        <v>18933</v>
      </c>
      <c r="ET13" s="231">
        <v>176009</v>
      </c>
      <c r="EU13" s="231">
        <v>27232196</v>
      </c>
      <c r="EV13" s="231">
        <v>223231</v>
      </c>
      <c r="EW13" s="231">
        <v>223209</v>
      </c>
      <c r="EX13" s="228">
        <v>22</v>
      </c>
      <c r="EY13" s="229">
        <v>1E-4</v>
      </c>
      <c r="EZ13" s="229">
        <v>0.46300000000000002</v>
      </c>
      <c r="FA13" s="227" t="s">
        <v>556</v>
      </c>
      <c r="FB13" s="161">
        <f t="shared" si="0"/>
        <v>8825950</v>
      </c>
    </row>
    <row r="14" spans="1:158" ht="17.25" hidden="1" thickBot="1" x14ac:dyDescent="0.3">
      <c r="A14" s="226">
        <v>45957</v>
      </c>
      <c r="B14" s="227" t="s">
        <v>170</v>
      </c>
      <c r="C14" s="227" t="s">
        <v>165</v>
      </c>
      <c r="D14" s="228">
        <v>125</v>
      </c>
      <c r="E14" s="231">
        <v>7855.5</v>
      </c>
      <c r="F14" s="231">
        <v>7845.5</v>
      </c>
      <c r="G14" s="228">
        <v>10</v>
      </c>
      <c r="H14" s="229">
        <v>1.2999999999999999E-3</v>
      </c>
      <c r="I14" s="231">
        <v>7845.5</v>
      </c>
      <c r="J14" s="231">
        <v>7837.5</v>
      </c>
      <c r="K14" s="228">
        <v>8</v>
      </c>
      <c r="L14" s="229">
        <v>1E-3</v>
      </c>
      <c r="M14" s="231">
        <v>7855.5</v>
      </c>
      <c r="N14" s="231">
        <v>7845.5</v>
      </c>
      <c r="O14" s="228">
        <v>10</v>
      </c>
      <c r="P14" s="229">
        <v>1.2999999999999999E-3</v>
      </c>
      <c r="Q14" s="231">
        <v>7900</v>
      </c>
      <c r="R14" s="231">
        <v>7889.5</v>
      </c>
      <c r="S14" s="228">
        <v>10.5</v>
      </c>
      <c r="T14" s="229">
        <v>1.2999999999999999E-3</v>
      </c>
      <c r="U14" s="231">
        <v>7953</v>
      </c>
      <c r="V14" s="231">
        <v>7948</v>
      </c>
      <c r="W14" s="228">
        <v>5</v>
      </c>
      <c r="X14" s="229">
        <v>5.9999999999999995E-4</v>
      </c>
      <c r="Y14" s="228">
        <v>10</v>
      </c>
      <c r="Z14" s="228">
        <v>8</v>
      </c>
      <c r="AA14" s="228">
        <v>2</v>
      </c>
      <c r="AB14" s="229">
        <v>1.2999999999999999E-3</v>
      </c>
      <c r="AC14" s="228">
        <v>10</v>
      </c>
      <c r="AD14" s="228">
        <v>8</v>
      </c>
      <c r="AE14" s="228">
        <v>2</v>
      </c>
      <c r="AF14" s="229">
        <v>1.2999999999999999E-3</v>
      </c>
      <c r="AG14" s="228">
        <v>54.5</v>
      </c>
      <c r="AH14" s="228">
        <v>52</v>
      </c>
      <c r="AI14" s="228">
        <v>2.5</v>
      </c>
      <c r="AJ14" s="229">
        <v>6.8999999999999999E-3</v>
      </c>
      <c r="AK14" s="228">
        <v>107.5</v>
      </c>
      <c r="AL14" s="228">
        <v>110.5</v>
      </c>
      <c r="AM14" s="228">
        <v>-3</v>
      </c>
      <c r="AN14" s="229">
        <v>1.37E-2</v>
      </c>
      <c r="AO14" s="231">
        <v>7868.56</v>
      </c>
      <c r="AP14" s="231">
        <v>7912.36</v>
      </c>
      <c r="AQ14" s="228">
        <v>0</v>
      </c>
      <c r="AR14" s="230">
        <v>1674500</v>
      </c>
      <c r="AS14" s="230">
        <v>1572875</v>
      </c>
      <c r="AT14" s="230">
        <v>101625</v>
      </c>
      <c r="AU14" s="229">
        <v>6.4600000000000005E-2</v>
      </c>
      <c r="AV14" s="230">
        <v>826625</v>
      </c>
      <c r="AW14" s="230">
        <v>792750</v>
      </c>
      <c r="AX14" s="230">
        <v>33875</v>
      </c>
      <c r="AY14" s="229">
        <v>4.2700000000000002E-2</v>
      </c>
      <c r="AZ14" s="230">
        <v>843875</v>
      </c>
      <c r="BA14" s="230">
        <v>773875</v>
      </c>
      <c r="BB14" s="230">
        <v>70000</v>
      </c>
      <c r="BC14" s="229">
        <v>9.0499999999999997E-2</v>
      </c>
      <c r="BD14" s="230">
        <v>4000</v>
      </c>
      <c r="BE14" s="230">
        <v>6250</v>
      </c>
      <c r="BF14" s="230">
        <v>-2250</v>
      </c>
      <c r="BG14" s="229">
        <v>-0.36</v>
      </c>
      <c r="BH14" s="230">
        <v>1321000</v>
      </c>
      <c r="BI14" s="230">
        <v>1984000</v>
      </c>
      <c r="BJ14" s="230">
        <v>-663000</v>
      </c>
      <c r="BK14" s="229">
        <v>-0.3342</v>
      </c>
      <c r="BL14" s="230">
        <v>611000</v>
      </c>
      <c r="BM14" s="230">
        <v>1354750</v>
      </c>
      <c r="BN14" s="230">
        <v>-743750</v>
      </c>
      <c r="BO14" s="229">
        <v>-0.54900000000000004</v>
      </c>
      <c r="BP14" s="230">
        <v>3606500</v>
      </c>
      <c r="BQ14" s="230">
        <v>4911625</v>
      </c>
      <c r="BR14" s="230">
        <v>-1305125</v>
      </c>
      <c r="BS14" s="229">
        <v>-0.26569999999999999</v>
      </c>
      <c r="BT14" s="230">
        <v>268308</v>
      </c>
      <c r="BU14" s="230">
        <v>293319</v>
      </c>
      <c r="BV14" s="230">
        <v>-25011</v>
      </c>
      <c r="BW14" s="229">
        <v>-8.5300000000000001E-2</v>
      </c>
      <c r="BX14" s="230">
        <v>2750125</v>
      </c>
      <c r="BY14" s="230">
        <v>2773875</v>
      </c>
      <c r="BZ14" s="230">
        <v>-23750</v>
      </c>
      <c r="CA14" s="229">
        <v>-8.6E-3</v>
      </c>
      <c r="CB14" s="230">
        <v>645125</v>
      </c>
      <c r="CC14" s="230">
        <v>1369250</v>
      </c>
      <c r="CD14" s="230">
        <v>-724125</v>
      </c>
      <c r="CE14" s="229">
        <v>-0.52880000000000005</v>
      </c>
      <c r="CF14" s="230">
        <v>2092875</v>
      </c>
      <c r="CG14" s="230">
        <v>1395000</v>
      </c>
      <c r="CH14" s="230">
        <v>697875</v>
      </c>
      <c r="CI14" s="229">
        <v>0.50029999999999997</v>
      </c>
      <c r="CJ14" s="230">
        <v>12125</v>
      </c>
      <c r="CK14" s="230">
        <v>9625</v>
      </c>
      <c r="CL14" s="230">
        <v>2500</v>
      </c>
      <c r="CM14" s="229">
        <v>0.25969999999999999</v>
      </c>
      <c r="CN14" s="230">
        <v>704875</v>
      </c>
      <c r="CO14" s="230">
        <v>832500</v>
      </c>
      <c r="CP14" s="230">
        <v>-127625</v>
      </c>
      <c r="CQ14" s="229">
        <v>-0.15329999999999999</v>
      </c>
      <c r="CR14" s="230">
        <v>468000</v>
      </c>
      <c r="CS14" s="230">
        <v>528500</v>
      </c>
      <c r="CT14" s="230">
        <v>-60500</v>
      </c>
      <c r="CU14" s="229">
        <v>-0.1145</v>
      </c>
      <c r="CV14" s="230">
        <v>3923000</v>
      </c>
      <c r="CW14" s="230">
        <v>4134875</v>
      </c>
      <c r="CX14" s="230">
        <v>-211875</v>
      </c>
      <c r="CY14" s="229">
        <v>-5.1200000000000002E-2</v>
      </c>
      <c r="CZ14" s="228">
        <v>22.36</v>
      </c>
      <c r="DA14" s="228">
        <v>22.35</v>
      </c>
      <c r="DB14" s="228">
        <v>0.01</v>
      </c>
      <c r="DC14" s="228">
        <v>0.01</v>
      </c>
      <c r="DD14" s="228">
        <v>26.25</v>
      </c>
      <c r="DE14" s="228">
        <v>26.32</v>
      </c>
      <c r="DF14" s="228">
        <v>-3.89</v>
      </c>
      <c r="DG14" s="228">
        <v>-7.0000000000000007E-2</v>
      </c>
      <c r="DH14" s="228">
        <v>22.58</v>
      </c>
      <c r="DI14" s="228">
        <v>22.69</v>
      </c>
      <c r="DJ14" s="228">
        <v>-0.11</v>
      </c>
      <c r="DK14" s="228">
        <v>-0.11</v>
      </c>
      <c r="DL14" s="228">
        <v>21.98</v>
      </c>
      <c r="DM14" s="228">
        <v>21.91</v>
      </c>
      <c r="DN14" s="228">
        <v>7.0000000000000007E-2</v>
      </c>
      <c r="DO14" s="228">
        <v>7.0000000000000007E-2</v>
      </c>
      <c r="DP14" s="228">
        <v>0.66</v>
      </c>
      <c r="DQ14" s="228">
        <v>0.63</v>
      </c>
      <c r="DR14" s="228">
        <v>0.03</v>
      </c>
      <c r="DS14" s="229">
        <v>4.7600000000000003E-2</v>
      </c>
      <c r="DT14" s="231">
        <v>8000</v>
      </c>
      <c r="DU14" s="231">
        <v>7500</v>
      </c>
      <c r="DV14" s="228">
        <v>0.46</v>
      </c>
      <c r="DW14" s="228">
        <v>0.68</v>
      </c>
      <c r="DX14" s="228">
        <v>-0.22</v>
      </c>
      <c r="DY14" s="229">
        <v>-0.32350000000000001</v>
      </c>
      <c r="DZ14" s="229">
        <v>0.76539999999999997</v>
      </c>
      <c r="EA14" s="230">
        <v>1404625</v>
      </c>
      <c r="EB14" s="229">
        <v>5.7000000000000002E-3</v>
      </c>
      <c r="EC14" s="229">
        <v>0.76539999999999997</v>
      </c>
      <c r="ED14" s="228">
        <v>43.8</v>
      </c>
      <c r="EE14" s="229">
        <v>5.5999999999999999E-3</v>
      </c>
      <c r="EF14" s="230">
        <v>175685</v>
      </c>
      <c r="EG14" s="230">
        <v>182829</v>
      </c>
      <c r="EH14" s="229">
        <v>-3.9100000000000003E-2</v>
      </c>
      <c r="EI14" s="229">
        <v>0.65480000000000005</v>
      </c>
      <c r="EJ14" s="231">
        <v>106465.9</v>
      </c>
      <c r="EK14" s="231">
        <v>47386.720000000001</v>
      </c>
      <c r="EL14" s="231">
        <v>132132.20000000001</v>
      </c>
      <c r="EM14" s="231">
        <v>7760</v>
      </c>
      <c r="EN14" s="231">
        <v>285984.82</v>
      </c>
      <c r="EO14" s="231">
        <v>391018.64</v>
      </c>
      <c r="EP14" s="231">
        <v>-105033.82</v>
      </c>
      <c r="EQ14" s="229">
        <v>-0.26860000000000001</v>
      </c>
      <c r="ER14" s="231">
        <v>56996</v>
      </c>
      <c r="ES14" s="231">
        <v>35442</v>
      </c>
      <c r="ET14" s="231">
        <v>216979</v>
      </c>
      <c r="EU14" s="231">
        <v>15240043</v>
      </c>
      <c r="EV14" s="231">
        <v>309417</v>
      </c>
      <c r="EW14" s="231">
        <v>325608</v>
      </c>
      <c r="EX14" s="231">
        <v>-16191</v>
      </c>
      <c r="EY14" s="229">
        <v>-4.9700000000000001E-2</v>
      </c>
      <c r="EZ14" s="229">
        <v>0.25740000000000002</v>
      </c>
      <c r="FA14" s="227" t="s">
        <v>556</v>
      </c>
      <c r="FB14" s="161">
        <f t="shared" si="0"/>
        <v>2105000</v>
      </c>
    </row>
    <row r="15" spans="1:158" ht="17.25" hidden="1" thickBot="1" x14ac:dyDescent="0.3">
      <c r="A15" s="226">
        <v>45957</v>
      </c>
      <c r="B15" s="227" t="s">
        <v>162</v>
      </c>
      <c r="C15" s="227" t="s">
        <v>167</v>
      </c>
      <c r="D15" s="228">
        <v>5000</v>
      </c>
      <c r="E15" s="228">
        <v>141.22</v>
      </c>
      <c r="F15" s="228">
        <v>136.63</v>
      </c>
      <c r="G15" s="228">
        <v>4.59</v>
      </c>
      <c r="H15" s="229">
        <v>3.3599999999999998E-2</v>
      </c>
      <c r="I15" s="228">
        <v>140.81</v>
      </c>
      <c r="J15" s="228">
        <v>136.35</v>
      </c>
      <c r="K15" s="228">
        <v>4.46</v>
      </c>
      <c r="L15" s="229">
        <v>3.27E-2</v>
      </c>
      <c r="M15" s="228">
        <v>141.22</v>
      </c>
      <c r="N15" s="228">
        <v>136.63</v>
      </c>
      <c r="O15" s="228">
        <v>4.59</v>
      </c>
      <c r="P15" s="229">
        <v>3.3599999999999998E-2</v>
      </c>
      <c r="Q15" s="228">
        <v>137.33000000000001</v>
      </c>
      <c r="R15" s="228">
        <v>133.76</v>
      </c>
      <c r="S15" s="228">
        <v>3.57</v>
      </c>
      <c r="T15" s="229">
        <v>2.6700000000000002E-2</v>
      </c>
      <c r="U15" s="228">
        <v>136.05000000000001</v>
      </c>
      <c r="V15" s="228">
        <v>132.99</v>
      </c>
      <c r="W15" s="228">
        <v>3.06</v>
      </c>
      <c r="X15" s="229">
        <v>2.3E-2</v>
      </c>
      <c r="Y15" s="228">
        <v>0.41</v>
      </c>
      <c r="Z15" s="228">
        <v>0.28000000000000003</v>
      </c>
      <c r="AA15" s="228">
        <v>0.13</v>
      </c>
      <c r="AB15" s="229">
        <v>2.8999999999999998E-3</v>
      </c>
      <c r="AC15" s="228">
        <v>0.41</v>
      </c>
      <c r="AD15" s="228">
        <v>0.28000000000000003</v>
      </c>
      <c r="AE15" s="228">
        <v>0.13</v>
      </c>
      <c r="AF15" s="229">
        <v>2.8999999999999998E-3</v>
      </c>
      <c r="AG15" s="228">
        <v>-3.48</v>
      </c>
      <c r="AH15" s="228">
        <v>-2.59</v>
      </c>
      <c r="AI15" s="228">
        <v>-0.89</v>
      </c>
      <c r="AJ15" s="229">
        <v>-2.47E-2</v>
      </c>
      <c r="AK15" s="228">
        <v>-4.76</v>
      </c>
      <c r="AL15" s="228">
        <v>-3.36</v>
      </c>
      <c r="AM15" s="228">
        <v>-1.4</v>
      </c>
      <c r="AN15" s="229">
        <v>-3.3799999999999997E-2</v>
      </c>
      <c r="AO15" s="228">
        <v>140.16999999999999</v>
      </c>
      <c r="AP15" s="228">
        <v>136.69</v>
      </c>
      <c r="AQ15" s="228">
        <v>0</v>
      </c>
      <c r="AR15" s="230">
        <v>140445000</v>
      </c>
      <c r="AS15" s="230">
        <v>123525000</v>
      </c>
      <c r="AT15" s="230">
        <v>16920000</v>
      </c>
      <c r="AU15" s="229">
        <v>0.13700000000000001</v>
      </c>
      <c r="AV15" s="230">
        <v>66490000</v>
      </c>
      <c r="AW15" s="230">
        <v>61295000</v>
      </c>
      <c r="AX15" s="230">
        <v>5195000</v>
      </c>
      <c r="AY15" s="229">
        <v>8.48E-2</v>
      </c>
      <c r="AZ15" s="230">
        <v>71860000</v>
      </c>
      <c r="BA15" s="230">
        <v>61045000</v>
      </c>
      <c r="BB15" s="230">
        <v>10815000</v>
      </c>
      <c r="BC15" s="229">
        <v>0.1772</v>
      </c>
      <c r="BD15" s="230">
        <v>2095000</v>
      </c>
      <c r="BE15" s="230">
        <v>1185000</v>
      </c>
      <c r="BF15" s="230">
        <v>910000</v>
      </c>
      <c r="BG15" s="229">
        <v>0.76790000000000003</v>
      </c>
      <c r="BH15" s="230">
        <v>132870000</v>
      </c>
      <c r="BI15" s="230">
        <v>54365000</v>
      </c>
      <c r="BJ15" s="230">
        <v>78505000</v>
      </c>
      <c r="BK15" s="229">
        <v>1.444</v>
      </c>
      <c r="BL15" s="230">
        <v>48800000</v>
      </c>
      <c r="BM15" s="230">
        <v>24080000</v>
      </c>
      <c r="BN15" s="230">
        <v>24720000</v>
      </c>
      <c r="BO15" s="229">
        <v>1.0266</v>
      </c>
      <c r="BP15" s="230">
        <v>322115000</v>
      </c>
      <c r="BQ15" s="230">
        <v>201970000</v>
      </c>
      <c r="BR15" s="230">
        <v>120145000</v>
      </c>
      <c r="BS15" s="229">
        <v>0.59489999999999998</v>
      </c>
      <c r="BT15" s="230">
        <v>17841785</v>
      </c>
      <c r="BU15" s="230">
        <v>6585532</v>
      </c>
      <c r="BV15" s="230">
        <v>11256253</v>
      </c>
      <c r="BW15" s="229">
        <v>1.7092000000000001</v>
      </c>
      <c r="BX15" s="230">
        <v>155525000</v>
      </c>
      <c r="BY15" s="230">
        <v>144065000</v>
      </c>
      <c r="BZ15" s="230">
        <v>11460000</v>
      </c>
      <c r="CA15" s="229">
        <v>7.9500000000000001E-2</v>
      </c>
      <c r="CB15" s="230">
        <v>20085000</v>
      </c>
      <c r="CC15" s="230">
        <v>48105000</v>
      </c>
      <c r="CD15" s="230">
        <v>-28020000</v>
      </c>
      <c r="CE15" s="229">
        <v>-0.58250000000000002</v>
      </c>
      <c r="CF15" s="230">
        <v>132870000</v>
      </c>
      <c r="CG15" s="230">
        <v>93835000</v>
      </c>
      <c r="CH15" s="230">
        <v>39035000</v>
      </c>
      <c r="CI15" s="229">
        <v>0.41599999999999998</v>
      </c>
      <c r="CJ15" s="230">
        <v>2570000</v>
      </c>
      <c r="CK15" s="230">
        <v>2125000</v>
      </c>
      <c r="CL15" s="230">
        <v>445000</v>
      </c>
      <c r="CM15" s="229">
        <v>0.2094</v>
      </c>
      <c r="CN15" s="230">
        <v>78630000</v>
      </c>
      <c r="CO15" s="230">
        <v>80705000</v>
      </c>
      <c r="CP15" s="230">
        <v>-2075000</v>
      </c>
      <c r="CQ15" s="229">
        <v>-2.5700000000000001E-2</v>
      </c>
      <c r="CR15" s="230">
        <v>41945000</v>
      </c>
      <c r="CS15" s="230">
        <v>38000000</v>
      </c>
      <c r="CT15" s="230">
        <v>3945000</v>
      </c>
      <c r="CU15" s="229">
        <v>0.1038</v>
      </c>
      <c r="CV15" s="230">
        <v>276100000</v>
      </c>
      <c r="CW15" s="230">
        <v>262770000</v>
      </c>
      <c r="CX15" s="230">
        <v>13330000</v>
      </c>
      <c r="CY15" s="229">
        <v>5.0700000000000002E-2</v>
      </c>
      <c r="CZ15" s="228">
        <v>31.97</v>
      </c>
      <c r="DA15" s="228">
        <v>29.35</v>
      </c>
      <c r="DB15" s="228">
        <v>2.62</v>
      </c>
      <c r="DC15" s="228">
        <v>2.62</v>
      </c>
      <c r="DD15" s="228">
        <v>34.950000000000003</v>
      </c>
      <c r="DE15" s="228">
        <v>34.770000000000003</v>
      </c>
      <c r="DF15" s="228">
        <v>-2.98</v>
      </c>
      <c r="DG15" s="228">
        <v>0.18</v>
      </c>
      <c r="DH15" s="228">
        <v>32.29</v>
      </c>
      <c r="DI15" s="228">
        <v>30.23</v>
      </c>
      <c r="DJ15" s="228">
        <v>2.06</v>
      </c>
      <c r="DK15" s="228">
        <v>2.06</v>
      </c>
      <c r="DL15" s="228">
        <v>31.17</v>
      </c>
      <c r="DM15" s="228">
        <v>27.61</v>
      </c>
      <c r="DN15" s="228">
        <v>3.56</v>
      </c>
      <c r="DO15" s="228">
        <v>3.56</v>
      </c>
      <c r="DP15" s="228">
        <v>0.53</v>
      </c>
      <c r="DQ15" s="228">
        <v>0.47</v>
      </c>
      <c r="DR15" s="228">
        <v>0.06</v>
      </c>
      <c r="DS15" s="229">
        <v>0.12770000000000001</v>
      </c>
      <c r="DT15" s="228">
        <v>140</v>
      </c>
      <c r="DU15" s="228">
        <v>140</v>
      </c>
      <c r="DV15" s="228">
        <v>0.37</v>
      </c>
      <c r="DW15" s="228">
        <v>0.44</v>
      </c>
      <c r="DX15" s="228">
        <v>-7.0000000000000007E-2</v>
      </c>
      <c r="DY15" s="229">
        <v>-0.15909999999999999</v>
      </c>
      <c r="DZ15" s="229">
        <v>0.87090000000000001</v>
      </c>
      <c r="EA15" s="230">
        <v>95960000</v>
      </c>
      <c r="EB15" s="229">
        <v>-2.75E-2</v>
      </c>
      <c r="EC15" s="229">
        <v>0.87090000000000001</v>
      </c>
      <c r="ED15" s="228">
        <v>-3.48</v>
      </c>
      <c r="EE15" s="229">
        <v>-2.4799999999999999E-2</v>
      </c>
      <c r="EF15" s="230">
        <v>8774283</v>
      </c>
      <c r="EG15" s="230">
        <v>3655597</v>
      </c>
      <c r="EH15" s="229">
        <v>1.4001999999999999</v>
      </c>
      <c r="EI15" s="229">
        <v>0.49180000000000001</v>
      </c>
      <c r="EJ15" s="231">
        <v>191184.98</v>
      </c>
      <c r="EK15" s="231">
        <v>67572.929999999993</v>
      </c>
      <c r="EL15" s="231">
        <v>194256.88</v>
      </c>
      <c r="EM15" s="231">
        <v>13734</v>
      </c>
      <c r="EN15" s="231">
        <v>453014.79</v>
      </c>
      <c r="EO15" s="231">
        <v>278415.71000000002</v>
      </c>
      <c r="EP15" s="231">
        <v>174599.08</v>
      </c>
      <c r="EQ15" s="229">
        <v>0.62709999999999999</v>
      </c>
      <c r="ER15" s="231">
        <v>114792</v>
      </c>
      <c r="ES15" s="231">
        <v>55789</v>
      </c>
      <c r="ET15" s="231">
        <v>214331</v>
      </c>
      <c r="EU15" s="231">
        <v>409181558</v>
      </c>
      <c r="EV15" s="231">
        <v>384912</v>
      </c>
      <c r="EW15" s="231">
        <v>361756</v>
      </c>
      <c r="EX15" s="231">
        <v>23156</v>
      </c>
      <c r="EY15" s="229">
        <v>6.4000000000000001E-2</v>
      </c>
      <c r="EZ15" s="229">
        <v>0.67479999999999996</v>
      </c>
      <c r="FA15" s="227" t="s">
        <v>555</v>
      </c>
      <c r="FB15" s="161">
        <f t="shared" si="0"/>
        <v>135440000</v>
      </c>
    </row>
    <row r="16" spans="1:158" ht="17.25" hidden="1" thickBot="1" x14ac:dyDescent="0.3">
      <c r="A16" s="226">
        <v>45957</v>
      </c>
      <c r="B16" s="227" t="s">
        <v>168</v>
      </c>
      <c r="C16" s="227" t="s">
        <v>169</v>
      </c>
      <c r="D16" s="228">
        <v>250</v>
      </c>
      <c r="E16" s="231">
        <v>2518.4</v>
      </c>
      <c r="F16" s="231">
        <v>2503.4</v>
      </c>
      <c r="G16" s="228">
        <v>15</v>
      </c>
      <c r="H16" s="229">
        <v>6.0000000000000001E-3</v>
      </c>
      <c r="I16" s="231">
        <v>2518.8000000000002</v>
      </c>
      <c r="J16" s="231">
        <v>2501.6</v>
      </c>
      <c r="K16" s="228">
        <v>17.2</v>
      </c>
      <c r="L16" s="229">
        <v>6.8999999999999999E-3</v>
      </c>
      <c r="M16" s="231">
        <v>2518.4</v>
      </c>
      <c r="N16" s="231">
        <v>2503.4</v>
      </c>
      <c r="O16" s="228">
        <v>15</v>
      </c>
      <c r="P16" s="229">
        <v>6.0000000000000001E-3</v>
      </c>
      <c r="Q16" s="231">
        <v>2527.1999999999998</v>
      </c>
      <c r="R16" s="231">
        <v>2512.4</v>
      </c>
      <c r="S16" s="228">
        <v>14.8</v>
      </c>
      <c r="T16" s="229">
        <v>5.8999999999999999E-3</v>
      </c>
      <c r="U16" s="231">
        <v>2543.1</v>
      </c>
      <c r="V16" s="231">
        <v>2529.4</v>
      </c>
      <c r="W16" s="228">
        <v>13.7</v>
      </c>
      <c r="X16" s="229">
        <v>5.4000000000000003E-3</v>
      </c>
      <c r="Y16" s="228">
        <v>-0.4</v>
      </c>
      <c r="Z16" s="228">
        <v>1.8</v>
      </c>
      <c r="AA16" s="228">
        <v>-2.2000000000000002</v>
      </c>
      <c r="AB16" s="229">
        <v>-2.0000000000000001E-4</v>
      </c>
      <c r="AC16" s="228">
        <v>-0.4</v>
      </c>
      <c r="AD16" s="228">
        <v>1.8</v>
      </c>
      <c r="AE16" s="228">
        <v>-2.2000000000000002</v>
      </c>
      <c r="AF16" s="229">
        <v>-2.0000000000000001E-4</v>
      </c>
      <c r="AG16" s="228">
        <v>8.4</v>
      </c>
      <c r="AH16" s="228">
        <v>10.8</v>
      </c>
      <c r="AI16" s="228">
        <v>-2.4</v>
      </c>
      <c r="AJ16" s="229">
        <v>3.3E-3</v>
      </c>
      <c r="AK16" s="228">
        <v>24.3</v>
      </c>
      <c r="AL16" s="228">
        <v>27.8</v>
      </c>
      <c r="AM16" s="228">
        <v>-3.5</v>
      </c>
      <c r="AN16" s="229">
        <v>9.5999999999999992E-3</v>
      </c>
      <c r="AO16" s="231">
        <v>2522.04</v>
      </c>
      <c r="AP16" s="231">
        <v>2531.98</v>
      </c>
      <c r="AQ16" s="228">
        <v>0</v>
      </c>
      <c r="AR16" s="230">
        <v>9483250</v>
      </c>
      <c r="AS16" s="230">
        <v>10125500</v>
      </c>
      <c r="AT16" s="230">
        <v>-642250</v>
      </c>
      <c r="AU16" s="229">
        <v>-6.3399999999999998E-2</v>
      </c>
      <c r="AV16" s="230">
        <v>4619000</v>
      </c>
      <c r="AW16" s="230">
        <v>4917000</v>
      </c>
      <c r="AX16" s="230">
        <v>-298000</v>
      </c>
      <c r="AY16" s="229">
        <v>-6.0600000000000001E-2</v>
      </c>
      <c r="AZ16" s="230">
        <v>4803750</v>
      </c>
      <c r="BA16" s="230">
        <v>5175250</v>
      </c>
      <c r="BB16" s="230">
        <v>-371500</v>
      </c>
      <c r="BC16" s="229">
        <v>-7.1800000000000003E-2</v>
      </c>
      <c r="BD16" s="230">
        <v>60500</v>
      </c>
      <c r="BE16" s="230">
        <v>33250</v>
      </c>
      <c r="BF16" s="230">
        <v>27250</v>
      </c>
      <c r="BG16" s="229">
        <v>0.81950000000000001</v>
      </c>
      <c r="BH16" s="230">
        <v>6051750</v>
      </c>
      <c r="BI16" s="230">
        <v>4973250</v>
      </c>
      <c r="BJ16" s="230">
        <v>1078500</v>
      </c>
      <c r="BK16" s="229">
        <v>0.21690000000000001</v>
      </c>
      <c r="BL16" s="230">
        <v>4677250</v>
      </c>
      <c r="BM16" s="230">
        <v>4170750</v>
      </c>
      <c r="BN16" s="230">
        <v>506500</v>
      </c>
      <c r="BO16" s="229">
        <v>0.12139999999999999</v>
      </c>
      <c r="BP16" s="230">
        <v>20212250</v>
      </c>
      <c r="BQ16" s="230">
        <v>19269500</v>
      </c>
      <c r="BR16" s="230">
        <v>942750</v>
      </c>
      <c r="BS16" s="229">
        <v>4.8899999999999999E-2</v>
      </c>
      <c r="BT16" s="230">
        <v>593133</v>
      </c>
      <c r="BU16" s="230">
        <v>341844</v>
      </c>
      <c r="BV16" s="230">
        <v>251289</v>
      </c>
      <c r="BW16" s="229">
        <v>0.73509999999999998</v>
      </c>
      <c r="BX16" s="230">
        <v>13604250</v>
      </c>
      <c r="BY16" s="230">
        <v>13491250</v>
      </c>
      <c r="BZ16" s="230">
        <v>113000</v>
      </c>
      <c r="CA16" s="229">
        <v>8.3999999999999995E-3</v>
      </c>
      <c r="CB16" s="230">
        <v>1439750</v>
      </c>
      <c r="CC16" s="230">
        <v>4867500</v>
      </c>
      <c r="CD16" s="230">
        <v>-3427750</v>
      </c>
      <c r="CE16" s="229">
        <v>-0.70420000000000005</v>
      </c>
      <c r="CF16" s="230">
        <v>12030000</v>
      </c>
      <c r="CG16" s="230">
        <v>8515250</v>
      </c>
      <c r="CH16" s="230">
        <v>3514750</v>
      </c>
      <c r="CI16" s="229">
        <v>0.4128</v>
      </c>
      <c r="CJ16" s="230">
        <v>134500</v>
      </c>
      <c r="CK16" s="230">
        <v>108500</v>
      </c>
      <c r="CL16" s="230">
        <v>26000</v>
      </c>
      <c r="CM16" s="229">
        <v>0.23960000000000001</v>
      </c>
      <c r="CN16" s="230">
        <v>5643750</v>
      </c>
      <c r="CO16" s="230">
        <v>6067000</v>
      </c>
      <c r="CP16" s="230">
        <v>-423250</v>
      </c>
      <c r="CQ16" s="229">
        <v>-6.9800000000000001E-2</v>
      </c>
      <c r="CR16" s="230">
        <v>3989250</v>
      </c>
      <c r="CS16" s="230">
        <v>4125250</v>
      </c>
      <c r="CT16" s="230">
        <v>-136000</v>
      </c>
      <c r="CU16" s="229">
        <v>-3.3000000000000002E-2</v>
      </c>
      <c r="CV16" s="230">
        <v>23237250</v>
      </c>
      <c r="CW16" s="230">
        <v>23683500</v>
      </c>
      <c r="CX16" s="230">
        <v>-446250</v>
      </c>
      <c r="CY16" s="229">
        <v>-1.8800000000000001E-2</v>
      </c>
      <c r="CZ16" s="228">
        <v>22.08</v>
      </c>
      <c r="DA16" s="228">
        <v>21.82</v>
      </c>
      <c r="DB16" s="228">
        <v>0.26</v>
      </c>
      <c r="DC16" s="228">
        <v>0.26</v>
      </c>
      <c r="DD16" s="228">
        <v>23.85</v>
      </c>
      <c r="DE16" s="228">
        <v>23.89</v>
      </c>
      <c r="DF16" s="228">
        <v>-1.77</v>
      </c>
      <c r="DG16" s="228">
        <v>-0.04</v>
      </c>
      <c r="DH16" s="228">
        <v>22.03</v>
      </c>
      <c r="DI16" s="228">
        <v>21.68</v>
      </c>
      <c r="DJ16" s="228">
        <v>0.35</v>
      </c>
      <c r="DK16" s="228">
        <v>0.35</v>
      </c>
      <c r="DL16" s="228">
        <v>22.16</v>
      </c>
      <c r="DM16" s="228">
        <v>21.95</v>
      </c>
      <c r="DN16" s="228">
        <v>0.21</v>
      </c>
      <c r="DO16" s="228">
        <v>0.21</v>
      </c>
      <c r="DP16" s="228">
        <v>0.71</v>
      </c>
      <c r="DQ16" s="228">
        <v>0.68</v>
      </c>
      <c r="DR16" s="228">
        <v>0.03</v>
      </c>
      <c r="DS16" s="229">
        <v>4.41E-2</v>
      </c>
      <c r="DT16" s="231">
        <v>2600</v>
      </c>
      <c r="DU16" s="231">
        <v>2300</v>
      </c>
      <c r="DV16" s="228">
        <v>0.77</v>
      </c>
      <c r="DW16" s="228">
        <v>0.84</v>
      </c>
      <c r="DX16" s="228">
        <v>-7.0000000000000007E-2</v>
      </c>
      <c r="DY16" s="229">
        <v>-8.3299999999999999E-2</v>
      </c>
      <c r="DZ16" s="229">
        <v>0.89419999999999999</v>
      </c>
      <c r="EA16" s="230">
        <v>8623750</v>
      </c>
      <c r="EB16" s="229">
        <v>3.5000000000000001E-3</v>
      </c>
      <c r="EC16" s="229">
        <v>0.89419999999999999</v>
      </c>
      <c r="ED16" s="228">
        <v>9.94</v>
      </c>
      <c r="EE16" s="229">
        <v>3.8999999999999998E-3</v>
      </c>
      <c r="EF16" s="230">
        <v>354254</v>
      </c>
      <c r="EG16" s="230">
        <v>171581</v>
      </c>
      <c r="EH16" s="229">
        <v>1.0646</v>
      </c>
      <c r="EI16" s="229">
        <v>0.59730000000000005</v>
      </c>
      <c r="EJ16" s="231">
        <v>156405.04</v>
      </c>
      <c r="EK16" s="231">
        <v>115138.48</v>
      </c>
      <c r="EL16" s="231">
        <v>239663.71</v>
      </c>
      <c r="EM16" s="231">
        <v>19836</v>
      </c>
      <c r="EN16" s="231">
        <v>511207.23</v>
      </c>
      <c r="EO16" s="231">
        <v>484480.19</v>
      </c>
      <c r="EP16" s="231">
        <v>26727.040000000001</v>
      </c>
      <c r="EQ16" s="229">
        <v>5.5199999999999999E-2</v>
      </c>
      <c r="ER16" s="231">
        <v>144140</v>
      </c>
      <c r="ES16" s="231">
        <v>95521</v>
      </c>
      <c r="ET16" s="231">
        <v>343701</v>
      </c>
      <c r="EU16" s="231">
        <v>52357280</v>
      </c>
      <c r="EV16" s="231">
        <v>583362</v>
      </c>
      <c r="EW16" s="231">
        <v>591777</v>
      </c>
      <c r="EX16" s="231">
        <v>-8415</v>
      </c>
      <c r="EY16" s="229">
        <v>-1.4200000000000001E-2</v>
      </c>
      <c r="EZ16" s="229">
        <v>0.44379999999999997</v>
      </c>
      <c r="FA16" s="227" t="s">
        <v>555</v>
      </c>
      <c r="FB16" s="161">
        <f t="shared" si="0"/>
        <v>12164500</v>
      </c>
    </row>
    <row r="17" spans="1:158" ht="17.25" hidden="1" thickBot="1" x14ac:dyDescent="0.3">
      <c r="A17" s="226">
        <v>45957</v>
      </c>
      <c r="B17" s="227" t="s">
        <v>184</v>
      </c>
      <c r="C17" s="227" t="s">
        <v>503</v>
      </c>
      <c r="D17" s="228">
        <v>425</v>
      </c>
      <c r="E17" s="231">
        <v>1434.2</v>
      </c>
      <c r="F17" s="231">
        <v>1428.6</v>
      </c>
      <c r="G17" s="228">
        <v>5.6</v>
      </c>
      <c r="H17" s="229">
        <v>3.8999999999999998E-3</v>
      </c>
      <c r="I17" s="231">
        <v>1435.2</v>
      </c>
      <c r="J17" s="231">
        <v>1430.8</v>
      </c>
      <c r="K17" s="228">
        <v>4.4000000000000004</v>
      </c>
      <c r="L17" s="229">
        <v>3.0999999999999999E-3</v>
      </c>
      <c r="M17" s="231">
        <v>1434.2</v>
      </c>
      <c r="N17" s="231">
        <v>1428.6</v>
      </c>
      <c r="O17" s="228">
        <v>5.6</v>
      </c>
      <c r="P17" s="229">
        <v>3.8999999999999998E-3</v>
      </c>
      <c r="Q17" s="231">
        <v>1437.8</v>
      </c>
      <c r="R17" s="231">
        <v>1430.4</v>
      </c>
      <c r="S17" s="228">
        <v>7.4</v>
      </c>
      <c r="T17" s="229">
        <v>5.1999999999999998E-3</v>
      </c>
      <c r="U17" s="231">
        <v>1444.6</v>
      </c>
      <c r="V17" s="231">
        <v>1437</v>
      </c>
      <c r="W17" s="228">
        <v>7.6</v>
      </c>
      <c r="X17" s="229">
        <v>5.3E-3</v>
      </c>
      <c r="Y17" s="228">
        <v>-1</v>
      </c>
      <c r="Z17" s="228">
        <v>-2.2000000000000002</v>
      </c>
      <c r="AA17" s="228">
        <v>1.2</v>
      </c>
      <c r="AB17" s="229">
        <v>-6.9999999999999999E-4</v>
      </c>
      <c r="AC17" s="228">
        <v>-1</v>
      </c>
      <c r="AD17" s="228">
        <v>-2.2000000000000002</v>
      </c>
      <c r="AE17" s="228">
        <v>1.2</v>
      </c>
      <c r="AF17" s="229">
        <v>-6.9999999999999999E-4</v>
      </c>
      <c r="AG17" s="228">
        <v>2.6</v>
      </c>
      <c r="AH17" s="228">
        <v>-0.4</v>
      </c>
      <c r="AI17" s="228">
        <v>3</v>
      </c>
      <c r="AJ17" s="229">
        <v>1.8E-3</v>
      </c>
      <c r="AK17" s="228">
        <v>9.4</v>
      </c>
      <c r="AL17" s="228">
        <v>6.2</v>
      </c>
      <c r="AM17" s="228">
        <v>3.2</v>
      </c>
      <c r="AN17" s="229">
        <v>6.4999999999999997E-3</v>
      </c>
      <c r="AO17" s="231">
        <v>1428.17</v>
      </c>
      <c r="AP17" s="231">
        <v>1430.83</v>
      </c>
      <c r="AQ17" s="228">
        <v>0</v>
      </c>
      <c r="AR17" s="230">
        <v>6402625</v>
      </c>
      <c r="AS17" s="230">
        <v>7360575</v>
      </c>
      <c r="AT17" s="230">
        <v>-957950</v>
      </c>
      <c r="AU17" s="229">
        <v>-0.13009999999999999</v>
      </c>
      <c r="AV17" s="230">
        <v>2756125</v>
      </c>
      <c r="AW17" s="230">
        <v>3734475</v>
      </c>
      <c r="AX17" s="230">
        <v>-978350</v>
      </c>
      <c r="AY17" s="229">
        <v>-0.26200000000000001</v>
      </c>
      <c r="AZ17" s="230">
        <v>3591250</v>
      </c>
      <c r="BA17" s="230">
        <v>3598475</v>
      </c>
      <c r="BB17" s="230">
        <v>-7225</v>
      </c>
      <c r="BC17" s="229">
        <v>-2E-3</v>
      </c>
      <c r="BD17" s="230">
        <v>55250</v>
      </c>
      <c r="BE17" s="230">
        <v>27625</v>
      </c>
      <c r="BF17" s="230">
        <v>27625</v>
      </c>
      <c r="BG17" s="229">
        <v>1</v>
      </c>
      <c r="BH17" s="230">
        <v>3717050</v>
      </c>
      <c r="BI17" s="230">
        <v>3566600</v>
      </c>
      <c r="BJ17" s="230">
        <v>150450</v>
      </c>
      <c r="BK17" s="229">
        <v>4.2200000000000001E-2</v>
      </c>
      <c r="BL17" s="230">
        <v>2288200</v>
      </c>
      <c r="BM17" s="230">
        <v>1674500</v>
      </c>
      <c r="BN17" s="230">
        <v>613700</v>
      </c>
      <c r="BO17" s="229">
        <v>0.36649999999999999</v>
      </c>
      <c r="BP17" s="230">
        <v>12407875</v>
      </c>
      <c r="BQ17" s="230">
        <v>12601675</v>
      </c>
      <c r="BR17" s="230">
        <v>-193800</v>
      </c>
      <c r="BS17" s="229">
        <v>-1.54E-2</v>
      </c>
      <c r="BT17" s="230">
        <v>505875</v>
      </c>
      <c r="BU17" s="230">
        <v>628753</v>
      </c>
      <c r="BV17" s="230">
        <v>-122878</v>
      </c>
      <c r="BW17" s="229">
        <v>-0.19539999999999999</v>
      </c>
      <c r="BX17" s="230">
        <v>9108600</v>
      </c>
      <c r="BY17" s="230">
        <v>9235675</v>
      </c>
      <c r="BZ17" s="230">
        <v>-127075</v>
      </c>
      <c r="CA17" s="229">
        <v>-1.38E-2</v>
      </c>
      <c r="CB17" s="230">
        <v>1145800</v>
      </c>
      <c r="CC17" s="230">
        <v>2790125</v>
      </c>
      <c r="CD17" s="230">
        <v>-1644325</v>
      </c>
      <c r="CE17" s="229">
        <v>-0.58930000000000005</v>
      </c>
      <c r="CF17" s="230">
        <v>7866325</v>
      </c>
      <c r="CG17" s="230">
        <v>6368200</v>
      </c>
      <c r="CH17" s="230">
        <v>1498125</v>
      </c>
      <c r="CI17" s="229">
        <v>0.23530000000000001</v>
      </c>
      <c r="CJ17" s="230">
        <v>96475</v>
      </c>
      <c r="CK17" s="230">
        <v>77350</v>
      </c>
      <c r="CL17" s="230">
        <v>19125</v>
      </c>
      <c r="CM17" s="229">
        <v>0.24729999999999999</v>
      </c>
      <c r="CN17" s="230">
        <v>2786300</v>
      </c>
      <c r="CO17" s="230">
        <v>2896800</v>
      </c>
      <c r="CP17" s="230">
        <v>-110500</v>
      </c>
      <c r="CQ17" s="229">
        <v>-3.8100000000000002E-2</v>
      </c>
      <c r="CR17" s="230">
        <v>1429700</v>
      </c>
      <c r="CS17" s="230">
        <v>1430975</v>
      </c>
      <c r="CT17" s="230">
        <v>-1275</v>
      </c>
      <c r="CU17" s="229">
        <v>-8.9999999999999998E-4</v>
      </c>
      <c r="CV17" s="230">
        <v>13324600</v>
      </c>
      <c r="CW17" s="230">
        <v>13563450</v>
      </c>
      <c r="CX17" s="230">
        <v>-238850</v>
      </c>
      <c r="CY17" s="229">
        <v>-1.7600000000000001E-2</v>
      </c>
      <c r="CZ17" s="228">
        <v>25.78</v>
      </c>
      <c r="DA17" s="228">
        <v>25.58</v>
      </c>
      <c r="DB17" s="228">
        <v>0.2</v>
      </c>
      <c r="DC17" s="228">
        <v>0.2</v>
      </c>
      <c r="DD17" s="228">
        <v>33.090000000000003</v>
      </c>
      <c r="DE17" s="228">
        <v>33.17</v>
      </c>
      <c r="DF17" s="228">
        <v>-7.31</v>
      </c>
      <c r="DG17" s="228">
        <v>-0.08</v>
      </c>
      <c r="DH17" s="228">
        <v>25.58</v>
      </c>
      <c r="DI17" s="228">
        <v>25.66</v>
      </c>
      <c r="DJ17" s="228">
        <v>-0.08</v>
      </c>
      <c r="DK17" s="228">
        <v>-0.08</v>
      </c>
      <c r="DL17" s="228">
        <v>26.22</v>
      </c>
      <c r="DM17" s="228">
        <v>25.46</v>
      </c>
      <c r="DN17" s="228">
        <v>0.76</v>
      </c>
      <c r="DO17" s="228">
        <v>0.76</v>
      </c>
      <c r="DP17" s="228">
        <v>0.51</v>
      </c>
      <c r="DQ17" s="228">
        <v>0.49</v>
      </c>
      <c r="DR17" s="228">
        <v>0.02</v>
      </c>
      <c r="DS17" s="229">
        <v>4.0800000000000003E-2</v>
      </c>
      <c r="DT17" s="231">
        <v>1500</v>
      </c>
      <c r="DU17" s="231">
        <v>1400</v>
      </c>
      <c r="DV17" s="228">
        <v>0.62</v>
      </c>
      <c r="DW17" s="228">
        <v>0.47</v>
      </c>
      <c r="DX17" s="228">
        <v>0.15</v>
      </c>
      <c r="DY17" s="229">
        <v>0.31909999999999999</v>
      </c>
      <c r="DZ17" s="229">
        <v>0.87419999999999998</v>
      </c>
      <c r="EA17" s="230">
        <v>6445550</v>
      </c>
      <c r="EB17" s="229">
        <v>2.5000000000000001E-3</v>
      </c>
      <c r="EC17" s="229">
        <v>0.87419999999999998</v>
      </c>
      <c r="ED17" s="228">
        <v>2.66</v>
      </c>
      <c r="EE17" s="229">
        <v>1.9E-3</v>
      </c>
      <c r="EF17" s="230">
        <v>254049</v>
      </c>
      <c r="EG17" s="230">
        <v>348870</v>
      </c>
      <c r="EH17" s="229">
        <v>-0.27179999999999999</v>
      </c>
      <c r="EI17" s="229">
        <v>0.50219999999999998</v>
      </c>
      <c r="EJ17" s="231">
        <v>54784.76</v>
      </c>
      <c r="EK17" s="231">
        <v>32481.74</v>
      </c>
      <c r="EL17" s="231">
        <v>91540.5</v>
      </c>
      <c r="EM17" s="231">
        <v>10350</v>
      </c>
      <c r="EN17" s="231">
        <v>178807</v>
      </c>
      <c r="EO17" s="231">
        <v>183542.5</v>
      </c>
      <c r="EP17" s="231">
        <v>-4735.5</v>
      </c>
      <c r="EQ17" s="229">
        <v>-2.58E-2</v>
      </c>
      <c r="ER17" s="231">
        <v>41887</v>
      </c>
      <c r="ES17" s="231">
        <v>19920</v>
      </c>
      <c r="ET17" s="231">
        <v>130929</v>
      </c>
      <c r="EU17" s="231">
        <v>18495534</v>
      </c>
      <c r="EV17" s="231">
        <v>192736</v>
      </c>
      <c r="EW17" s="231">
        <v>195601</v>
      </c>
      <c r="EX17" s="231">
        <v>-2865</v>
      </c>
      <c r="EY17" s="229">
        <v>-1.46E-2</v>
      </c>
      <c r="EZ17" s="229">
        <v>0.72040000000000004</v>
      </c>
      <c r="FA17" s="227" t="s">
        <v>556</v>
      </c>
      <c r="FB17" s="161">
        <f t="shared" si="0"/>
        <v>7962800</v>
      </c>
    </row>
    <row r="18" spans="1:158" ht="17.25" hidden="1" thickBot="1" x14ac:dyDescent="0.3">
      <c r="A18" s="226">
        <v>45957</v>
      </c>
      <c r="B18" s="227" t="s">
        <v>172</v>
      </c>
      <c r="C18" s="227" t="s">
        <v>495</v>
      </c>
      <c r="D18" s="228">
        <v>1000</v>
      </c>
      <c r="E18" s="228">
        <v>864.3</v>
      </c>
      <c r="F18" s="228">
        <v>860.35</v>
      </c>
      <c r="G18" s="228">
        <v>3.95</v>
      </c>
      <c r="H18" s="229">
        <v>4.5999999999999999E-3</v>
      </c>
      <c r="I18" s="228">
        <v>864.2</v>
      </c>
      <c r="J18" s="228">
        <v>860.35</v>
      </c>
      <c r="K18" s="228">
        <v>3.85</v>
      </c>
      <c r="L18" s="229">
        <v>4.4999999999999997E-3</v>
      </c>
      <c r="M18" s="228">
        <v>864.3</v>
      </c>
      <c r="N18" s="228">
        <v>860.35</v>
      </c>
      <c r="O18" s="228">
        <v>3.95</v>
      </c>
      <c r="P18" s="229">
        <v>4.5999999999999999E-3</v>
      </c>
      <c r="Q18" s="228">
        <v>869.25</v>
      </c>
      <c r="R18" s="228">
        <v>865.9</v>
      </c>
      <c r="S18" s="228">
        <v>3.35</v>
      </c>
      <c r="T18" s="229">
        <v>3.8999999999999998E-3</v>
      </c>
      <c r="U18" s="228">
        <v>872.45</v>
      </c>
      <c r="V18" s="228">
        <v>867.85</v>
      </c>
      <c r="W18" s="228">
        <v>4.5999999999999996</v>
      </c>
      <c r="X18" s="229">
        <v>5.3E-3</v>
      </c>
      <c r="Y18" s="228">
        <v>0.1</v>
      </c>
      <c r="Z18" s="228">
        <v>0</v>
      </c>
      <c r="AA18" s="228">
        <v>0.1</v>
      </c>
      <c r="AB18" s="229">
        <v>1E-4</v>
      </c>
      <c r="AC18" s="228">
        <v>0.1</v>
      </c>
      <c r="AD18" s="228">
        <v>0</v>
      </c>
      <c r="AE18" s="228">
        <v>0.1</v>
      </c>
      <c r="AF18" s="229">
        <v>1E-4</v>
      </c>
      <c r="AG18" s="228">
        <v>5.05</v>
      </c>
      <c r="AH18" s="228">
        <v>5.55</v>
      </c>
      <c r="AI18" s="228">
        <v>-0.5</v>
      </c>
      <c r="AJ18" s="229">
        <v>5.7999999999999996E-3</v>
      </c>
      <c r="AK18" s="228">
        <v>8.25</v>
      </c>
      <c r="AL18" s="228">
        <v>7.5</v>
      </c>
      <c r="AM18" s="228">
        <v>0.75</v>
      </c>
      <c r="AN18" s="229">
        <v>9.4999999999999998E-3</v>
      </c>
      <c r="AO18" s="228">
        <v>863.97</v>
      </c>
      <c r="AP18" s="228">
        <v>868.97</v>
      </c>
      <c r="AQ18" s="228">
        <v>0</v>
      </c>
      <c r="AR18" s="230">
        <v>12602000</v>
      </c>
      <c r="AS18" s="230">
        <v>22277000</v>
      </c>
      <c r="AT18" s="230">
        <v>-9675000</v>
      </c>
      <c r="AU18" s="229">
        <v>-0.43430000000000002</v>
      </c>
      <c r="AV18" s="230">
        <v>6103000</v>
      </c>
      <c r="AW18" s="230">
        <v>11494000</v>
      </c>
      <c r="AX18" s="230">
        <v>-5391000</v>
      </c>
      <c r="AY18" s="229">
        <v>-0.46899999999999997</v>
      </c>
      <c r="AZ18" s="230">
        <v>6416000</v>
      </c>
      <c r="BA18" s="230">
        <v>10687000</v>
      </c>
      <c r="BB18" s="230">
        <v>-4271000</v>
      </c>
      <c r="BC18" s="229">
        <v>-0.39960000000000001</v>
      </c>
      <c r="BD18" s="230">
        <v>83000</v>
      </c>
      <c r="BE18" s="230">
        <v>96000</v>
      </c>
      <c r="BF18" s="230">
        <v>-13000</v>
      </c>
      <c r="BG18" s="229">
        <v>-0.13539999999999999</v>
      </c>
      <c r="BH18" s="230">
        <v>9831000</v>
      </c>
      <c r="BI18" s="230">
        <v>15099000</v>
      </c>
      <c r="BJ18" s="230">
        <v>-5268000</v>
      </c>
      <c r="BK18" s="229">
        <v>-0.34889999999999999</v>
      </c>
      <c r="BL18" s="230">
        <v>8206000</v>
      </c>
      <c r="BM18" s="230">
        <v>15661000</v>
      </c>
      <c r="BN18" s="230">
        <v>-7455000</v>
      </c>
      <c r="BO18" s="229">
        <v>-0.47599999999999998</v>
      </c>
      <c r="BP18" s="230">
        <v>30639000</v>
      </c>
      <c r="BQ18" s="230">
        <v>53037000</v>
      </c>
      <c r="BR18" s="230">
        <v>-22398000</v>
      </c>
      <c r="BS18" s="229">
        <v>-0.42230000000000001</v>
      </c>
      <c r="BT18" s="230">
        <v>1540309</v>
      </c>
      <c r="BU18" s="230">
        <v>1835316</v>
      </c>
      <c r="BV18" s="230">
        <v>-295007</v>
      </c>
      <c r="BW18" s="229">
        <v>-0.16070000000000001</v>
      </c>
      <c r="BX18" s="230">
        <v>21615000</v>
      </c>
      <c r="BY18" s="230">
        <v>23128000</v>
      </c>
      <c r="BZ18" s="230">
        <v>-1513000</v>
      </c>
      <c r="CA18" s="229">
        <v>-6.54E-2</v>
      </c>
      <c r="CB18" s="230">
        <v>3457000</v>
      </c>
      <c r="CC18" s="230">
        <v>7140000</v>
      </c>
      <c r="CD18" s="230">
        <v>-3683000</v>
      </c>
      <c r="CE18" s="229">
        <v>-0.51580000000000004</v>
      </c>
      <c r="CF18" s="230">
        <v>17937000</v>
      </c>
      <c r="CG18" s="230">
        <v>15795000</v>
      </c>
      <c r="CH18" s="230">
        <v>2142000</v>
      </c>
      <c r="CI18" s="229">
        <v>0.1356</v>
      </c>
      <c r="CJ18" s="230">
        <v>221000</v>
      </c>
      <c r="CK18" s="230">
        <v>193000</v>
      </c>
      <c r="CL18" s="230">
        <v>28000</v>
      </c>
      <c r="CM18" s="229">
        <v>0.14510000000000001</v>
      </c>
      <c r="CN18" s="230">
        <v>8492000</v>
      </c>
      <c r="CO18" s="230">
        <v>9483000</v>
      </c>
      <c r="CP18" s="230">
        <v>-991000</v>
      </c>
      <c r="CQ18" s="229">
        <v>-0.1045</v>
      </c>
      <c r="CR18" s="230">
        <v>10204000</v>
      </c>
      <c r="CS18" s="230">
        <v>11554000</v>
      </c>
      <c r="CT18" s="230">
        <v>-1350000</v>
      </c>
      <c r="CU18" s="229">
        <v>-0.1168</v>
      </c>
      <c r="CV18" s="230">
        <v>40311000</v>
      </c>
      <c r="CW18" s="230">
        <v>44165000</v>
      </c>
      <c r="CX18" s="230">
        <v>-3854000</v>
      </c>
      <c r="CY18" s="229">
        <v>-8.7300000000000003E-2</v>
      </c>
      <c r="CZ18" s="228">
        <v>26.5</v>
      </c>
      <c r="DA18" s="228">
        <v>26.75</v>
      </c>
      <c r="DB18" s="228">
        <v>-0.25</v>
      </c>
      <c r="DC18" s="228">
        <v>-0.25</v>
      </c>
      <c r="DD18" s="228">
        <v>37.479999999999997</v>
      </c>
      <c r="DE18" s="228">
        <v>37.57</v>
      </c>
      <c r="DF18" s="228">
        <v>-10.98</v>
      </c>
      <c r="DG18" s="228">
        <v>-0.09</v>
      </c>
      <c r="DH18" s="228">
        <v>26.2</v>
      </c>
      <c r="DI18" s="228">
        <v>26.08</v>
      </c>
      <c r="DJ18" s="228">
        <v>0.12</v>
      </c>
      <c r="DK18" s="228">
        <v>0.12</v>
      </c>
      <c r="DL18" s="228">
        <v>26.94</v>
      </c>
      <c r="DM18" s="228">
        <v>27.32</v>
      </c>
      <c r="DN18" s="228">
        <v>-0.38</v>
      </c>
      <c r="DO18" s="228">
        <v>-0.38</v>
      </c>
      <c r="DP18" s="228">
        <v>1.2</v>
      </c>
      <c r="DQ18" s="228">
        <v>1.22</v>
      </c>
      <c r="DR18" s="228">
        <v>-0.02</v>
      </c>
      <c r="DS18" s="229">
        <v>-1.6400000000000001E-2</v>
      </c>
      <c r="DT18" s="228">
        <v>900</v>
      </c>
      <c r="DU18" s="228">
        <v>750</v>
      </c>
      <c r="DV18" s="228">
        <v>0.83</v>
      </c>
      <c r="DW18" s="228">
        <v>1.04</v>
      </c>
      <c r="DX18" s="228">
        <v>-0.21</v>
      </c>
      <c r="DY18" s="229">
        <v>-0.2019</v>
      </c>
      <c r="DZ18" s="229">
        <v>0.84009999999999996</v>
      </c>
      <c r="EA18" s="230">
        <v>15988000</v>
      </c>
      <c r="EB18" s="229">
        <v>5.7000000000000002E-3</v>
      </c>
      <c r="EC18" s="229">
        <v>0.84009999999999996</v>
      </c>
      <c r="ED18" s="228">
        <v>5</v>
      </c>
      <c r="EE18" s="229">
        <v>5.7999999999999996E-3</v>
      </c>
      <c r="EF18" s="230">
        <v>879731</v>
      </c>
      <c r="EG18" s="230">
        <v>1038152</v>
      </c>
      <c r="EH18" s="229">
        <v>-0.15260000000000001</v>
      </c>
      <c r="EI18" s="229">
        <v>0.57110000000000005</v>
      </c>
      <c r="EJ18" s="231">
        <v>87331.199999999997</v>
      </c>
      <c r="EK18" s="231">
        <v>68603.87</v>
      </c>
      <c r="EL18" s="231">
        <v>109205.67</v>
      </c>
      <c r="EM18" s="231">
        <v>18050</v>
      </c>
      <c r="EN18" s="231">
        <v>265140.74</v>
      </c>
      <c r="EO18" s="231">
        <v>460010.45</v>
      </c>
      <c r="EP18" s="231">
        <v>-194869.71</v>
      </c>
      <c r="EQ18" s="229">
        <v>-0.42359999999999998</v>
      </c>
      <c r="ER18" s="231">
        <v>72299</v>
      </c>
      <c r="ES18" s="231">
        <v>81457</v>
      </c>
      <c r="ET18" s="231">
        <v>187724</v>
      </c>
      <c r="EU18" s="231">
        <v>86234186</v>
      </c>
      <c r="EV18" s="231">
        <v>341480</v>
      </c>
      <c r="EW18" s="231">
        <v>372832</v>
      </c>
      <c r="EX18" s="231">
        <v>-31352</v>
      </c>
      <c r="EY18" s="229">
        <v>-8.4099999999999994E-2</v>
      </c>
      <c r="EZ18" s="229">
        <v>0.46750000000000003</v>
      </c>
      <c r="FA18" s="227" t="s">
        <v>556</v>
      </c>
      <c r="FB18" s="161">
        <f t="shared" si="0"/>
        <v>18158000</v>
      </c>
    </row>
    <row r="19" spans="1:158" ht="17.25" hidden="1" thickBot="1" x14ac:dyDescent="0.3">
      <c r="A19" s="226">
        <v>45957</v>
      </c>
      <c r="B19" s="227" t="s">
        <v>170</v>
      </c>
      <c r="C19" s="227" t="s">
        <v>171</v>
      </c>
      <c r="D19" s="228">
        <v>550</v>
      </c>
      <c r="E19" s="231">
        <v>1094.5</v>
      </c>
      <c r="F19" s="231">
        <v>1085.3</v>
      </c>
      <c r="G19" s="228">
        <v>9.1999999999999993</v>
      </c>
      <c r="H19" s="229">
        <v>8.5000000000000006E-3</v>
      </c>
      <c r="I19" s="231">
        <v>1094.7</v>
      </c>
      <c r="J19" s="231">
        <v>1085</v>
      </c>
      <c r="K19" s="228">
        <v>9.6999999999999993</v>
      </c>
      <c r="L19" s="229">
        <v>8.8999999999999999E-3</v>
      </c>
      <c r="M19" s="231">
        <v>1094.5</v>
      </c>
      <c r="N19" s="231">
        <v>1085.3</v>
      </c>
      <c r="O19" s="228">
        <v>9.1999999999999993</v>
      </c>
      <c r="P19" s="229">
        <v>8.5000000000000006E-3</v>
      </c>
      <c r="Q19" s="231">
        <v>1100.3</v>
      </c>
      <c r="R19" s="231">
        <v>1092.5</v>
      </c>
      <c r="S19" s="228">
        <v>7.8</v>
      </c>
      <c r="T19" s="229">
        <v>7.1000000000000004E-3</v>
      </c>
      <c r="U19" s="231">
        <v>1107.5</v>
      </c>
      <c r="V19" s="231">
        <v>1098.9000000000001</v>
      </c>
      <c r="W19" s="228">
        <v>8.6</v>
      </c>
      <c r="X19" s="229">
        <v>7.7999999999999996E-3</v>
      </c>
      <c r="Y19" s="228">
        <v>-0.2</v>
      </c>
      <c r="Z19" s="228">
        <v>0.3</v>
      </c>
      <c r="AA19" s="228">
        <v>-0.5</v>
      </c>
      <c r="AB19" s="229">
        <v>-2.0000000000000001E-4</v>
      </c>
      <c r="AC19" s="228">
        <v>-0.2</v>
      </c>
      <c r="AD19" s="228">
        <v>0.3</v>
      </c>
      <c r="AE19" s="228">
        <v>-0.5</v>
      </c>
      <c r="AF19" s="229">
        <v>-2.0000000000000001E-4</v>
      </c>
      <c r="AG19" s="228">
        <v>5.6</v>
      </c>
      <c r="AH19" s="228">
        <v>7.5</v>
      </c>
      <c r="AI19" s="228">
        <v>-1.9</v>
      </c>
      <c r="AJ19" s="229">
        <v>5.1000000000000004E-3</v>
      </c>
      <c r="AK19" s="228">
        <v>12.8</v>
      </c>
      <c r="AL19" s="228">
        <v>13.9</v>
      </c>
      <c r="AM19" s="228">
        <v>-1.1000000000000001</v>
      </c>
      <c r="AN19" s="229">
        <v>1.17E-2</v>
      </c>
      <c r="AO19" s="231">
        <v>1092.78</v>
      </c>
      <c r="AP19" s="231">
        <v>1098.93</v>
      </c>
      <c r="AQ19" s="228">
        <v>0</v>
      </c>
      <c r="AR19" s="230">
        <v>11931150</v>
      </c>
      <c r="AS19" s="230">
        <v>16817350</v>
      </c>
      <c r="AT19" s="230">
        <v>-4886200</v>
      </c>
      <c r="AU19" s="229">
        <v>-0.29049999999999998</v>
      </c>
      <c r="AV19" s="230">
        <v>5727150</v>
      </c>
      <c r="AW19" s="230">
        <v>8353400</v>
      </c>
      <c r="AX19" s="230">
        <v>-2626250</v>
      </c>
      <c r="AY19" s="229">
        <v>-0.31440000000000001</v>
      </c>
      <c r="AZ19" s="230">
        <v>6142950</v>
      </c>
      <c r="BA19" s="230">
        <v>8427650</v>
      </c>
      <c r="BB19" s="230">
        <v>-2284700</v>
      </c>
      <c r="BC19" s="229">
        <v>-0.27110000000000001</v>
      </c>
      <c r="BD19" s="230">
        <v>61050</v>
      </c>
      <c r="BE19" s="230">
        <v>36300</v>
      </c>
      <c r="BF19" s="230">
        <v>24750</v>
      </c>
      <c r="BG19" s="229">
        <v>0.68179999999999996</v>
      </c>
      <c r="BH19" s="230">
        <v>7363950</v>
      </c>
      <c r="BI19" s="230">
        <v>5299800</v>
      </c>
      <c r="BJ19" s="230">
        <v>2064150</v>
      </c>
      <c r="BK19" s="229">
        <v>0.38950000000000001</v>
      </c>
      <c r="BL19" s="230">
        <v>4279550</v>
      </c>
      <c r="BM19" s="230">
        <v>3958350</v>
      </c>
      <c r="BN19" s="230">
        <v>321200</v>
      </c>
      <c r="BO19" s="229">
        <v>8.1100000000000005E-2</v>
      </c>
      <c r="BP19" s="230">
        <v>23574650</v>
      </c>
      <c r="BQ19" s="230">
        <v>26075500</v>
      </c>
      <c r="BR19" s="230">
        <v>-2500850</v>
      </c>
      <c r="BS19" s="229">
        <v>-9.5899999999999999E-2</v>
      </c>
      <c r="BT19" s="230">
        <v>1439803</v>
      </c>
      <c r="BU19" s="230">
        <v>769851</v>
      </c>
      <c r="BV19" s="230">
        <v>669952</v>
      </c>
      <c r="BW19" s="229">
        <v>0.87019999999999997</v>
      </c>
      <c r="BX19" s="230">
        <v>24632300</v>
      </c>
      <c r="BY19" s="230">
        <v>24555850</v>
      </c>
      <c r="BZ19" s="230">
        <v>76450</v>
      </c>
      <c r="CA19" s="229">
        <v>3.0999999999999999E-3</v>
      </c>
      <c r="CB19" s="230">
        <v>3183950</v>
      </c>
      <c r="CC19" s="230">
        <v>7428850</v>
      </c>
      <c r="CD19" s="230">
        <v>-4244900</v>
      </c>
      <c r="CE19" s="229">
        <v>-0.57140000000000002</v>
      </c>
      <c r="CF19" s="230">
        <v>21357050</v>
      </c>
      <c r="CG19" s="230">
        <v>17054950</v>
      </c>
      <c r="CH19" s="230">
        <v>4302100</v>
      </c>
      <c r="CI19" s="229">
        <v>0.25219999999999998</v>
      </c>
      <c r="CJ19" s="230">
        <v>91300</v>
      </c>
      <c r="CK19" s="230">
        <v>72050</v>
      </c>
      <c r="CL19" s="230">
        <v>19250</v>
      </c>
      <c r="CM19" s="229">
        <v>0.26719999999999999</v>
      </c>
      <c r="CN19" s="230">
        <v>5053400</v>
      </c>
      <c r="CO19" s="230">
        <v>4953850</v>
      </c>
      <c r="CP19" s="230">
        <v>99550</v>
      </c>
      <c r="CQ19" s="229">
        <v>2.01E-2</v>
      </c>
      <c r="CR19" s="230">
        <v>3487000</v>
      </c>
      <c r="CS19" s="230">
        <v>3322550</v>
      </c>
      <c r="CT19" s="230">
        <v>164450</v>
      </c>
      <c r="CU19" s="229">
        <v>4.9500000000000002E-2</v>
      </c>
      <c r="CV19" s="230">
        <v>33172700</v>
      </c>
      <c r="CW19" s="230">
        <v>32832250</v>
      </c>
      <c r="CX19" s="230">
        <v>340450</v>
      </c>
      <c r="CY19" s="229">
        <v>1.04E-2</v>
      </c>
      <c r="CZ19" s="228">
        <v>28.65</v>
      </c>
      <c r="DA19" s="228">
        <v>28.75</v>
      </c>
      <c r="DB19" s="228">
        <v>-0.1</v>
      </c>
      <c r="DC19" s="228">
        <v>-0.1</v>
      </c>
      <c r="DD19" s="228">
        <v>34.36</v>
      </c>
      <c r="DE19" s="228">
        <v>34.43</v>
      </c>
      <c r="DF19" s="228">
        <v>-5.71</v>
      </c>
      <c r="DG19" s="228">
        <v>-7.0000000000000007E-2</v>
      </c>
      <c r="DH19" s="228">
        <v>28.85</v>
      </c>
      <c r="DI19" s="228">
        <v>28.57</v>
      </c>
      <c r="DJ19" s="228">
        <v>0.28000000000000003</v>
      </c>
      <c r="DK19" s="228">
        <v>0.28000000000000003</v>
      </c>
      <c r="DL19" s="228">
        <v>28.33</v>
      </c>
      <c r="DM19" s="228">
        <v>28.93</v>
      </c>
      <c r="DN19" s="228">
        <v>-0.6</v>
      </c>
      <c r="DO19" s="228">
        <v>-0.6</v>
      </c>
      <c r="DP19" s="228">
        <v>0.69</v>
      </c>
      <c r="DQ19" s="228">
        <v>0.67</v>
      </c>
      <c r="DR19" s="228">
        <v>0.02</v>
      </c>
      <c r="DS19" s="229">
        <v>2.9899999999999999E-2</v>
      </c>
      <c r="DT19" s="231">
        <v>1140</v>
      </c>
      <c r="DU19" s="231">
        <v>1100</v>
      </c>
      <c r="DV19" s="228">
        <v>0.57999999999999996</v>
      </c>
      <c r="DW19" s="228">
        <v>0.75</v>
      </c>
      <c r="DX19" s="228">
        <v>-0.17</v>
      </c>
      <c r="DY19" s="229">
        <v>-0.22670000000000001</v>
      </c>
      <c r="DZ19" s="229">
        <v>0.87070000000000003</v>
      </c>
      <c r="EA19" s="230">
        <v>17127000</v>
      </c>
      <c r="EB19" s="229">
        <v>5.3E-3</v>
      </c>
      <c r="EC19" s="229">
        <v>0.87070000000000003</v>
      </c>
      <c r="ED19" s="228">
        <v>6.15</v>
      </c>
      <c r="EE19" s="229">
        <v>5.5999999999999999E-3</v>
      </c>
      <c r="EF19" s="230">
        <v>875034</v>
      </c>
      <c r="EG19" s="230">
        <v>373715</v>
      </c>
      <c r="EH19" s="229">
        <v>1.3413999999999999</v>
      </c>
      <c r="EI19" s="229">
        <v>0.60770000000000002</v>
      </c>
      <c r="EJ19" s="231">
        <v>83891.02</v>
      </c>
      <c r="EK19" s="231">
        <v>47034.62</v>
      </c>
      <c r="EL19" s="231">
        <v>130766.77</v>
      </c>
      <c r="EM19" s="231">
        <v>15827</v>
      </c>
      <c r="EN19" s="231">
        <v>261692.41</v>
      </c>
      <c r="EO19" s="231">
        <v>287424.76</v>
      </c>
      <c r="EP19" s="231">
        <v>-25732.35</v>
      </c>
      <c r="EQ19" s="229">
        <v>-8.9499999999999996E-2</v>
      </c>
      <c r="ER19" s="231">
        <v>58399</v>
      </c>
      <c r="ES19" s="231">
        <v>37384</v>
      </c>
      <c r="ET19" s="231">
        <v>270851</v>
      </c>
      <c r="EU19" s="231">
        <v>41977935</v>
      </c>
      <c r="EV19" s="231">
        <v>366634</v>
      </c>
      <c r="EW19" s="231">
        <v>360430</v>
      </c>
      <c r="EX19" s="231">
        <v>6204</v>
      </c>
      <c r="EY19" s="229">
        <v>1.72E-2</v>
      </c>
      <c r="EZ19" s="229">
        <v>0.79020000000000001</v>
      </c>
      <c r="FA19" s="227" t="s">
        <v>555</v>
      </c>
      <c r="FB19" s="161">
        <f t="shared" si="0"/>
        <v>21448350</v>
      </c>
    </row>
    <row r="20" spans="1:158" ht="17.25" hidden="1" thickBot="1" x14ac:dyDescent="0.3">
      <c r="A20" s="226">
        <v>45957</v>
      </c>
      <c r="B20" s="227" t="s">
        <v>172</v>
      </c>
      <c r="C20" s="227" t="s">
        <v>173</v>
      </c>
      <c r="D20" s="228">
        <v>625</v>
      </c>
      <c r="E20" s="231">
        <v>1252.7</v>
      </c>
      <c r="F20" s="231">
        <v>1243</v>
      </c>
      <c r="G20" s="228">
        <v>9.6999999999999993</v>
      </c>
      <c r="H20" s="229">
        <v>7.7999999999999996E-3</v>
      </c>
      <c r="I20" s="231">
        <v>1254.0999999999999</v>
      </c>
      <c r="J20" s="231">
        <v>1241.9000000000001</v>
      </c>
      <c r="K20" s="228">
        <v>12.2</v>
      </c>
      <c r="L20" s="229">
        <v>9.7999999999999997E-3</v>
      </c>
      <c r="M20" s="231">
        <v>1252.7</v>
      </c>
      <c r="N20" s="231">
        <v>1243</v>
      </c>
      <c r="O20" s="228">
        <v>9.6999999999999993</v>
      </c>
      <c r="P20" s="229">
        <v>7.7999999999999996E-3</v>
      </c>
      <c r="Q20" s="231">
        <v>1260.7</v>
      </c>
      <c r="R20" s="231">
        <v>1250.5</v>
      </c>
      <c r="S20" s="228">
        <v>10.199999999999999</v>
      </c>
      <c r="T20" s="229">
        <v>8.2000000000000007E-3</v>
      </c>
      <c r="U20" s="231">
        <v>1268.4000000000001</v>
      </c>
      <c r="V20" s="231">
        <v>1257.9000000000001</v>
      </c>
      <c r="W20" s="228">
        <v>10.5</v>
      </c>
      <c r="X20" s="229">
        <v>8.3000000000000001E-3</v>
      </c>
      <c r="Y20" s="228">
        <v>-1.4</v>
      </c>
      <c r="Z20" s="228">
        <v>1.1000000000000001</v>
      </c>
      <c r="AA20" s="228">
        <v>-2.5</v>
      </c>
      <c r="AB20" s="229">
        <v>-1.1000000000000001E-3</v>
      </c>
      <c r="AC20" s="228">
        <v>-1.4</v>
      </c>
      <c r="AD20" s="228">
        <v>1.1000000000000001</v>
      </c>
      <c r="AE20" s="228">
        <v>-2.5</v>
      </c>
      <c r="AF20" s="229">
        <v>-1.1000000000000001E-3</v>
      </c>
      <c r="AG20" s="228">
        <v>6.6</v>
      </c>
      <c r="AH20" s="228">
        <v>8.6</v>
      </c>
      <c r="AI20" s="228">
        <v>-2</v>
      </c>
      <c r="AJ20" s="229">
        <v>5.3E-3</v>
      </c>
      <c r="AK20" s="228">
        <v>14.3</v>
      </c>
      <c r="AL20" s="228">
        <v>16</v>
      </c>
      <c r="AM20" s="228">
        <v>-1.7</v>
      </c>
      <c r="AN20" s="229">
        <v>1.14E-2</v>
      </c>
      <c r="AO20" s="231">
        <v>1249.9100000000001</v>
      </c>
      <c r="AP20" s="231">
        <v>1257.32</v>
      </c>
      <c r="AQ20" s="228">
        <v>0</v>
      </c>
      <c r="AR20" s="230">
        <v>27947500</v>
      </c>
      <c r="AS20" s="230">
        <v>47656875</v>
      </c>
      <c r="AT20" s="230">
        <v>-19709375</v>
      </c>
      <c r="AU20" s="229">
        <v>-0.41360000000000002</v>
      </c>
      <c r="AV20" s="230">
        <v>13460000</v>
      </c>
      <c r="AW20" s="230">
        <v>24233750</v>
      </c>
      <c r="AX20" s="230">
        <v>-10773750</v>
      </c>
      <c r="AY20" s="229">
        <v>-0.4446</v>
      </c>
      <c r="AZ20" s="230">
        <v>14345000</v>
      </c>
      <c r="BA20" s="230">
        <v>23329375</v>
      </c>
      <c r="BB20" s="230">
        <v>-8984375</v>
      </c>
      <c r="BC20" s="229">
        <v>-0.3851</v>
      </c>
      <c r="BD20" s="230">
        <v>142500</v>
      </c>
      <c r="BE20" s="230">
        <v>93750</v>
      </c>
      <c r="BF20" s="230">
        <v>48750</v>
      </c>
      <c r="BG20" s="229">
        <v>0.52</v>
      </c>
      <c r="BH20" s="230">
        <v>30295625</v>
      </c>
      <c r="BI20" s="230">
        <v>34768125</v>
      </c>
      <c r="BJ20" s="230">
        <v>-4472500</v>
      </c>
      <c r="BK20" s="229">
        <v>-0.12859999999999999</v>
      </c>
      <c r="BL20" s="230">
        <v>18283750</v>
      </c>
      <c r="BM20" s="230">
        <v>30078750</v>
      </c>
      <c r="BN20" s="230">
        <v>-11795000</v>
      </c>
      <c r="BO20" s="229">
        <v>-0.3921</v>
      </c>
      <c r="BP20" s="230">
        <v>76526875</v>
      </c>
      <c r="BQ20" s="230">
        <v>112503750</v>
      </c>
      <c r="BR20" s="230">
        <v>-35976875</v>
      </c>
      <c r="BS20" s="229">
        <v>-0.31979999999999997</v>
      </c>
      <c r="BT20" s="230">
        <v>6293604</v>
      </c>
      <c r="BU20" s="230">
        <v>4965684</v>
      </c>
      <c r="BV20" s="230">
        <v>1327920</v>
      </c>
      <c r="BW20" s="229">
        <v>0.26740000000000003</v>
      </c>
      <c r="BX20" s="230">
        <v>82435000</v>
      </c>
      <c r="BY20" s="230">
        <v>81433125</v>
      </c>
      <c r="BZ20" s="230">
        <v>1001875</v>
      </c>
      <c r="CA20" s="229">
        <v>1.23E-2</v>
      </c>
      <c r="CB20" s="230">
        <v>14270000</v>
      </c>
      <c r="CC20" s="230">
        <v>23296875</v>
      </c>
      <c r="CD20" s="230">
        <v>-9026875</v>
      </c>
      <c r="CE20" s="229">
        <v>-0.38750000000000001</v>
      </c>
      <c r="CF20" s="230">
        <v>67128125</v>
      </c>
      <c r="CG20" s="230">
        <v>57120000</v>
      </c>
      <c r="CH20" s="230">
        <v>10008125</v>
      </c>
      <c r="CI20" s="229">
        <v>0.17519999999999999</v>
      </c>
      <c r="CJ20" s="230">
        <v>1036875</v>
      </c>
      <c r="CK20" s="230">
        <v>1016250</v>
      </c>
      <c r="CL20" s="230">
        <v>20625</v>
      </c>
      <c r="CM20" s="229">
        <v>2.0299999999999999E-2</v>
      </c>
      <c r="CN20" s="230">
        <v>27340000</v>
      </c>
      <c r="CO20" s="230">
        <v>29658125</v>
      </c>
      <c r="CP20" s="230">
        <v>-2318125</v>
      </c>
      <c r="CQ20" s="229">
        <v>-7.8200000000000006E-2</v>
      </c>
      <c r="CR20" s="230">
        <v>21743125</v>
      </c>
      <c r="CS20" s="230">
        <v>22395000</v>
      </c>
      <c r="CT20" s="230">
        <v>-651875</v>
      </c>
      <c r="CU20" s="229">
        <v>-2.9100000000000001E-2</v>
      </c>
      <c r="CV20" s="230">
        <v>131518125</v>
      </c>
      <c r="CW20" s="230">
        <v>133486250</v>
      </c>
      <c r="CX20" s="230">
        <v>-1968125</v>
      </c>
      <c r="CY20" s="229">
        <v>-1.47E-2</v>
      </c>
      <c r="CZ20" s="228">
        <v>18.809999999999999</v>
      </c>
      <c r="DA20" s="228">
        <v>18.55</v>
      </c>
      <c r="DB20" s="228">
        <v>0.26</v>
      </c>
      <c r="DC20" s="228">
        <v>0.26</v>
      </c>
      <c r="DD20" s="228">
        <v>26.97</v>
      </c>
      <c r="DE20" s="228">
        <v>27</v>
      </c>
      <c r="DF20" s="228">
        <v>-8.16</v>
      </c>
      <c r="DG20" s="228">
        <v>-0.03</v>
      </c>
      <c r="DH20" s="228">
        <v>18.489999999999998</v>
      </c>
      <c r="DI20" s="228">
        <v>18.329999999999998</v>
      </c>
      <c r="DJ20" s="228">
        <v>0.16</v>
      </c>
      <c r="DK20" s="228">
        <v>0.16</v>
      </c>
      <c r="DL20" s="228">
        <v>19.32</v>
      </c>
      <c r="DM20" s="228">
        <v>18.77</v>
      </c>
      <c r="DN20" s="228">
        <v>0.55000000000000004</v>
      </c>
      <c r="DO20" s="228">
        <v>0.55000000000000004</v>
      </c>
      <c r="DP20" s="228">
        <v>0.8</v>
      </c>
      <c r="DQ20" s="228">
        <v>0.76</v>
      </c>
      <c r="DR20" s="228">
        <v>0.04</v>
      </c>
      <c r="DS20" s="229">
        <v>5.2600000000000001E-2</v>
      </c>
      <c r="DT20" s="231">
        <v>1160</v>
      </c>
      <c r="DU20" s="231">
        <v>1200</v>
      </c>
      <c r="DV20" s="228">
        <v>0.6</v>
      </c>
      <c r="DW20" s="228">
        <v>0.87</v>
      </c>
      <c r="DX20" s="228">
        <v>-0.27</v>
      </c>
      <c r="DY20" s="229">
        <v>-0.31030000000000002</v>
      </c>
      <c r="DZ20" s="229">
        <v>0.82689999999999997</v>
      </c>
      <c r="EA20" s="230">
        <v>58136250</v>
      </c>
      <c r="EB20" s="229">
        <v>6.4000000000000003E-3</v>
      </c>
      <c r="EC20" s="229">
        <v>0.82689999999999997</v>
      </c>
      <c r="ED20" s="228">
        <v>7.41</v>
      </c>
      <c r="EE20" s="229">
        <v>5.8999999999999999E-3</v>
      </c>
      <c r="EF20" s="230">
        <v>4253618</v>
      </c>
      <c r="EG20" s="230">
        <v>3244137</v>
      </c>
      <c r="EH20" s="229">
        <v>0.31119999999999998</v>
      </c>
      <c r="EI20" s="229">
        <v>0.67589999999999995</v>
      </c>
      <c r="EJ20" s="231">
        <v>385546.29</v>
      </c>
      <c r="EK20" s="231">
        <v>226173.57</v>
      </c>
      <c r="EL20" s="231">
        <v>350403.69</v>
      </c>
      <c r="EM20" s="231">
        <v>59785</v>
      </c>
      <c r="EN20" s="231">
        <v>962123.55</v>
      </c>
      <c r="EO20" s="231">
        <v>1409980.14</v>
      </c>
      <c r="EP20" s="231">
        <v>-447856.59</v>
      </c>
      <c r="EQ20" s="229">
        <v>-0.31759999999999999</v>
      </c>
      <c r="ER20" s="231">
        <v>334794</v>
      </c>
      <c r="ES20" s="231">
        <v>256481</v>
      </c>
      <c r="ET20" s="231">
        <v>1038196</v>
      </c>
      <c r="EU20" s="231">
        <v>316147681</v>
      </c>
      <c r="EV20" s="231">
        <v>1629471</v>
      </c>
      <c r="EW20" s="231">
        <v>1644510</v>
      </c>
      <c r="EX20" s="231">
        <v>-15039</v>
      </c>
      <c r="EY20" s="229">
        <v>-9.1000000000000004E-3</v>
      </c>
      <c r="EZ20" s="229">
        <v>0.41599999999999998</v>
      </c>
      <c r="FA20" s="227" t="s">
        <v>555</v>
      </c>
      <c r="FB20" s="161">
        <f t="shared" si="0"/>
        <v>68165000</v>
      </c>
    </row>
    <row r="21" spans="1:158" ht="17.25" hidden="1" thickBot="1" x14ac:dyDescent="0.3">
      <c r="A21" s="226">
        <v>45957</v>
      </c>
      <c r="B21" s="227" t="s">
        <v>162</v>
      </c>
      <c r="C21" s="227" t="s">
        <v>174</v>
      </c>
      <c r="D21" s="228">
        <v>75</v>
      </c>
      <c r="E21" s="231">
        <v>9117.5</v>
      </c>
      <c r="F21" s="231">
        <v>9065.5</v>
      </c>
      <c r="G21" s="228">
        <v>52</v>
      </c>
      <c r="H21" s="229">
        <v>5.7000000000000002E-3</v>
      </c>
      <c r="I21" s="231">
        <v>9095.5</v>
      </c>
      <c r="J21" s="231">
        <v>9076.5</v>
      </c>
      <c r="K21" s="228">
        <v>19</v>
      </c>
      <c r="L21" s="229">
        <v>2.0999999999999999E-3</v>
      </c>
      <c r="M21" s="231">
        <v>9117.5</v>
      </c>
      <c r="N21" s="231">
        <v>9065.5</v>
      </c>
      <c r="O21" s="228">
        <v>52</v>
      </c>
      <c r="P21" s="229">
        <v>5.7000000000000002E-3</v>
      </c>
      <c r="Q21" s="231">
        <v>9140.5</v>
      </c>
      <c r="R21" s="231">
        <v>9075.5</v>
      </c>
      <c r="S21" s="228">
        <v>65</v>
      </c>
      <c r="T21" s="229">
        <v>7.1999999999999998E-3</v>
      </c>
      <c r="U21" s="231">
        <v>9174</v>
      </c>
      <c r="V21" s="231">
        <v>9113</v>
      </c>
      <c r="W21" s="228">
        <v>61</v>
      </c>
      <c r="X21" s="229">
        <v>6.7000000000000002E-3</v>
      </c>
      <c r="Y21" s="228">
        <v>22</v>
      </c>
      <c r="Z21" s="228">
        <v>-11</v>
      </c>
      <c r="AA21" s="228">
        <v>33</v>
      </c>
      <c r="AB21" s="229">
        <v>2.3999999999999998E-3</v>
      </c>
      <c r="AC21" s="228">
        <v>22</v>
      </c>
      <c r="AD21" s="228">
        <v>-11</v>
      </c>
      <c r="AE21" s="228">
        <v>33</v>
      </c>
      <c r="AF21" s="229">
        <v>2.3999999999999998E-3</v>
      </c>
      <c r="AG21" s="228">
        <v>45</v>
      </c>
      <c r="AH21" s="228">
        <v>-1</v>
      </c>
      <c r="AI21" s="228">
        <v>46</v>
      </c>
      <c r="AJ21" s="229">
        <v>4.8999999999999998E-3</v>
      </c>
      <c r="AK21" s="228">
        <v>78.5</v>
      </c>
      <c r="AL21" s="228">
        <v>36.5</v>
      </c>
      <c r="AM21" s="228">
        <v>42</v>
      </c>
      <c r="AN21" s="229">
        <v>8.6E-3</v>
      </c>
      <c r="AO21" s="231">
        <v>9107.4699999999993</v>
      </c>
      <c r="AP21" s="231">
        <v>9116.64</v>
      </c>
      <c r="AQ21" s="228">
        <v>0</v>
      </c>
      <c r="AR21" s="230">
        <v>2365650</v>
      </c>
      <c r="AS21" s="230">
        <v>2941125</v>
      </c>
      <c r="AT21" s="230">
        <v>-575475</v>
      </c>
      <c r="AU21" s="229">
        <v>-0.19570000000000001</v>
      </c>
      <c r="AV21" s="230">
        <v>1158900</v>
      </c>
      <c r="AW21" s="230">
        <v>1485225</v>
      </c>
      <c r="AX21" s="230">
        <v>-326325</v>
      </c>
      <c r="AY21" s="229">
        <v>-0.21970000000000001</v>
      </c>
      <c r="AZ21" s="230">
        <v>1198950</v>
      </c>
      <c r="BA21" s="230">
        <v>1449750</v>
      </c>
      <c r="BB21" s="230">
        <v>-250800</v>
      </c>
      <c r="BC21" s="229">
        <v>-0.17299999999999999</v>
      </c>
      <c r="BD21" s="230">
        <v>7800</v>
      </c>
      <c r="BE21" s="230">
        <v>6150</v>
      </c>
      <c r="BF21" s="230">
        <v>1650</v>
      </c>
      <c r="BG21" s="229">
        <v>0.26829999999999998</v>
      </c>
      <c r="BH21" s="230">
        <v>2013450</v>
      </c>
      <c r="BI21" s="230">
        <v>2527725</v>
      </c>
      <c r="BJ21" s="230">
        <v>-514275</v>
      </c>
      <c r="BK21" s="229">
        <v>-0.20349999999999999</v>
      </c>
      <c r="BL21" s="230">
        <v>1151850</v>
      </c>
      <c r="BM21" s="230">
        <v>1617825</v>
      </c>
      <c r="BN21" s="230">
        <v>-465975</v>
      </c>
      <c r="BO21" s="229">
        <v>-0.28799999999999998</v>
      </c>
      <c r="BP21" s="230">
        <v>5530950</v>
      </c>
      <c r="BQ21" s="230">
        <v>7086675</v>
      </c>
      <c r="BR21" s="230">
        <v>-1555725</v>
      </c>
      <c r="BS21" s="229">
        <v>-0.2195</v>
      </c>
      <c r="BT21" s="230">
        <v>338172</v>
      </c>
      <c r="BU21" s="230">
        <v>347634</v>
      </c>
      <c r="BV21" s="230">
        <v>-9462</v>
      </c>
      <c r="BW21" s="229">
        <v>-2.7199999999999998E-2</v>
      </c>
      <c r="BX21" s="230">
        <v>3423000</v>
      </c>
      <c r="BY21" s="230">
        <v>3345150</v>
      </c>
      <c r="BZ21" s="230">
        <v>77850</v>
      </c>
      <c r="CA21" s="229">
        <v>2.3300000000000001E-2</v>
      </c>
      <c r="CB21" s="230">
        <v>408375</v>
      </c>
      <c r="CC21" s="230">
        <v>1045575</v>
      </c>
      <c r="CD21" s="230">
        <v>-637200</v>
      </c>
      <c r="CE21" s="229">
        <v>-0.60940000000000005</v>
      </c>
      <c r="CF21" s="230">
        <v>2981925</v>
      </c>
      <c r="CG21" s="230">
        <v>2270100</v>
      </c>
      <c r="CH21" s="230">
        <v>711825</v>
      </c>
      <c r="CI21" s="229">
        <v>0.31359999999999999</v>
      </c>
      <c r="CJ21" s="230">
        <v>32700</v>
      </c>
      <c r="CK21" s="230">
        <v>29475</v>
      </c>
      <c r="CL21" s="230">
        <v>3225</v>
      </c>
      <c r="CM21" s="229">
        <v>0.1094</v>
      </c>
      <c r="CN21" s="230">
        <v>1174800</v>
      </c>
      <c r="CO21" s="230">
        <v>1370250</v>
      </c>
      <c r="CP21" s="230">
        <v>-195450</v>
      </c>
      <c r="CQ21" s="229">
        <v>-0.1426</v>
      </c>
      <c r="CR21" s="230">
        <v>945150</v>
      </c>
      <c r="CS21" s="230">
        <v>947475</v>
      </c>
      <c r="CT21" s="230">
        <v>-2325</v>
      </c>
      <c r="CU21" s="229">
        <v>-2.5000000000000001E-3</v>
      </c>
      <c r="CV21" s="230">
        <v>5542950</v>
      </c>
      <c r="CW21" s="230">
        <v>5662875</v>
      </c>
      <c r="CX21" s="230">
        <v>-119925</v>
      </c>
      <c r="CY21" s="229">
        <v>-2.12E-2</v>
      </c>
      <c r="CZ21" s="228">
        <v>25.41</v>
      </c>
      <c r="DA21" s="228">
        <v>25.73</v>
      </c>
      <c r="DB21" s="228">
        <v>-0.32</v>
      </c>
      <c r="DC21" s="228">
        <v>-0.32</v>
      </c>
      <c r="DD21" s="228">
        <v>30.09</v>
      </c>
      <c r="DE21" s="228">
        <v>30.17</v>
      </c>
      <c r="DF21" s="228">
        <v>-4.68</v>
      </c>
      <c r="DG21" s="228">
        <v>-0.08</v>
      </c>
      <c r="DH21" s="228">
        <v>25.65</v>
      </c>
      <c r="DI21" s="228">
        <v>26.24</v>
      </c>
      <c r="DJ21" s="228">
        <v>-0.59</v>
      </c>
      <c r="DK21" s="228">
        <v>-0.59</v>
      </c>
      <c r="DL21" s="228">
        <v>25.08</v>
      </c>
      <c r="DM21" s="228">
        <v>24.99</v>
      </c>
      <c r="DN21" s="228">
        <v>0.09</v>
      </c>
      <c r="DO21" s="228">
        <v>0.09</v>
      </c>
      <c r="DP21" s="228">
        <v>0.8</v>
      </c>
      <c r="DQ21" s="228">
        <v>0.69</v>
      </c>
      <c r="DR21" s="228">
        <v>0.11</v>
      </c>
      <c r="DS21" s="229">
        <v>0.15939999999999999</v>
      </c>
      <c r="DT21" s="231">
        <v>9200</v>
      </c>
      <c r="DU21" s="231">
        <v>9000</v>
      </c>
      <c r="DV21" s="228">
        <v>0.56999999999999995</v>
      </c>
      <c r="DW21" s="228">
        <v>0.64</v>
      </c>
      <c r="DX21" s="228">
        <v>-7.0000000000000007E-2</v>
      </c>
      <c r="DY21" s="229">
        <v>-0.1094</v>
      </c>
      <c r="DZ21" s="229">
        <v>0.88070000000000004</v>
      </c>
      <c r="EA21" s="230">
        <v>2299575</v>
      </c>
      <c r="EB21" s="229">
        <v>2.5000000000000001E-3</v>
      </c>
      <c r="EC21" s="229">
        <v>0.88070000000000004</v>
      </c>
      <c r="ED21" s="228">
        <v>9.17</v>
      </c>
      <c r="EE21" s="229">
        <v>1E-3</v>
      </c>
      <c r="EF21" s="230">
        <v>219643</v>
      </c>
      <c r="EG21" s="230">
        <v>234957</v>
      </c>
      <c r="EH21" s="229">
        <v>-6.5199999999999994E-2</v>
      </c>
      <c r="EI21" s="229">
        <v>0.64949999999999997</v>
      </c>
      <c r="EJ21" s="231">
        <v>188479.68</v>
      </c>
      <c r="EK21" s="231">
        <v>103438.45</v>
      </c>
      <c r="EL21" s="231">
        <v>215563.7</v>
      </c>
      <c r="EM21" s="231">
        <v>21712</v>
      </c>
      <c r="EN21" s="231">
        <v>507481.83</v>
      </c>
      <c r="EO21" s="231">
        <v>647786.82999999996</v>
      </c>
      <c r="EP21" s="231">
        <v>-140305</v>
      </c>
      <c r="EQ21" s="229">
        <v>-0.21659999999999999</v>
      </c>
      <c r="ER21" s="231">
        <v>110686</v>
      </c>
      <c r="ES21" s="231">
        <v>81480</v>
      </c>
      <c r="ET21" s="231">
        <v>312796</v>
      </c>
      <c r="EU21" s="231">
        <v>12547731</v>
      </c>
      <c r="EV21" s="231">
        <v>504962</v>
      </c>
      <c r="EW21" s="231">
        <v>513901</v>
      </c>
      <c r="EX21" s="231">
        <v>-8939</v>
      </c>
      <c r="EY21" s="229">
        <v>-1.7399999999999999E-2</v>
      </c>
      <c r="EZ21" s="229">
        <v>0.44169999999999998</v>
      </c>
      <c r="FA21" s="227" t="s">
        <v>555</v>
      </c>
      <c r="FB21" s="161">
        <f t="shared" si="0"/>
        <v>3014625</v>
      </c>
    </row>
    <row r="22" spans="1:158" ht="17.25" hidden="1" thickBot="1" x14ac:dyDescent="0.3">
      <c r="A22" s="226">
        <v>45957</v>
      </c>
      <c r="B22" s="227" t="s">
        <v>175</v>
      </c>
      <c r="C22" s="227" t="s">
        <v>176</v>
      </c>
      <c r="D22" s="228">
        <v>500</v>
      </c>
      <c r="E22" s="231">
        <v>2169.9</v>
      </c>
      <c r="F22" s="231">
        <v>2159.8000000000002</v>
      </c>
      <c r="G22" s="228">
        <v>10.1</v>
      </c>
      <c r="H22" s="229">
        <v>4.7000000000000002E-3</v>
      </c>
      <c r="I22" s="231">
        <v>2170.1999999999998</v>
      </c>
      <c r="J22" s="231">
        <v>2159.5</v>
      </c>
      <c r="K22" s="228">
        <v>10.7</v>
      </c>
      <c r="L22" s="229">
        <v>5.0000000000000001E-3</v>
      </c>
      <c r="M22" s="231">
        <v>2169.9</v>
      </c>
      <c r="N22" s="231">
        <v>2159.8000000000002</v>
      </c>
      <c r="O22" s="228">
        <v>10.1</v>
      </c>
      <c r="P22" s="229">
        <v>4.7000000000000002E-3</v>
      </c>
      <c r="Q22" s="231">
        <v>2182.8000000000002</v>
      </c>
      <c r="R22" s="231">
        <v>2173.4</v>
      </c>
      <c r="S22" s="228">
        <v>9.4</v>
      </c>
      <c r="T22" s="229">
        <v>4.3E-3</v>
      </c>
      <c r="U22" s="231">
        <v>2197.3000000000002</v>
      </c>
      <c r="V22" s="231">
        <v>2186.6</v>
      </c>
      <c r="W22" s="228">
        <v>10.7</v>
      </c>
      <c r="X22" s="229">
        <v>4.8999999999999998E-3</v>
      </c>
      <c r="Y22" s="228">
        <v>-0.3</v>
      </c>
      <c r="Z22" s="228">
        <v>0.3</v>
      </c>
      <c r="AA22" s="228">
        <v>-0.6</v>
      </c>
      <c r="AB22" s="229">
        <v>-1E-4</v>
      </c>
      <c r="AC22" s="228">
        <v>-0.3</v>
      </c>
      <c r="AD22" s="228">
        <v>0.3</v>
      </c>
      <c r="AE22" s="228">
        <v>-0.6</v>
      </c>
      <c r="AF22" s="229">
        <v>-1E-4</v>
      </c>
      <c r="AG22" s="228">
        <v>12.6</v>
      </c>
      <c r="AH22" s="228">
        <v>13.9</v>
      </c>
      <c r="AI22" s="228">
        <v>-1.3</v>
      </c>
      <c r="AJ22" s="229">
        <v>5.7999999999999996E-3</v>
      </c>
      <c r="AK22" s="228">
        <v>27.1</v>
      </c>
      <c r="AL22" s="228">
        <v>27.1</v>
      </c>
      <c r="AM22" s="228">
        <v>0</v>
      </c>
      <c r="AN22" s="229">
        <v>1.2500000000000001E-2</v>
      </c>
      <c r="AO22" s="231">
        <v>2168.08</v>
      </c>
      <c r="AP22" s="231">
        <v>2181.0100000000002</v>
      </c>
      <c r="AQ22" s="228">
        <v>0</v>
      </c>
      <c r="AR22" s="230">
        <v>10617000</v>
      </c>
      <c r="AS22" s="230">
        <v>10012000</v>
      </c>
      <c r="AT22" s="230">
        <v>605000</v>
      </c>
      <c r="AU22" s="229">
        <v>6.0400000000000002E-2</v>
      </c>
      <c r="AV22" s="230">
        <v>5065500</v>
      </c>
      <c r="AW22" s="230">
        <v>5008500</v>
      </c>
      <c r="AX22" s="230">
        <v>57000</v>
      </c>
      <c r="AY22" s="229">
        <v>1.14E-2</v>
      </c>
      <c r="AZ22" s="230">
        <v>5522000</v>
      </c>
      <c r="BA22" s="230">
        <v>4983500</v>
      </c>
      <c r="BB22" s="230">
        <v>538500</v>
      </c>
      <c r="BC22" s="229">
        <v>0.1081</v>
      </c>
      <c r="BD22" s="230">
        <v>29500</v>
      </c>
      <c r="BE22" s="230">
        <v>20000</v>
      </c>
      <c r="BF22" s="230">
        <v>9500</v>
      </c>
      <c r="BG22" s="229">
        <v>0.47499999999999998</v>
      </c>
      <c r="BH22" s="230">
        <v>5906000</v>
      </c>
      <c r="BI22" s="230">
        <v>6880000</v>
      </c>
      <c r="BJ22" s="230">
        <v>-974000</v>
      </c>
      <c r="BK22" s="229">
        <v>-0.1416</v>
      </c>
      <c r="BL22" s="230">
        <v>5547000</v>
      </c>
      <c r="BM22" s="230">
        <v>7108000</v>
      </c>
      <c r="BN22" s="230">
        <v>-1561000</v>
      </c>
      <c r="BO22" s="229">
        <v>-0.21959999999999999</v>
      </c>
      <c r="BP22" s="230">
        <v>22070000</v>
      </c>
      <c r="BQ22" s="230">
        <v>24000000</v>
      </c>
      <c r="BR22" s="230">
        <v>-1930000</v>
      </c>
      <c r="BS22" s="229">
        <v>-8.0399999999999999E-2</v>
      </c>
      <c r="BT22" s="230">
        <v>459913</v>
      </c>
      <c r="BU22" s="230">
        <v>535952</v>
      </c>
      <c r="BV22" s="230">
        <v>-76039</v>
      </c>
      <c r="BW22" s="229">
        <v>-0.1419</v>
      </c>
      <c r="BX22" s="230">
        <v>19959000</v>
      </c>
      <c r="BY22" s="230">
        <v>19826500</v>
      </c>
      <c r="BZ22" s="230">
        <v>132500</v>
      </c>
      <c r="CA22" s="229">
        <v>6.7000000000000002E-3</v>
      </c>
      <c r="CB22" s="230">
        <v>5401500</v>
      </c>
      <c r="CC22" s="230">
        <v>9602000</v>
      </c>
      <c r="CD22" s="230">
        <v>-4200500</v>
      </c>
      <c r="CE22" s="229">
        <v>-0.4375</v>
      </c>
      <c r="CF22" s="230">
        <v>14472500</v>
      </c>
      <c r="CG22" s="230">
        <v>10151000</v>
      </c>
      <c r="CH22" s="230">
        <v>4321500</v>
      </c>
      <c r="CI22" s="229">
        <v>0.42570000000000002</v>
      </c>
      <c r="CJ22" s="230">
        <v>85000</v>
      </c>
      <c r="CK22" s="230">
        <v>73500</v>
      </c>
      <c r="CL22" s="230">
        <v>11500</v>
      </c>
      <c r="CM22" s="229">
        <v>0.1565</v>
      </c>
      <c r="CN22" s="230">
        <v>6716500</v>
      </c>
      <c r="CO22" s="230">
        <v>6863000</v>
      </c>
      <c r="CP22" s="230">
        <v>-146500</v>
      </c>
      <c r="CQ22" s="229">
        <v>-2.1299999999999999E-2</v>
      </c>
      <c r="CR22" s="230">
        <v>6270500</v>
      </c>
      <c r="CS22" s="230">
        <v>6450000</v>
      </c>
      <c r="CT22" s="230">
        <v>-179500</v>
      </c>
      <c r="CU22" s="229">
        <v>-2.7799999999999998E-2</v>
      </c>
      <c r="CV22" s="230">
        <v>32946000</v>
      </c>
      <c r="CW22" s="230">
        <v>33139500</v>
      </c>
      <c r="CX22" s="230">
        <v>-193500</v>
      </c>
      <c r="CY22" s="229">
        <v>-5.7999999999999996E-3</v>
      </c>
      <c r="CZ22" s="228">
        <v>24.5</v>
      </c>
      <c r="DA22" s="228">
        <v>23.77</v>
      </c>
      <c r="DB22" s="228">
        <v>0.73</v>
      </c>
      <c r="DC22" s="228">
        <v>0.73</v>
      </c>
      <c r="DD22" s="228">
        <v>28.06</v>
      </c>
      <c r="DE22" s="228">
        <v>28.13</v>
      </c>
      <c r="DF22" s="228">
        <v>-3.56</v>
      </c>
      <c r="DG22" s="228">
        <v>-7.0000000000000007E-2</v>
      </c>
      <c r="DH22" s="228">
        <v>23.5</v>
      </c>
      <c r="DI22" s="228">
        <v>23.46</v>
      </c>
      <c r="DJ22" s="228">
        <v>0.04</v>
      </c>
      <c r="DK22" s="228">
        <v>0.04</v>
      </c>
      <c r="DL22" s="228">
        <v>25.81</v>
      </c>
      <c r="DM22" s="228">
        <v>24.19</v>
      </c>
      <c r="DN22" s="228">
        <v>1.62</v>
      </c>
      <c r="DO22" s="228">
        <v>1.62</v>
      </c>
      <c r="DP22" s="228">
        <v>0.93</v>
      </c>
      <c r="DQ22" s="228">
        <v>0.94</v>
      </c>
      <c r="DR22" s="228">
        <v>-0.01</v>
      </c>
      <c r="DS22" s="229">
        <v>-1.06E-2</v>
      </c>
      <c r="DT22" s="231">
        <v>2080</v>
      </c>
      <c r="DU22" s="231">
        <v>2100</v>
      </c>
      <c r="DV22" s="228">
        <v>0.94</v>
      </c>
      <c r="DW22" s="228">
        <v>1.03</v>
      </c>
      <c r="DX22" s="228">
        <v>-0.09</v>
      </c>
      <c r="DY22" s="229">
        <v>-8.7400000000000005E-2</v>
      </c>
      <c r="DZ22" s="229">
        <v>0.72940000000000005</v>
      </c>
      <c r="EA22" s="230">
        <v>10224500</v>
      </c>
      <c r="EB22" s="229">
        <v>5.8999999999999999E-3</v>
      </c>
      <c r="EC22" s="229">
        <v>0.72940000000000005</v>
      </c>
      <c r="ED22" s="228">
        <v>12.93</v>
      </c>
      <c r="EE22" s="229">
        <v>6.0000000000000001E-3</v>
      </c>
      <c r="EF22" s="230">
        <v>205223</v>
      </c>
      <c r="EG22" s="230">
        <v>265416</v>
      </c>
      <c r="EH22" s="229">
        <v>-0.2268</v>
      </c>
      <c r="EI22" s="229">
        <v>0.44619999999999999</v>
      </c>
      <c r="EJ22" s="231">
        <v>130924.04</v>
      </c>
      <c r="EK22" s="231">
        <v>116719.9</v>
      </c>
      <c r="EL22" s="231">
        <v>230906.87</v>
      </c>
      <c r="EM22" s="231">
        <v>13435</v>
      </c>
      <c r="EN22" s="231">
        <v>478550.81</v>
      </c>
      <c r="EO22" s="231">
        <v>520565.54</v>
      </c>
      <c r="EP22" s="231">
        <v>-42014.73</v>
      </c>
      <c r="EQ22" s="229">
        <v>-8.0699999999999994E-2</v>
      </c>
      <c r="ER22" s="231">
        <v>144648</v>
      </c>
      <c r="ES22" s="231">
        <v>126827</v>
      </c>
      <c r="ET22" s="231">
        <v>434981</v>
      </c>
      <c r="EU22" s="231">
        <v>65659712</v>
      </c>
      <c r="EV22" s="231">
        <v>706456</v>
      </c>
      <c r="EW22" s="231">
        <v>707936</v>
      </c>
      <c r="EX22" s="231">
        <v>-1480</v>
      </c>
      <c r="EY22" s="229">
        <v>-2.0999999999999999E-3</v>
      </c>
      <c r="EZ22" s="229">
        <v>0.50180000000000002</v>
      </c>
      <c r="FA22" s="227" t="s">
        <v>555</v>
      </c>
      <c r="FB22" s="161">
        <f t="shared" si="0"/>
        <v>14557500</v>
      </c>
    </row>
    <row r="23" spans="1:158" ht="17.25" hidden="1" thickBot="1" x14ac:dyDescent="0.3">
      <c r="A23" s="226">
        <v>45957</v>
      </c>
      <c r="B23" s="227" t="s">
        <v>175</v>
      </c>
      <c r="C23" s="227" t="s">
        <v>177</v>
      </c>
      <c r="D23" s="228">
        <v>750</v>
      </c>
      <c r="E23" s="231">
        <v>1085.7</v>
      </c>
      <c r="F23" s="231">
        <v>1089.4000000000001</v>
      </c>
      <c r="G23" s="228">
        <v>-3.7</v>
      </c>
      <c r="H23" s="229">
        <v>-3.3999999999999998E-3</v>
      </c>
      <c r="I23" s="231">
        <v>1084.4000000000001</v>
      </c>
      <c r="J23" s="231">
        <v>1089.75</v>
      </c>
      <c r="K23" s="228">
        <v>-5.35</v>
      </c>
      <c r="L23" s="229">
        <v>-4.8999999999999998E-3</v>
      </c>
      <c r="M23" s="231">
        <v>1085.7</v>
      </c>
      <c r="N23" s="231">
        <v>1089.4000000000001</v>
      </c>
      <c r="O23" s="228">
        <v>-3.7</v>
      </c>
      <c r="P23" s="229">
        <v>-3.3999999999999998E-3</v>
      </c>
      <c r="Q23" s="231">
        <v>1091.6500000000001</v>
      </c>
      <c r="R23" s="231">
        <v>1095.25</v>
      </c>
      <c r="S23" s="228">
        <v>-3.6</v>
      </c>
      <c r="T23" s="229">
        <v>-3.3E-3</v>
      </c>
      <c r="U23" s="231">
        <v>1098.8499999999999</v>
      </c>
      <c r="V23" s="231">
        <v>1101.6500000000001</v>
      </c>
      <c r="W23" s="228">
        <v>-2.8</v>
      </c>
      <c r="X23" s="229">
        <v>-2.5000000000000001E-3</v>
      </c>
      <c r="Y23" s="228">
        <v>1.3</v>
      </c>
      <c r="Z23" s="228">
        <v>-0.35</v>
      </c>
      <c r="AA23" s="228">
        <v>1.65</v>
      </c>
      <c r="AB23" s="229">
        <v>1.1999999999999999E-3</v>
      </c>
      <c r="AC23" s="228">
        <v>1.3</v>
      </c>
      <c r="AD23" s="228">
        <v>-0.35</v>
      </c>
      <c r="AE23" s="228">
        <v>1.65</v>
      </c>
      <c r="AF23" s="229">
        <v>1.1999999999999999E-3</v>
      </c>
      <c r="AG23" s="228">
        <v>7.25</v>
      </c>
      <c r="AH23" s="228">
        <v>5.5</v>
      </c>
      <c r="AI23" s="228">
        <v>1.75</v>
      </c>
      <c r="AJ23" s="229">
        <v>6.7000000000000002E-3</v>
      </c>
      <c r="AK23" s="228">
        <v>14.45</v>
      </c>
      <c r="AL23" s="228">
        <v>11.9</v>
      </c>
      <c r="AM23" s="228">
        <v>2.5499999999999998</v>
      </c>
      <c r="AN23" s="229">
        <v>1.3299999999999999E-2</v>
      </c>
      <c r="AO23" s="231">
        <v>1082</v>
      </c>
      <c r="AP23" s="231">
        <v>1088.01</v>
      </c>
      <c r="AQ23" s="228">
        <v>0</v>
      </c>
      <c r="AR23" s="230">
        <v>55902000</v>
      </c>
      <c r="AS23" s="230">
        <v>60597750</v>
      </c>
      <c r="AT23" s="230">
        <v>-4695750</v>
      </c>
      <c r="AU23" s="229">
        <v>-7.7499999999999999E-2</v>
      </c>
      <c r="AV23" s="230">
        <v>27714000</v>
      </c>
      <c r="AW23" s="230">
        <v>30221250</v>
      </c>
      <c r="AX23" s="230">
        <v>-2507250</v>
      </c>
      <c r="AY23" s="229">
        <v>-8.3000000000000004E-2</v>
      </c>
      <c r="AZ23" s="230">
        <v>28001250</v>
      </c>
      <c r="BA23" s="230">
        <v>30251250</v>
      </c>
      <c r="BB23" s="230">
        <v>-2250000</v>
      </c>
      <c r="BC23" s="229">
        <v>-7.4399999999999994E-2</v>
      </c>
      <c r="BD23" s="230">
        <v>186750</v>
      </c>
      <c r="BE23" s="230">
        <v>125250</v>
      </c>
      <c r="BF23" s="230">
        <v>61500</v>
      </c>
      <c r="BG23" s="229">
        <v>0.49099999999999999</v>
      </c>
      <c r="BH23" s="230">
        <v>19701750</v>
      </c>
      <c r="BI23" s="230">
        <v>19083000</v>
      </c>
      <c r="BJ23" s="230">
        <v>618750</v>
      </c>
      <c r="BK23" s="229">
        <v>3.2399999999999998E-2</v>
      </c>
      <c r="BL23" s="230">
        <v>20131500</v>
      </c>
      <c r="BM23" s="230">
        <v>22464000</v>
      </c>
      <c r="BN23" s="230">
        <v>-2332500</v>
      </c>
      <c r="BO23" s="229">
        <v>-0.1038</v>
      </c>
      <c r="BP23" s="230">
        <v>95735250</v>
      </c>
      <c r="BQ23" s="230">
        <v>102144750</v>
      </c>
      <c r="BR23" s="230">
        <v>-6409500</v>
      </c>
      <c r="BS23" s="229">
        <v>-6.2700000000000006E-2</v>
      </c>
      <c r="BT23" s="230">
        <v>7746854</v>
      </c>
      <c r="BU23" s="230">
        <v>6673589</v>
      </c>
      <c r="BV23" s="230">
        <v>1073265</v>
      </c>
      <c r="BW23" s="229">
        <v>0.1608</v>
      </c>
      <c r="BX23" s="230">
        <v>93279000</v>
      </c>
      <c r="BY23" s="230">
        <v>95038500</v>
      </c>
      <c r="BZ23" s="230">
        <v>-1759500</v>
      </c>
      <c r="CA23" s="229">
        <v>-1.8499999999999999E-2</v>
      </c>
      <c r="CB23" s="230">
        <v>11457000</v>
      </c>
      <c r="CC23" s="230">
        <v>35063250</v>
      </c>
      <c r="CD23" s="230">
        <v>-23606250</v>
      </c>
      <c r="CE23" s="229">
        <v>-0.67320000000000002</v>
      </c>
      <c r="CF23" s="230">
        <v>81447750</v>
      </c>
      <c r="CG23" s="230">
        <v>59686500</v>
      </c>
      <c r="CH23" s="230">
        <v>21761250</v>
      </c>
      <c r="CI23" s="229">
        <v>0.36459999999999998</v>
      </c>
      <c r="CJ23" s="230">
        <v>374250</v>
      </c>
      <c r="CK23" s="230">
        <v>288750</v>
      </c>
      <c r="CL23" s="230">
        <v>85500</v>
      </c>
      <c r="CM23" s="229">
        <v>0.29609999999999997</v>
      </c>
      <c r="CN23" s="230">
        <v>17707500</v>
      </c>
      <c r="CO23" s="230">
        <v>19032750</v>
      </c>
      <c r="CP23" s="230">
        <v>-1325250</v>
      </c>
      <c r="CQ23" s="229">
        <v>-6.9599999999999995E-2</v>
      </c>
      <c r="CR23" s="230">
        <v>19322250</v>
      </c>
      <c r="CS23" s="230">
        <v>21750000</v>
      </c>
      <c r="CT23" s="230">
        <v>-2427750</v>
      </c>
      <c r="CU23" s="229">
        <v>-0.1116</v>
      </c>
      <c r="CV23" s="230">
        <v>130308750</v>
      </c>
      <c r="CW23" s="230">
        <v>135821250</v>
      </c>
      <c r="CX23" s="230">
        <v>-5512500</v>
      </c>
      <c r="CY23" s="229">
        <v>-4.0599999999999997E-2</v>
      </c>
      <c r="CZ23" s="228">
        <v>27.63</v>
      </c>
      <c r="DA23" s="228">
        <v>27.89</v>
      </c>
      <c r="DB23" s="228">
        <v>-0.26</v>
      </c>
      <c r="DC23" s="228">
        <v>-0.26</v>
      </c>
      <c r="DD23" s="228">
        <v>30.99</v>
      </c>
      <c r="DE23" s="228">
        <v>31.06</v>
      </c>
      <c r="DF23" s="228">
        <v>-3.36</v>
      </c>
      <c r="DG23" s="228">
        <v>-7.0000000000000007E-2</v>
      </c>
      <c r="DH23" s="228">
        <v>27.51</v>
      </c>
      <c r="DI23" s="228">
        <v>27.22</v>
      </c>
      <c r="DJ23" s="228">
        <v>0.28999999999999998</v>
      </c>
      <c r="DK23" s="228">
        <v>0.28999999999999998</v>
      </c>
      <c r="DL23" s="228">
        <v>27.78</v>
      </c>
      <c r="DM23" s="228">
        <v>28.56</v>
      </c>
      <c r="DN23" s="228">
        <v>-0.78</v>
      </c>
      <c r="DO23" s="228">
        <v>-0.78</v>
      </c>
      <c r="DP23" s="228">
        <v>1.0900000000000001</v>
      </c>
      <c r="DQ23" s="228">
        <v>1.1399999999999999</v>
      </c>
      <c r="DR23" s="228">
        <v>-0.05</v>
      </c>
      <c r="DS23" s="229">
        <v>-4.3900000000000002E-2</v>
      </c>
      <c r="DT23" s="231">
        <v>1100</v>
      </c>
      <c r="DU23" s="231">
        <v>1020</v>
      </c>
      <c r="DV23" s="228">
        <v>1.02</v>
      </c>
      <c r="DW23" s="228">
        <v>1.18</v>
      </c>
      <c r="DX23" s="228">
        <v>-0.16</v>
      </c>
      <c r="DY23" s="229">
        <v>-0.1356</v>
      </c>
      <c r="DZ23" s="229">
        <v>0.87719999999999998</v>
      </c>
      <c r="EA23" s="230">
        <v>59975250</v>
      </c>
      <c r="EB23" s="229">
        <v>5.4999999999999997E-3</v>
      </c>
      <c r="EC23" s="229">
        <v>0.87719999999999998</v>
      </c>
      <c r="ED23" s="228">
        <v>6.01</v>
      </c>
      <c r="EE23" s="229">
        <v>5.5999999999999999E-3</v>
      </c>
      <c r="EF23" s="230">
        <v>5574904</v>
      </c>
      <c r="EG23" s="230">
        <v>4504397</v>
      </c>
      <c r="EH23" s="229">
        <v>0.23769999999999999</v>
      </c>
      <c r="EI23" s="229">
        <v>0.71960000000000002</v>
      </c>
      <c r="EJ23" s="231">
        <v>219583.31</v>
      </c>
      <c r="EK23" s="231">
        <v>213963.81</v>
      </c>
      <c r="EL23" s="231">
        <v>606568.99</v>
      </c>
      <c r="EM23" s="231">
        <v>45890</v>
      </c>
      <c r="EN23" s="231">
        <v>1040116.11</v>
      </c>
      <c r="EO23" s="231">
        <v>1117469.26</v>
      </c>
      <c r="EP23" s="231">
        <v>-77353.149999999994</v>
      </c>
      <c r="EQ23" s="229">
        <v>-6.9199999999999998E-2</v>
      </c>
      <c r="ER23" s="231">
        <v>191375</v>
      </c>
      <c r="ES23" s="231">
        <v>195872</v>
      </c>
      <c r="ET23" s="231">
        <v>1017625</v>
      </c>
      <c r="EU23" s="231">
        <v>281116345</v>
      </c>
      <c r="EV23" s="231">
        <v>1404872</v>
      </c>
      <c r="EW23" s="231">
        <v>1465142</v>
      </c>
      <c r="EX23" s="231">
        <v>-60270</v>
      </c>
      <c r="EY23" s="229">
        <v>-4.1099999999999998E-2</v>
      </c>
      <c r="EZ23" s="229">
        <v>0.46350000000000002</v>
      </c>
      <c r="FA23" s="227" t="s">
        <v>568</v>
      </c>
      <c r="FB23" s="161">
        <f t="shared" si="0"/>
        <v>81822000</v>
      </c>
    </row>
    <row r="24" spans="1:158" ht="17.25" hidden="1" thickBot="1" x14ac:dyDescent="0.3">
      <c r="A24" s="226">
        <v>45957</v>
      </c>
      <c r="B24" s="227" t="s">
        <v>172</v>
      </c>
      <c r="C24" s="227" t="s">
        <v>179</v>
      </c>
      <c r="D24" s="228">
        <v>3600</v>
      </c>
      <c r="E24" s="228">
        <v>171.99</v>
      </c>
      <c r="F24" s="228">
        <v>170.07</v>
      </c>
      <c r="G24" s="228">
        <v>1.92</v>
      </c>
      <c r="H24" s="229">
        <v>1.1299999999999999E-2</v>
      </c>
      <c r="I24" s="228">
        <v>172.04</v>
      </c>
      <c r="J24" s="228">
        <v>170</v>
      </c>
      <c r="K24" s="228">
        <v>2.04</v>
      </c>
      <c r="L24" s="229">
        <v>1.2E-2</v>
      </c>
      <c r="M24" s="228">
        <v>171.99</v>
      </c>
      <c r="N24" s="228">
        <v>170.07</v>
      </c>
      <c r="O24" s="228">
        <v>1.92</v>
      </c>
      <c r="P24" s="229">
        <v>1.1299999999999999E-2</v>
      </c>
      <c r="Q24" s="228">
        <v>172.98</v>
      </c>
      <c r="R24" s="228">
        <v>170.95</v>
      </c>
      <c r="S24" s="228">
        <v>2.0299999999999998</v>
      </c>
      <c r="T24" s="229">
        <v>1.1900000000000001E-2</v>
      </c>
      <c r="U24" s="228">
        <v>174.07</v>
      </c>
      <c r="V24" s="228">
        <v>172.03</v>
      </c>
      <c r="W24" s="228">
        <v>2.04</v>
      </c>
      <c r="X24" s="229">
        <v>1.1900000000000001E-2</v>
      </c>
      <c r="Y24" s="228">
        <v>-0.05</v>
      </c>
      <c r="Z24" s="228">
        <v>7.0000000000000007E-2</v>
      </c>
      <c r="AA24" s="228">
        <v>-0.12</v>
      </c>
      <c r="AB24" s="229">
        <v>-2.9999999999999997E-4</v>
      </c>
      <c r="AC24" s="228">
        <v>-0.05</v>
      </c>
      <c r="AD24" s="228">
        <v>7.0000000000000007E-2</v>
      </c>
      <c r="AE24" s="228">
        <v>-0.12</v>
      </c>
      <c r="AF24" s="229">
        <v>-2.9999999999999997E-4</v>
      </c>
      <c r="AG24" s="228">
        <v>0.94</v>
      </c>
      <c r="AH24" s="228">
        <v>0.95</v>
      </c>
      <c r="AI24" s="228">
        <v>-0.01</v>
      </c>
      <c r="AJ24" s="229">
        <v>5.4999999999999997E-3</v>
      </c>
      <c r="AK24" s="228">
        <v>2.0299999999999998</v>
      </c>
      <c r="AL24" s="228">
        <v>2.0299999999999998</v>
      </c>
      <c r="AM24" s="228">
        <v>0</v>
      </c>
      <c r="AN24" s="229">
        <v>1.18E-2</v>
      </c>
      <c r="AO24" s="228">
        <v>172.42</v>
      </c>
      <c r="AP24" s="228">
        <v>173.34</v>
      </c>
      <c r="AQ24" s="228">
        <v>0</v>
      </c>
      <c r="AR24" s="230">
        <v>65502000</v>
      </c>
      <c r="AS24" s="230">
        <v>62344800</v>
      </c>
      <c r="AT24" s="230">
        <v>3157200</v>
      </c>
      <c r="AU24" s="229">
        <v>5.0599999999999999E-2</v>
      </c>
      <c r="AV24" s="230">
        <v>30366000</v>
      </c>
      <c r="AW24" s="230">
        <v>31158000</v>
      </c>
      <c r="AX24" s="230">
        <v>-792000</v>
      </c>
      <c r="AY24" s="229">
        <v>-2.5399999999999999E-2</v>
      </c>
      <c r="AZ24" s="230">
        <v>34509600</v>
      </c>
      <c r="BA24" s="230">
        <v>30744000</v>
      </c>
      <c r="BB24" s="230">
        <v>3765600</v>
      </c>
      <c r="BC24" s="229">
        <v>0.1225</v>
      </c>
      <c r="BD24" s="230">
        <v>626400</v>
      </c>
      <c r="BE24" s="230">
        <v>442800</v>
      </c>
      <c r="BF24" s="230">
        <v>183600</v>
      </c>
      <c r="BG24" s="229">
        <v>0.41460000000000002</v>
      </c>
      <c r="BH24" s="230">
        <v>38145600</v>
      </c>
      <c r="BI24" s="230">
        <v>54288000</v>
      </c>
      <c r="BJ24" s="230">
        <v>-16142400</v>
      </c>
      <c r="BK24" s="229">
        <v>-0.29730000000000001</v>
      </c>
      <c r="BL24" s="230">
        <v>26953200</v>
      </c>
      <c r="BM24" s="230">
        <v>25182000</v>
      </c>
      <c r="BN24" s="230">
        <v>1771200</v>
      </c>
      <c r="BO24" s="229">
        <v>7.0300000000000001E-2</v>
      </c>
      <c r="BP24" s="230">
        <v>130600800</v>
      </c>
      <c r="BQ24" s="230">
        <v>141814800</v>
      </c>
      <c r="BR24" s="230">
        <v>-11214000</v>
      </c>
      <c r="BS24" s="229">
        <v>-7.9100000000000004E-2</v>
      </c>
      <c r="BT24" s="230">
        <v>7001317</v>
      </c>
      <c r="BU24" s="230">
        <v>8972066</v>
      </c>
      <c r="BV24" s="230">
        <v>-1970749</v>
      </c>
      <c r="BW24" s="229">
        <v>-0.21970000000000001</v>
      </c>
      <c r="BX24" s="230">
        <v>103860000</v>
      </c>
      <c r="BY24" s="230">
        <v>104774400</v>
      </c>
      <c r="BZ24" s="230">
        <v>-914400</v>
      </c>
      <c r="CA24" s="229">
        <v>-8.6999999999999994E-3</v>
      </c>
      <c r="CB24" s="230">
        <v>17380800</v>
      </c>
      <c r="CC24" s="230">
        <v>38221200</v>
      </c>
      <c r="CD24" s="230">
        <v>-20840400</v>
      </c>
      <c r="CE24" s="229">
        <v>-0.54530000000000001</v>
      </c>
      <c r="CF24" s="230">
        <v>84506400</v>
      </c>
      <c r="CG24" s="230">
        <v>64854000</v>
      </c>
      <c r="CH24" s="230">
        <v>19652400</v>
      </c>
      <c r="CI24" s="229">
        <v>0.30299999999999999</v>
      </c>
      <c r="CJ24" s="230">
        <v>1972800</v>
      </c>
      <c r="CK24" s="230">
        <v>1699200</v>
      </c>
      <c r="CL24" s="230">
        <v>273600</v>
      </c>
      <c r="CM24" s="229">
        <v>0.161</v>
      </c>
      <c r="CN24" s="230">
        <v>37468800</v>
      </c>
      <c r="CO24" s="230">
        <v>37602000</v>
      </c>
      <c r="CP24" s="230">
        <v>-133200</v>
      </c>
      <c r="CQ24" s="229">
        <v>-3.5000000000000001E-3</v>
      </c>
      <c r="CR24" s="230">
        <v>36421200</v>
      </c>
      <c r="CS24" s="230">
        <v>35859600</v>
      </c>
      <c r="CT24" s="230">
        <v>561600</v>
      </c>
      <c r="CU24" s="229">
        <v>1.5699999999999999E-2</v>
      </c>
      <c r="CV24" s="230">
        <v>177750000</v>
      </c>
      <c r="CW24" s="230">
        <v>178236000</v>
      </c>
      <c r="CX24" s="230">
        <v>-486000</v>
      </c>
      <c r="CY24" s="229">
        <v>-2.7000000000000001E-3</v>
      </c>
      <c r="CZ24" s="228">
        <v>36.46</v>
      </c>
      <c r="DA24" s="228">
        <v>36.17</v>
      </c>
      <c r="DB24" s="228">
        <v>0.28999999999999998</v>
      </c>
      <c r="DC24" s="228">
        <v>0.28999999999999998</v>
      </c>
      <c r="DD24" s="228">
        <v>41.98</v>
      </c>
      <c r="DE24" s="228">
        <v>42.06</v>
      </c>
      <c r="DF24" s="228">
        <v>-5.52</v>
      </c>
      <c r="DG24" s="228">
        <v>-0.08</v>
      </c>
      <c r="DH24" s="228">
        <v>36.42</v>
      </c>
      <c r="DI24" s="228">
        <v>36.1</v>
      </c>
      <c r="DJ24" s="228">
        <v>0.32</v>
      </c>
      <c r="DK24" s="228">
        <v>0.32</v>
      </c>
      <c r="DL24" s="228">
        <v>36.520000000000003</v>
      </c>
      <c r="DM24" s="228">
        <v>36.29</v>
      </c>
      <c r="DN24" s="228">
        <v>0.23</v>
      </c>
      <c r="DO24" s="228">
        <v>0.23</v>
      </c>
      <c r="DP24" s="228">
        <v>0.97</v>
      </c>
      <c r="DQ24" s="228">
        <v>0.95</v>
      </c>
      <c r="DR24" s="228">
        <v>0.02</v>
      </c>
      <c r="DS24" s="229">
        <v>2.1100000000000001E-2</v>
      </c>
      <c r="DT24" s="228">
        <v>170</v>
      </c>
      <c r="DU24" s="228">
        <v>150</v>
      </c>
      <c r="DV24" s="228">
        <v>0.71</v>
      </c>
      <c r="DW24" s="228">
        <v>0.46</v>
      </c>
      <c r="DX24" s="228">
        <v>0.25</v>
      </c>
      <c r="DY24" s="229">
        <v>0.54349999999999998</v>
      </c>
      <c r="DZ24" s="229">
        <v>0.8327</v>
      </c>
      <c r="EA24" s="230">
        <v>66553200</v>
      </c>
      <c r="EB24" s="229">
        <v>5.7999999999999996E-3</v>
      </c>
      <c r="EC24" s="229">
        <v>0.8327</v>
      </c>
      <c r="ED24" s="228">
        <v>0.92</v>
      </c>
      <c r="EE24" s="229">
        <v>5.3E-3</v>
      </c>
      <c r="EF24" s="230">
        <v>3722614</v>
      </c>
      <c r="EG24" s="230">
        <v>4214996</v>
      </c>
      <c r="EH24" s="229">
        <v>-0.1168</v>
      </c>
      <c r="EI24" s="229">
        <v>0.53169999999999995</v>
      </c>
      <c r="EJ24" s="231">
        <v>68520.87</v>
      </c>
      <c r="EK24" s="231">
        <v>45771.1</v>
      </c>
      <c r="EL24" s="231">
        <v>113271.87</v>
      </c>
      <c r="EM24" s="231">
        <v>13346</v>
      </c>
      <c r="EN24" s="231">
        <v>227563.84</v>
      </c>
      <c r="EO24" s="231">
        <v>246416.25</v>
      </c>
      <c r="EP24" s="231">
        <v>-18852.41</v>
      </c>
      <c r="EQ24" s="229">
        <v>-7.6499999999999999E-2</v>
      </c>
      <c r="ER24" s="231">
        <v>65596</v>
      </c>
      <c r="ES24" s="231">
        <v>58852</v>
      </c>
      <c r="ET24" s="231">
        <v>179506</v>
      </c>
      <c r="EU24" s="231">
        <v>142752962</v>
      </c>
      <c r="EV24" s="231">
        <v>303954</v>
      </c>
      <c r="EW24" s="231">
        <v>301963</v>
      </c>
      <c r="EX24" s="231">
        <v>1991</v>
      </c>
      <c r="EY24" s="229">
        <v>6.6E-3</v>
      </c>
      <c r="EZ24" s="229">
        <v>1.2452000000000001</v>
      </c>
      <c r="FA24" s="227" t="s">
        <v>556</v>
      </c>
      <c r="FB24" s="161">
        <f t="shared" si="0"/>
        <v>86479200</v>
      </c>
    </row>
    <row r="25" spans="1:158" ht="17.25" hidden="1" thickBot="1" x14ac:dyDescent="0.3">
      <c r="A25" s="226">
        <v>45957</v>
      </c>
      <c r="B25" s="227" t="s">
        <v>172</v>
      </c>
      <c r="C25" s="227" t="s">
        <v>180</v>
      </c>
      <c r="D25" s="228">
        <v>2925</v>
      </c>
      <c r="E25" s="228">
        <v>273.2</v>
      </c>
      <c r="F25" s="228">
        <v>266.14999999999998</v>
      </c>
      <c r="G25" s="228">
        <v>7.05</v>
      </c>
      <c r="H25" s="229">
        <v>2.6499999999999999E-2</v>
      </c>
      <c r="I25" s="228">
        <v>273.64999999999998</v>
      </c>
      <c r="J25" s="228">
        <v>266.2</v>
      </c>
      <c r="K25" s="228">
        <v>7.45</v>
      </c>
      <c r="L25" s="229">
        <v>2.8000000000000001E-2</v>
      </c>
      <c r="M25" s="228">
        <v>273.2</v>
      </c>
      <c r="N25" s="228">
        <v>266.14999999999998</v>
      </c>
      <c r="O25" s="228">
        <v>7.05</v>
      </c>
      <c r="P25" s="229">
        <v>2.6499999999999999E-2</v>
      </c>
      <c r="Q25" s="228">
        <v>275.2</v>
      </c>
      <c r="R25" s="228">
        <v>267.7</v>
      </c>
      <c r="S25" s="228">
        <v>7.5</v>
      </c>
      <c r="T25" s="229">
        <v>2.8000000000000001E-2</v>
      </c>
      <c r="U25" s="228">
        <v>276.75</v>
      </c>
      <c r="V25" s="228">
        <v>269.64999999999998</v>
      </c>
      <c r="W25" s="228">
        <v>7.1</v>
      </c>
      <c r="X25" s="229">
        <v>2.63E-2</v>
      </c>
      <c r="Y25" s="228">
        <v>-0.45</v>
      </c>
      <c r="Z25" s="228">
        <v>-0.05</v>
      </c>
      <c r="AA25" s="228">
        <v>-0.4</v>
      </c>
      <c r="AB25" s="229">
        <v>-1.6000000000000001E-3</v>
      </c>
      <c r="AC25" s="228">
        <v>-0.45</v>
      </c>
      <c r="AD25" s="228">
        <v>-0.05</v>
      </c>
      <c r="AE25" s="228">
        <v>-0.4</v>
      </c>
      <c r="AF25" s="229">
        <v>-1.6000000000000001E-3</v>
      </c>
      <c r="AG25" s="228">
        <v>1.55</v>
      </c>
      <c r="AH25" s="228">
        <v>1.5</v>
      </c>
      <c r="AI25" s="228">
        <v>0.05</v>
      </c>
      <c r="AJ25" s="229">
        <v>5.7000000000000002E-3</v>
      </c>
      <c r="AK25" s="228">
        <v>3.1</v>
      </c>
      <c r="AL25" s="228">
        <v>3.45</v>
      </c>
      <c r="AM25" s="228">
        <v>-0.35</v>
      </c>
      <c r="AN25" s="229">
        <v>1.1299999999999999E-2</v>
      </c>
      <c r="AO25" s="228">
        <v>270.56</v>
      </c>
      <c r="AP25" s="228">
        <v>272.45</v>
      </c>
      <c r="AQ25" s="228">
        <v>0</v>
      </c>
      <c r="AR25" s="230">
        <v>78975000</v>
      </c>
      <c r="AS25" s="230">
        <v>95290650</v>
      </c>
      <c r="AT25" s="230">
        <v>-16315650</v>
      </c>
      <c r="AU25" s="229">
        <v>-0.17119999999999999</v>
      </c>
      <c r="AV25" s="230">
        <v>36647325</v>
      </c>
      <c r="AW25" s="230">
        <v>48502350</v>
      </c>
      <c r="AX25" s="230">
        <v>-11855025</v>
      </c>
      <c r="AY25" s="229">
        <v>-0.24440000000000001</v>
      </c>
      <c r="AZ25" s="230">
        <v>41964975</v>
      </c>
      <c r="BA25" s="230">
        <v>46601100</v>
      </c>
      <c r="BB25" s="230">
        <v>-4636125</v>
      </c>
      <c r="BC25" s="229">
        <v>-9.9500000000000005E-2</v>
      </c>
      <c r="BD25" s="230">
        <v>362700</v>
      </c>
      <c r="BE25" s="230">
        <v>187200</v>
      </c>
      <c r="BF25" s="230">
        <v>175500</v>
      </c>
      <c r="BG25" s="229">
        <v>0.9375</v>
      </c>
      <c r="BH25" s="230">
        <v>95521725</v>
      </c>
      <c r="BI25" s="230">
        <v>68064750</v>
      </c>
      <c r="BJ25" s="230">
        <v>27456975</v>
      </c>
      <c r="BK25" s="229">
        <v>0.40339999999999998</v>
      </c>
      <c r="BL25" s="230">
        <v>45828900</v>
      </c>
      <c r="BM25" s="230">
        <v>34011900</v>
      </c>
      <c r="BN25" s="230">
        <v>11817000</v>
      </c>
      <c r="BO25" s="229">
        <v>0.34739999999999999</v>
      </c>
      <c r="BP25" s="230">
        <v>220325625</v>
      </c>
      <c r="BQ25" s="230">
        <v>197367300</v>
      </c>
      <c r="BR25" s="230">
        <v>22958325</v>
      </c>
      <c r="BS25" s="229">
        <v>0.1163</v>
      </c>
      <c r="BT25" s="230">
        <v>12471904</v>
      </c>
      <c r="BU25" s="230">
        <v>6766942</v>
      </c>
      <c r="BV25" s="230">
        <v>5704962</v>
      </c>
      <c r="BW25" s="229">
        <v>0.84309999999999996</v>
      </c>
      <c r="BX25" s="230">
        <v>127462725</v>
      </c>
      <c r="BY25" s="230">
        <v>125046675</v>
      </c>
      <c r="BZ25" s="230">
        <v>2416050</v>
      </c>
      <c r="CA25" s="229">
        <v>1.9300000000000001E-2</v>
      </c>
      <c r="CB25" s="230">
        <v>21039525</v>
      </c>
      <c r="CC25" s="230">
        <v>45951750</v>
      </c>
      <c r="CD25" s="230">
        <v>-24912225</v>
      </c>
      <c r="CE25" s="229">
        <v>-0.54210000000000003</v>
      </c>
      <c r="CF25" s="230">
        <v>105835275</v>
      </c>
      <c r="CG25" s="230">
        <v>78574275</v>
      </c>
      <c r="CH25" s="230">
        <v>27261000</v>
      </c>
      <c r="CI25" s="229">
        <v>0.34689999999999999</v>
      </c>
      <c r="CJ25" s="230">
        <v>587925</v>
      </c>
      <c r="CK25" s="230">
        <v>520650</v>
      </c>
      <c r="CL25" s="230">
        <v>67275</v>
      </c>
      <c r="CM25" s="229">
        <v>0.12920000000000001</v>
      </c>
      <c r="CN25" s="230">
        <v>46653750</v>
      </c>
      <c r="CO25" s="230">
        <v>50810175</v>
      </c>
      <c r="CP25" s="230">
        <v>-4156425</v>
      </c>
      <c r="CQ25" s="229">
        <v>-8.1799999999999998E-2</v>
      </c>
      <c r="CR25" s="230">
        <v>39882375</v>
      </c>
      <c r="CS25" s="230">
        <v>36471825</v>
      </c>
      <c r="CT25" s="230">
        <v>3410550</v>
      </c>
      <c r="CU25" s="229">
        <v>9.35E-2</v>
      </c>
      <c r="CV25" s="230">
        <v>213998850</v>
      </c>
      <c r="CW25" s="230">
        <v>212328675</v>
      </c>
      <c r="CX25" s="230">
        <v>1670175</v>
      </c>
      <c r="CY25" s="229">
        <v>7.9000000000000008E-3</v>
      </c>
      <c r="CZ25" s="228">
        <v>27.53</v>
      </c>
      <c r="DA25" s="228">
        <v>25.78</v>
      </c>
      <c r="DB25" s="228">
        <v>1.75</v>
      </c>
      <c r="DC25" s="228">
        <v>1.75</v>
      </c>
      <c r="DD25" s="228">
        <v>35.22</v>
      </c>
      <c r="DE25" s="228">
        <v>35.130000000000003</v>
      </c>
      <c r="DF25" s="228">
        <v>-7.69</v>
      </c>
      <c r="DG25" s="228">
        <v>0.09</v>
      </c>
      <c r="DH25" s="228">
        <v>27.48</v>
      </c>
      <c r="DI25" s="228">
        <v>26.09</v>
      </c>
      <c r="DJ25" s="228">
        <v>1.39</v>
      </c>
      <c r="DK25" s="228">
        <v>1.39</v>
      </c>
      <c r="DL25" s="228">
        <v>27.62</v>
      </c>
      <c r="DM25" s="228">
        <v>25.28</v>
      </c>
      <c r="DN25" s="228">
        <v>2.34</v>
      </c>
      <c r="DO25" s="228">
        <v>2.34</v>
      </c>
      <c r="DP25" s="228">
        <v>0.85</v>
      </c>
      <c r="DQ25" s="228">
        <v>0.72</v>
      </c>
      <c r="DR25" s="228">
        <v>0.13</v>
      </c>
      <c r="DS25" s="229">
        <v>0.18060000000000001</v>
      </c>
      <c r="DT25" s="228">
        <v>280</v>
      </c>
      <c r="DU25" s="228">
        <v>250</v>
      </c>
      <c r="DV25" s="228">
        <v>0.48</v>
      </c>
      <c r="DW25" s="228">
        <v>0.5</v>
      </c>
      <c r="DX25" s="228">
        <v>-0.02</v>
      </c>
      <c r="DY25" s="229">
        <v>-0.04</v>
      </c>
      <c r="DZ25" s="229">
        <v>0.83489999999999998</v>
      </c>
      <c r="EA25" s="230">
        <v>79094925</v>
      </c>
      <c r="EB25" s="229">
        <v>7.3000000000000001E-3</v>
      </c>
      <c r="EC25" s="229">
        <v>0.83489999999999998</v>
      </c>
      <c r="ED25" s="228">
        <v>1.89</v>
      </c>
      <c r="EE25" s="229">
        <v>7.0000000000000001E-3</v>
      </c>
      <c r="EF25" s="230">
        <v>7481664</v>
      </c>
      <c r="EG25" s="230">
        <v>3786410</v>
      </c>
      <c r="EH25" s="229">
        <v>0.97589999999999999</v>
      </c>
      <c r="EI25" s="229">
        <v>0.59989999999999999</v>
      </c>
      <c r="EJ25" s="231">
        <v>266264.96999999997</v>
      </c>
      <c r="EK25" s="231">
        <v>123783.69</v>
      </c>
      <c r="EL25" s="231">
        <v>214482.91</v>
      </c>
      <c r="EM25" s="231">
        <v>18295</v>
      </c>
      <c r="EN25" s="231">
        <v>604531.56999999995</v>
      </c>
      <c r="EO25" s="231">
        <v>533177.79</v>
      </c>
      <c r="EP25" s="231">
        <v>71353.78</v>
      </c>
      <c r="EQ25" s="229">
        <v>0.1338</v>
      </c>
      <c r="ER25" s="231">
        <v>128126</v>
      </c>
      <c r="ES25" s="231">
        <v>104051</v>
      </c>
      <c r="ET25" s="231">
        <v>350366</v>
      </c>
      <c r="EU25" s="231">
        <v>257509827</v>
      </c>
      <c r="EV25" s="231">
        <v>582543</v>
      </c>
      <c r="EW25" s="231">
        <v>567558</v>
      </c>
      <c r="EX25" s="231">
        <v>14985</v>
      </c>
      <c r="EY25" s="229">
        <v>2.64E-2</v>
      </c>
      <c r="EZ25" s="229">
        <v>0.83099999999999996</v>
      </c>
      <c r="FA25" s="227" t="s">
        <v>555</v>
      </c>
      <c r="FB25" s="161">
        <f t="shared" si="0"/>
        <v>106423200</v>
      </c>
    </row>
    <row r="26" spans="1:158" ht="17.25" hidden="1" thickBot="1" x14ac:dyDescent="0.3">
      <c r="A26" s="226">
        <v>45957</v>
      </c>
      <c r="B26" s="227" t="s">
        <v>172</v>
      </c>
      <c r="C26" s="227" t="s">
        <v>602</v>
      </c>
      <c r="D26" s="228">
        <v>5200</v>
      </c>
      <c r="E26" s="228">
        <v>139.86000000000001</v>
      </c>
      <c r="F26" s="228">
        <v>133.75</v>
      </c>
      <c r="G26" s="228">
        <v>6.11</v>
      </c>
      <c r="H26" s="229">
        <v>4.5699999999999998E-2</v>
      </c>
      <c r="I26" s="228">
        <v>139.71</v>
      </c>
      <c r="J26" s="228">
        <v>133.9</v>
      </c>
      <c r="K26" s="228">
        <v>5.81</v>
      </c>
      <c r="L26" s="229">
        <v>4.3400000000000001E-2</v>
      </c>
      <c r="M26" s="228">
        <v>139.86000000000001</v>
      </c>
      <c r="N26" s="228">
        <v>133.75</v>
      </c>
      <c r="O26" s="228">
        <v>6.11</v>
      </c>
      <c r="P26" s="229">
        <v>4.5699999999999998E-2</v>
      </c>
      <c r="Q26" s="228">
        <v>140.94999999999999</v>
      </c>
      <c r="R26" s="228">
        <v>134.53</v>
      </c>
      <c r="S26" s="228">
        <v>6.42</v>
      </c>
      <c r="T26" s="229">
        <v>4.7699999999999999E-2</v>
      </c>
      <c r="U26" s="228">
        <v>141.86000000000001</v>
      </c>
      <c r="V26" s="228">
        <v>135.36000000000001</v>
      </c>
      <c r="W26" s="228">
        <v>6.5</v>
      </c>
      <c r="X26" s="229">
        <v>4.8000000000000001E-2</v>
      </c>
      <c r="Y26" s="228">
        <v>0.15</v>
      </c>
      <c r="Z26" s="228">
        <v>-0.15</v>
      </c>
      <c r="AA26" s="228">
        <v>0.3</v>
      </c>
      <c r="AB26" s="229">
        <v>1.1000000000000001E-3</v>
      </c>
      <c r="AC26" s="228">
        <v>0.15</v>
      </c>
      <c r="AD26" s="228">
        <v>-0.15</v>
      </c>
      <c r="AE26" s="228">
        <v>0.3</v>
      </c>
      <c r="AF26" s="229">
        <v>1.1000000000000001E-3</v>
      </c>
      <c r="AG26" s="228">
        <v>1.24</v>
      </c>
      <c r="AH26" s="228">
        <v>0.63</v>
      </c>
      <c r="AI26" s="228">
        <v>0.61</v>
      </c>
      <c r="AJ26" s="229">
        <v>8.8999999999999999E-3</v>
      </c>
      <c r="AK26" s="228">
        <v>2.15</v>
      </c>
      <c r="AL26" s="228">
        <v>1.46</v>
      </c>
      <c r="AM26" s="228">
        <v>0.69</v>
      </c>
      <c r="AN26" s="229">
        <v>1.54E-2</v>
      </c>
      <c r="AO26" s="228">
        <v>137.97999999999999</v>
      </c>
      <c r="AP26" s="228">
        <v>139.03</v>
      </c>
      <c r="AQ26" s="228">
        <v>0</v>
      </c>
      <c r="AR26" s="230">
        <v>60018400</v>
      </c>
      <c r="AS26" s="230">
        <v>50133200</v>
      </c>
      <c r="AT26" s="230">
        <v>9885200</v>
      </c>
      <c r="AU26" s="229">
        <v>0.19719999999999999</v>
      </c>
      <c r="AV26" s="230">
        <v>25048400</v>
      </c>
      <c r="AW26" s="230">
        <v>24882000</v>
      </c>
      <c r="AX26" s="230">
        <v>166400</v>
      </c>
      <c r="AY26" s="229">
        <v>6.7000000000000002E-3</v>
      </c>
      <c r="AZ26" s="230">
        <v>33904000</v>
      </c>
      <c r="BA26" s="230">
        <v>24923600</v>
      </c>
      <c r="BB26" s="230">
        <v>8980400</v>
      </c>
      <c r="BC26" s="229">
        <v>0.36030000000000001</v>
      </c>
      <c r="BD26" s="230">
        <v>1066000</v>
      </c>
      <c r="BE26" s="230">
        <v>327600</v>
      </c>
      <c r="BF26" s="230">
        <v>738400</v>
      </c>
      <c r="BG26" s="229">
        <v>2.254</v>
      </c>
      <c r="BH26" s="230">
        <v>89991200</v>
      </c>
      <c r="BI26" s="230">
        <v>31491200</v>
      </c>
      <c r="BJ26" s="230">
        <v>58500000</v>
      </c>
      <c r="BK26" s="229">
        <v>1.8576999999999999</v>
      </c>
      <c r="BL26" s="230">
        <v>28932800</v>
      </c>
      <c r="BM26" s="230">
        <v>23223200</v>
      </c>
      <c r="BN26" s="230">
        <v>5709600</v>
      </c>
      <c r="BO26" s="229">
        <v>0.24590000000000001</v>
      </c>
      <c r="BP26" s="230">
        <v>178942400</v>
      </c>
      <c r="BQ26" s="230">
        <v>104847600</v>
      </c>
      <c r="BR26" s="230">
        <v>74094800</v>
      </c>
      <c r="BS26" s="229">
        <v>0.70669999999999999</v>
      </c>
      <c r="BT26" s="230">
        <v>28221699</v>
      </c>
      <c r="BU26" s="230">
        <v>8642467</v>
      </c>
      <c r="BV26" s="230">
        <v>19579232</v>
      </c>
      <c r="BW26" s="229">
        <v>2.2654999999999998</v>
      </c>
      <c r="BX26" s="230">
        <v>69030000</v>
      </c>
      <c r="BY26" s="230">
        <v>68655600</v>
      </c>
      <c r="BZ26" s="230">
        <v>374400</v>
      </c>
      <c r="CA26" s="229">
        <v>5.4999999999999997E-3</v>
      </c>
      <c r="CB26" s="230">
        <v>8580000</v>
      </c>
      <c r="CC26" s="230">
        <v>22625200</v>
      </c>
      <c r="CD26" s="230">
        <v>-14045200</v>
      </c>
      <c r="CE26" s="229">
        <v>-0.62080000000000002</v>
      </c>
      <c r="CF26" s="230">
        <v>59545200</v>
      </c>
      <c r="CG26" s="230">
        <v>45338800</v>
      </c>
      <c r="CH26" s="230">
        <v>14206400</v>
      </c>
      <c r="CI26" s="229">
        <v>0.31330000000000002</v>
      </c>
      <c r="CJ26" s="230">
        <v>904800</v>
      </c>
      <c r="CK26" s="230">
        <v>691600</v>
      </c>
      <c r="CL26" s="230">
        <v>213200</v>
      </c>
      <c r="CM26" s="229">
        <v>0.30830000000000002</v>
      </c>
      <c r="CN26" s="230">
        <v>29000400</v>
      </c>
      <c r="CO26" s="230">
        <v>26728000</v>
      </c>
      <c r="CP26" s="230">
        <v>2272400</v>
      </c>
      <c r="CQ26" s="229">
        <v>8.5000000000000006E-2</v>
      </c>
      <c r="CR26" s="230">
        <v>28563600</v>
      </c>
      <c r="CS26" s="230">
        <v>24741600</v>
      </c>
      <c r="CT26" s="230">
        <v>3822000</v>
      </c>
      <c r="CU26" s="229">
        <v>0.1545</v>
      </c>
      <c r="CV26" s="230">
        <v>126594000</v>
      </c>
      <c r="CW26" s="230">
        <v>120125200</v>
      </c>
      <c r="CX26" s="230">
        <v>6468800</v>
      </c>
      <c r="CY26" s="229">
        <v>5.3900000000000003E-2</v>
      </c>
      <c r="CZ26" s="228">
        <v>29.28</v>
      </c>
      <c r="DA26" s="228">
        <v>26.63</v>
      </c>
      <c r="DB26" s="228">
        <v>2.65</v>
      </c>
      <c r="DC26" s="228">
        <v>2.65</v>
      </c>
      <c r="DD26" s="228">
        <v>40.36</v>
      </c>
      <c r="DE26" s="228">
        <v>40</v>
      </c>
      <c r="DF26" s="228">
        <v>-11.08</v>
      </c>
      <c r="DG26" s="228">
        <v>0.36</v>
      </c>
      <c r="DH26" s="228">
        <v>29.2</v>
      </c>
      <c r="DI26" s="228">
        <v>26.27</v>
      </c>
      <c r="DJ26" s="228">
        <v>2.93</v>
      </c>
      <c r="DK26" s="228">
        <v>2.93</v>
      </c>
      <c r="DL26" s="228">
        <v>29.5</v>
      </c>
      <c r="DM26" s="228">
        <v>27.04</v>
      </c>
      <c r="DN26" s="228">
        <v>2.46</v>
      </c>
      <c r="DO26" s="228">
        <v>2.46</v>
      </c>
      <c r="DP26" s="228">
        <v>0.98</v>
      </c>
      <c r="DQ26" s="228">
        <v>0.93</v>
      </c>
      <c r="DR26" s="228">
        <v>0.05</v>
      </c>
      <c r="DS26" s="229">
        <v>5.3800000000000001E-2</v>
      </c>
      <c r="DT26" s="228">
        <v>130</v>
      </c>
      <c r="DU26" s="228">
        <v>117.5</v>
      </c>
      <c r="DV26" s="228">
        <v>0.32</v>
      </c>
      <c r="DW26" s="228">
        <v>0.74</v>
      </c>
      <c r="DX26" s="228">
        <v>-0.42</v>
      </c>
      <c r="DY26" s="229">
        <v>-0.56759999999999999</v>
      </c>
      <c r="DZ26" s="229">
        <v>0.87570000000000003</v>
      </c>
      <c r="EA26" s="230">
        <v>46030400</v>
      </c>
      <c r="EB26" s="229">
        <v>7.7999999999999996E-3</v>
      </c>
      <c r="EC26" s="229">
        <v>0.87570000000000003</v>
      </c>
      <c r="ED26" s="228">
        <v>1.05</v>
      </c>
      <c r="EE26" s="229">
        <v>7.6E-3</v>
      </c>
      <c r="EF26" s="230">
        <v>13178159</v>
      </c>
      <c r="EG26" s="230">
        <v>4446290</v>
      </c>
      <c r="EH26" s="229">
        <v>1.9639</v>
      </c>
      <c r="EI26" s="229">
        <v>0.46700000000000003</v>
      </c>
      <c r="EJ26" s="231">
        <v>127237.72</v>
      </c>
      <c r="EK26" s="231">
        <v>39457.89</v>
      </c>
      <c r="EL26" s="231">
        <v>83185.929999999993</v>
      </c>
      <c r="EM26" s="231">
        <v>7763</v>
      </c>
      <c r="EN26" s="231">
        <v>249881.54</v>
      </c>
      <c r="EO26" s="231">
        <v>141617.01999999999</v>
      </c>
      <c r="EP26" s="231">
        <v>108264.52</v>
      </c>
      <c r="EQ26" s="229">
        <v>0.76449999999999996</v>
      </c>
      <c r="ER26" s="231">
        <v>39155</v>
      </c>
      <c r="ES26" s="231">
        <v>35816</v>
      </c>
      <c r="ET26" s="231">
        <v>97212</v>
      </c>
      <c r="EU26" s="231">
        <v>181770921</v>
      </c>
      <c r="EV26" s="231">
        <v>172183</v>
      </c>
      <c r="EW26" s="231">
        <v>158421</v>
      </c>
      <c r="EX26" s="231">
        <v>13762</v>
      </c>
      <c r="EY26" s="229">
        <v>8.6900000000000005E-2</v>
      </c>
      <c r="EZ26" s="229">
        <v>0.69640000000000002</v>
      </c>
      <c r="FA26" s="227" t="s">
        <v>555</v>
      </c>
      <c r="FB26" s="161">
        <f t="shared" si="0"/>
        <v>60450000</v>
      </c>
    </row>
    <row r="27" spans="1:158" ht="17.25" hidden="1" thickBot="1" x14ac:dyDescent="0.3">
      <c r="A27" s="226">
        <v>45957</v>
      </c>
      <c r="B27" s="227" t="s">
        <v>181</v>
      </c>
      <c r="C27" s="227" t="s">
        <v>182</v>
      </c>
      <c r="D27" s="228">
        <v>35</v>
      </c>
      <c r="E27" s="231">
        <v>58183.199999999997</v>
      </c>
      <c r="F27" s="231">
        <v>57703.199999999997</v>
      </c>
      <c r="G27" s="228">
        <v>480</v>
      </c>
      <c r="H27" s="229">
        <v>8.3000000000000001E-3</v>
      </c>
      <c r="I27" s="231">
        <v>58114.25</v>
      </c>
      <c r="J27" s="231">
        <v>57699.6</v>
      </c>
      <c r="K27" s="228">
        <v>414.65</v>
      </c>
      <c r="L27" s="229">
        <v>7.1999999999999998E-3</v>
      </c>
      <c r="M27" s="231">
        <v>58183.199999999997</v>
      </c>
      <c r="N27" s="231">
        <v>57703.199999999997</v>
      </c>
      <c r="O27" s="228">
        <v>480</v>
      </c>
      <c r="P27" s="229">
        <v>8.3000000000000001E-3</v>
      </c>
      <c r="Q27" s="231">
        <v>58501.599999999999</v>
      </c>
      <c r="R27" s="231">
        <v>58000.800000000003</v>
      </c>
      <c r="S27" s="228">
        <v>500.8</v>
      </c>
      <c r="T27" s="229">
        <v>8.6E-3</v>
      </c>
      <c r="U27" s="231">
        <v>58810.2</v>
      </c>
      <c r="V27" s="231">
        <v>58330.8</v>
      </c>
      <c r="W27" s="228">
        <v>479.4</v>
      </c>
      <c r="X27" s="229">
        <v>8.2000000000000007E-3</v>
      </c>
      <c r="Y27" s="228">
        <v>68.95</v>
      </c>
      <c r="Z27" s="228">
        <v>3.6</v>
      </c>
      <c r="AA27" s="228">
        <v>65.349999999999994</v>
      </c>
      <c r="AB27" s="229">
        <v>1.1999999999999999E-3</v>
      </c>
      <c r="AC27" s="228">
        <v>68.95</v>
      </c>
      <c r="AD27" s="228">
        <v>3.6</v>
      </c>
      <c r="AE27" s="228">
        <v>65.349999999999994</v>
      </c>
      <c r="AF27" s="229">
        <v>1.1999999999999999E-3</v>
      </c>
      <c r="AG27" s="228">
        <v>387.35</v>
      </c>
      <c r="AH27" s="228">
        <v>301.2</v>
      </c>
      <c r="AI27" s="228">
        <v>86.15</v>
      </c>
      <c r="AJ27" s="229">
        <v>6.7000000000000002E-3</v>
      </c>
      <c r="AK27" s="228">
        <v>695.95</v>
      </c>
      <c r="AL27" s="228">
        <v>631.20000000000005</v>
      </c>
      <c r="AM27" s="228">
        <v>64.75</v>
      </c>
      <c r="AN27" s="229">
        <v>1.2E-2</v>
      </c>
      <c r="AO27" s="231">
        <v>58114.879999999997</v>
      </c>
      <c r="AP27" s="231">
        <v>58412.09</v>
      </c>
      <c r="AQ27" s="228">
        <v>0</v>
      </c>
      <c r="AR27" s="230">
        <v>2268455</v>
      </c>
      <c r="AS27" s="230">
        <v>2078720</v>
      </c>
      <c r="AT27" s="230">
        <v>189735</v>
      </c>
      <c r="AU27" s="229">
        <v>9.1300000000000006E-2</v>
      </c>
      <c r="AV27" s="230">
        <v>1183455</v>
      </c>
      <c r="AW27" s="230">
        <v>1198540</v>
      </c>
      <c r="AX27" s="230">
        <v>-15085</v>
      </c>
      <c r="AY27" s="229">
        <v>-1.26E-2</v>
      </c>
      <c r="AZ27" s="230">
        <v>1033445</v>
      </c>
      <c r="BA27" s="230">
        <v>811300</v>
      </c>
      <c r="BB27" s="230">
        <v>222145</v>
      </c>
      <c r="BC27" s="229">
        <v>0.27379999999999999</v>
      </c>
      <c r="BD27" s="230">
        <v>51555</v>
      </c>
      <c r="BE27" s="230">
        <v>68880</v>
      </c>
      <c r="BF27" s="230">
        <v>-17325</v>
      </c>
      <c r="BG27" s="229">
        <v>-0.2515</v>
      </c>
      <c r="BH27" s="230">
        <v>332935960</v>
      </c>
      <c r="BI27" s="230">
        <v>233526580</v>
      </c>
      <c r="BJ27" s="230">
        <v>99409380</v>
      </c>
      <c r="BK27" s="229">
        <v>0.42570000000000002</v>
      </c>
      <c r="BL27" s="230">
        <v>304133795</v>
      </c>
      <c r="BM27" s="230">
        <v>241191825</v>
      </c>
      <c r="BN27" s="230">
        <v>62941970</v>
      </c>
      <c r="BO27" s="229">
        <v>0.26100000000000001</v>
      </c>
      <c r="BP27" s="230">
        <v>639338210</v>
      </c>
      <c r="BQ27" s="230">
        <v>476797125</v>
      </c>
      <c r="BR27" s="230">
        <v>162541085</v>
      </c>
      <c r="BS27" s="229">
        <v>0.34089999999999998</v>
      </c>
      <c r="BT27" s="228">
        <v>0</v>
      </c>
      <c r="BU27" s="228">
        <v>0</v>
      </c>
      <c r="BV27" s="228">
        <v>0</v>
      </c>
      <c r="BW27" s="229">
        <v>0</v>
      </c>
      <c r="BX27" s="230">
        <v>2408350</v>
      </c>
      <c r="BY27" s="230">
        <v>2248540</v>
      </c>
      <c r="BZ27" s="230">
        <v>159810</v>
      </c>
      <c r="CA27" s="229">
        <v>7.1099999999999997E-2</v>
      </c>
      <c r="CB27" s="230">
        <v>924280</v>
      </c>
      <c r="CC27" s="230">
        <v>1289645</v>
      </c>
      <c r="CD27" s="230">
        <v>-365365</v>
      </c>
      <c r="CE27" s="229">
        <v>-0.2833</v>
      </c>
      <c r="CF27" s="230">
        <v>1356075</v>
      </c>
      <c r="CG27" s="230">
        <v>842870</v>
      </c>
      <c r="CH27" s="230">
        <v>513205</v>
      </c>
      <c r="CI27" s="229">
        <v>0.6089</v>
      </c>
      <c r="CJ27" s="230">
        <v>127995</v>
      </c>
      <c r="CK27" s="230">
        <v>116025</v>
      </c>
      <c r="CL27" s="230">
        <v>11970</v>
      </c>
      <c r="CM27" s="229">
        <v>0.1032</v>
      </c>
      <c r="CN27" s="230">
        <v>28255830</v>
      </c>
      <c r="CO27" s="230">
        <v>31130345</v>
      </c>
      <c r="CP27" s="230">
        <v>-2874515</v>
      </c>
      <c r="CQ27" s="229">
        <v>-9.2299999999999993E-2</v>
      </c>
      <c r="CR27" s="230">
        <v>30628810</v>
      </c>
      <c r="CS27" s="230">
        <v>27542405</v>
      </c>
      <c r="CT27" s="230">
        <v>3086405</v>
      </c>
      <c r="CU27" s="229">
        <v>0.11210000000000001</v>
      </c>
      <c r="CV27" s="230">
        <v>61292990</v>
      </c>
      <c r="CW27" s="230">
        <v>60921290</v>
      </c>
      <c r="CX27" s="230">
        <v>371700</v>
      </c>
      <c r="CY27" s="229">
        <v>6.1000000000000004E-3</v>
      </c>
      <c r="CZ27" s="228">
        <v>12.09</v>
      </c>
      <c r="DA27" s="228">
        <v>11.46</v>
      </c>
      <c r="DB27" s="228">
        <v>0.63</v>
      </c>
      <c r="DC27" s="228">
        <v>0.63</v>
      </c>
      <c r="DD27" s="228">
        <v>17.05</v>
      </c>
      <c r="DE27" s="228">
        <v>17.07</v>
      </c>
      <c r="DF27" s="228">
        <v>-4.96</v>
      </c>
      <c r="DG27" s="228">
        <v>-0.02</v>
      </c>
      <c r="DH27" s="228">
        <v>11.37</v>
      </c>
      <c r="DI27" s="228">
        <v>11.06</v>
      </c>
      <c r="DJ27" s="228">
        <v>0.31</v>
      </c>
      <c r="DK27" s="228">
        <v>0.31</v>
      </c>
      <c r="DL27" s="228">
        <v>12.83</v>
      </c>
      <c r="DM27" s="228">
        <v>11.85</v>
      </c>
      <c r="DN27" s="228">
        <v>0.98</v>
      </c>
      <c r="DO27" s="228">
        <v>0.98</v>
      </c>
      <c r="DP27" s="228">
        <v>1.08</v>
      </c>
      <c r="DQ27" s="228">
        <v>0.88</v>
      </c>
      <c r="DR27" s="228">
        <v>0.2</v>
      </c>
      <c r="DS27" s="229">
        <v>0.2273</v>
      </c>
      <c r="DT27" s="231">
        <v>59000</v>
      </c>
      <c r="DU27" s="231">
        <v>58000</v>
      </c>
      <c r="DV27" s="228">
        <v>0.91</v>
      </c>
      <c r="DW27" s="228">
        <v>1.03</v>
      </c>
      <c r="DX27" s="228">
        <v>-0.12</v>
      </c>
      <c r="DY27" s="229">
        <v>-0.11650000000000001</v>
      </c>
      <c r="DZ27" s="229">
        <v>0.61619999999999997</v>
      </c>
      <c r="EA27" s="230">
        <v>958895</v>
      </c>
      <c r="EB27" s="229">
        <v>5.4999999999999997E-3</v>
      </c>
      <c r="EC27" s="229">
        <v>0.61619999999999997</v>
      </c>
      <c r="ED27" s="228">
        <v>297.20999999999998</v>
      </c>
      <c r="EE27" s="229">
        <v>5.1000000000000004E-3</v>
      </c>
      <c r="EF27" s="228">
        <v>0</v>
      </c>
      <c r="EG27" s="228">
        <v>0</v>
      </c>
      <c r="EH27" s="229">
        <v>0</v>
      </c>
      <c r="EI27" s="229">
        <v>0</v>
      </c>
      <c r="EJ27" s="231">
        <v>195645446.31</v>
      </c>
      <c r="EK27" s="231">
        <v>174702908.28999999</v>
      </c>
      <c r="EL27" s="231">
        <v>1321682.43</v>
      </c>
      <c r="EM27" s="228">
        <v>0</v>
      </c>
      <c r="EN27" s="231">
        <v>371670037.02999997</v>
      </c>
      <c r="EO27" s="231">
        <v>276452504.06999999</v>
      </c>
      <c r="EP27" s="231">
        <v>95217532.959999993</v>
      </c>
      <c r="EQ27" s="229">
        <v>0.34439999999999998</v>
      </c>
      <c r="ER27" s="231">
        <v>16580234</v>
      </c>
      <c r="ES27" s="231">
        <v>17151851</v>
      </c>
      <c r="ET27" s="231">
        <v>1406375</v>
      </c>
      <c r="EU27" s="228">
        <v>0</v>
      </c>
      <c r="EV27" s="231">
        <v>35138461</v>
      </c>
      <c r="EW27" s="231">
        <v>34867862</v>
      </c>
      <c r="EX27" s="231">
        <v>270599</v>
      </c>
      <c r="EY27" s="229">
        <v>7.7999999999999996E-3</v>
      </c>
      <c r="EZ27" s="229">
        <v>0</v>
      </c>
      <c r="FA27" s="227" t="s">
        <v>555</v>
      </c>
      <c r="FB27" s="161">
        <f t="shared" si="0"/>
        <v>1484070</v>
      </c>
    </row>
    <row r="28" spans="1:158" ht="17.25" hidden="1" thickBot="1" x14ac:dyDescent="0.3">
      <c r="A28" s="226">
        <v>45957</v>
      </c>
      <c r="B28" s="227" t="s">
        <v>184</v>
      </c>
      <c r="C28" s="227" t="s">
        <v>672</v>
      </c>
      <c r="D28" s="228">
        <v>325</v>
      </c>
      <c r="E28" s="231">
        <v>1537.8</v>
      </c>
      <c r="F28" s="231">
        <v>1542.3</v>
      </c>
      <c r="G28" s="228">
        <v>-4.5</v>
      </c>
      <c r="H28" s="229">
        <v>-2.8999999999999998E-3</v>
      </c>
      <c r="I28" s="231">
        <v>1537.8</v>
      </c>
      <c r="J28" s="231">
        <v>1544</v>
      </c>
      <c r="K28" s="228">
        <v>-6.2</v>
      </c>
      <c r="L28" s="229">
        <v>-4.0000000000000001E-3</v>
      </c>
      <c r="M28" s="231">
        <v>1537.8</v>
      </c>
      <c r="N28" s="231">
        <v>1542.3</v>
      </c>
      <c r="O28" s="228">
        <v>-4.5</v>
      </c>
      <c r="P28" s="229">
        <v>-2.8999999999999998E-3</v>
      </c>
      <c r="Q28" s="231">
        <v>1546.6</v>
      </c>
      <c r="R28" s="231">
        <v>1548.1</v>
      </c>
      <c r="S28" s="228">
        <v>-1.5</v>
      </c>
      <c r="T28" s="229">
        <v>-1E-3</v>
      </c>
      <c r="U28" s="231">
        <v>1557</v>
      </c>
      <c r="V28" s="231">
        <v>1557.5</v>
      </c>
      <c r="W28" s="228">
        <v>-0.5</v>
      </c>
      <c r="X28" s="229">
        <v>-2.9999999999999997E-4</v>
      </c>
      <c r="Y28" s="228">
        <v>0</v>
      </c>
      <c r="Z28" s="228">
        <v>-1.7</v>
      </c>
      <c r="AA28" s="228">
        <v>1.7</v>
      </c>
      <c r="AB28" s="229">
        <v>0</v>
      </c>
      <c r="AC28" s="228">
        <v>0</v>
      </c>
      <c r="AD28" s="228">
        <v>-1.7</v>
      </c>
      <c r="AE28" s="228">
        <v>1.7</v>
      </c>
      <c r="AF28" s="229">
        <v>0</v>
      </c>
      <c r="AG28" s="228">
        <v>8.8000000000000007</v>
      </c>
      <c r="AH28" s="228">
        <v>4.0999999999999996</v>
      </c>
      <c r="AI28" s="228">
        <v>4.7</v>
      </c>
      <c r="AJ28" s="229">
        <v>5.7000000000000002E-3</v>
      </c>
      <c r="AK28" s="228">
        <v>19.2</v>
      </c>
      <c r="AL28" s="228">
        <v>13.5</v>
      </c>
      <c r="AM28" s="228">
        <v>5.7</v>
      </c>
      <c r="AN28" s="229">
        <v>1.2500000000000001E-2</v>
      </c>
      <c r="AO28" s="231">
        <v>1544.49</v>
      </c>
      <c r="AP28" s="231">
        <v>1553.58</v>
      </c>
      <c r="AQ28" s="228">
        <v>0</v>
      </c>
      <c r="AR28" s="230">
        <v>3444350</v>
      </c>
      <c r="AS28" s="230">
        <v>5413525</v>
      </c>
      <c r="AT28" s="230">
        <v>-1969175</v>
      </c>
      <c r="AU28" s="229">
        <v>-0.36380000000000001</v>
      </c>
      <c r="AV28" s="230">
        <v>1558050</v>
      </c>
      <c r="AW28" s="230">
        <v>2643875</v>
      </c>
      <c r="AX28" s="230">
        <v>-1085825</v>
      </c>
      <c r="AY28" s="229">
        <v>-0.41070000000000001</v>
      </c>
      <c r="AZ28" s="230">
        <v>1846975</v>
      </c>
      <c r="BA28" s="230">
        <v>2716675</v>
      </c>
      <c r="BB28" s="230">
        <v>-869700</v>
      </c>
      <c r="BC28" s="229">
        <v>-0.3201</v>
      </c>
      <c r="BD28" s="230">
        <v>39325</v>
      </c>
      <c r="BE28" s="230">
        <v>52975</v>
      </c>
      <c r="BF28" s="230">
        <v>-13650</v>
      </c>
      <c r="BG28" s="229">
        <v>-0.25769999999999998</v>
      </c>
      <c r="BH28" s="230">
        <v>5270525</v>
      </c>
      <c r="BI28" s="230">
        <v>16033225</v>
      </c>
      <c r="BJ28" s="230">
        <v>-10762700</v>
      </c>
      <c r="BK28" s="229">
        <v>-0.67130000000000001</v>
      </c>
      <c r="BL28" s="230">
        <v>2636400</v>
      </c>
      <c r="BM28" s="230">
        <v>3617250</v>
      </c>
      <c r="BN28" s="230">
        <v>-980850</v>
      </c>
      <c r="BO28" s="229">
        <v>-0.2712</v>
      </c>
      <c r="BP28" s="230">
        <v>11351275</v>
      </c>
      <c r="BQ28" s="230">
        <v>25064000</v>
      </c>
      <c r="BR28" s="230">
        <v>-13712725</v>
      </c>
      <c r="BS28" s="229">
        <v>-0.54710000000000003</v>
      </c>
      <c r="BT28" s="230">
        <v>776718</v>
      </c>
      <c r="BU28" s="230">
        <v>2785867</v>
      </c>
      <c r="BV28" s="230">
        <v>-2009149</v>
      </c>
      <c r="BW28" s="229">
        <v>-0.72119999999999995</v>
      </c>
      <c r="BX28" s="230">
        <v>4472975</v>
      </c>
      <c r="BY28" s="230">
        <v>4840225</v>
      </c>
      <c r="BZ28" s="230">
        <v>-367250</v>
      </c>
      <c r="CA28" s="229">
        <v>-7.5899999999999995E-2</v>
      </c>
      <c r="CB28" s="230">
        <v>949000</v>
      </c>
      <c r="CC28" s="230">
        <v>1968850</v>
      </c>
      <c r="CD28" s="230">
        <v>-1019850</v>
      </c>
      <c r="CE28" s="229">
        <v>-0.51800000000000002</v>
      </c>
      <c r="CF28" s="230">
        <v>3406650</v>
      </c>
      <c r="CG28" s="230">
        <v>2769650</v>
      </c>
      <c r="CH28" s="230">
        <v>637000</v>
      </c>
      <c r="CI28" s="229">
        <v>0.23</v>
      </c>
      <c r="CJ28" s="230">
        <v>117325</v>
      </c>
      <c r="CK28" s="230">
        <v>101725</v>
      </c>
      <c r="CL28" s="230">
        <v>15600</v>
      </c>
      <c r="CM28" s="229">
        <v>0.15340000000000001</v>
      </c>
      <c r="CN28" s="230">
        <v>3070275</v>
      </c>
      <c r="CO28" s="230">
        <v>3769675</v>
      </c>
      <c r="CP28" s="230">
        <v>-699400</v>
      </c>
      <c r="CQ28" s="229">
        <v>-0.1855</v>
      </c>
      <c r="CR28" s="230">
        <v>2152150</v>
      </c>
      <c r="CS28" s="230">
        <v>2286375</v>
      </c>
      <c r="CT28" s="230">
        <v>-134225</v>
      </c>
      <c r="CU28" s="229">
        <v>-5.8700000000000002E-2</v>
      </c>
      <c r="CV28" s="230">
        <v>9695400</v>
      </c>
      <c r="CW28" s="230">
        <v>10896275</v>
      </c>
      <c r="CX28" s="230">
        <v>-1200875</v>
      </c>
      <c r="CY28" s="229">
        <v>-0.11020000000000001</v>
      </c>
      <c r="CZ28" s="228">
        <v>36.74</v>
      </c>
      <c r="DA28" s="228">
        <v>37.159999999999997</v>
      </c>
      <c r="DB28" s="228">
        <v>-0.42</v>
      </c>
      <c r="DC28" s="228">
        <v>-0.42</v>
      </c>
      <c r="DD28" s="228">
        <v>52.27</v>
      </c>
      <c r="DE28" s="228">
        <v>52.4</v>
      </c>
      <c r="DF28" s="228">
        <v>-15.53</v>
      </c>
      <c r="DG28" s="228">
        <v>-0.13</v>
      </c>
      <c r="DH28" s="228">
        <v>37</v>
      </c>
      <c r="DI28" s="228">
        <v>37.380000000000003</v>
      </c>
      <c r="DJ28" s="228">
        <v>-0.38</v>
      </c>
      <c r="DK28" s="228">
        <v>-0.38</v>
      </c>
      <c r="DL28" s="228">
        <v>36.26</v>
      </c>
      <c r="DM28" s="228">
        <v>36.5</v>
      </c>
      <c r="DN28" s="228">
        <v>-0.24</v>
      </c>
      <c r="DO28" s="228">
        <v>-0.24</v>
      </c>
      <c r="DP28" s="228">
        <v>0.7</v>
      </c>
      <c r="DQ28" s="228">
        <v>0.61</v>
      </c>
      <c r="DR28" s="228">
        <v>0.09</v>
      </c>
      <c r="DS28" s="229">
        <v>0.14749999999999999</v>
      </c>
      <c r="DT28" s="231">
        <v>1600</v>
      </c>
      <c r="DU28" s="231">
        <v>1400</v>
      </c>
      <c r="DV28" s="228">
        <v>0.5</v>
      </c>
      <c r="DW28" s="228">
        <v>0.23</v>
      </c>
      <c r="DX28" s="228">
        <v>0.27</v>
      </c>
      <c r="DY28" s="229">
        <v>1.1738999999999999</v>
      </c>
      <c r="DZ28" s="229">
        <v>0.78779999999999994</v>
      </c>
      <c r="EA28" s="230">
        <v>2871375</v>
      </c>
      <c r="EB28" s="229">
        <v>5.7000000000000002E-3</v>
      </c>
      <c r="EC28" s="229">
        <v>0.78779999999999994</v>
      </c>
      <c r="ED28" s="228">
        <v>9.09</v>
      </c>
      <c r="EE28" s="229">
        <v>5.8999999999999999E-3</v>
      </c>
      <c r="EF28" s="230">
        <v>243568</v>
      </c>
      <c r="EG28" s="230">
        <v>586603</v>
      </c>
      <c r="EH28" s="229">
        <v>-0.58479999999999999</v>
      </c>
      <c r="EI28" s="229">
        <v>0.31359999999999999</v>
      </c>
      <c r="EJ28" s="231">
        <v>84444.34</v>
      </c>
      <c r="EK28" s="231">
        <v>40252.93</v>
      </c>
      <c r="EL28" s="231">
        <v>53372.02</v>
      </c>
      <c r="EM28" s="231">
        <v>7272</v>
      </c>
      <c r="EN28" s="231">
        <v>178069.29</v>
      </c>
      <c r="EO28" s="231">
        <v>397371.49</v>
      </c>
      <c r="EP28" s="231">
        <v>-219302.2</v>
      </c>
      <c r="EQ28" s="229">
        <v>-0.55189999999999995</v>
      </c>
      <c r="ER28" s="231">
        <v>49444</v>
      </c>
      <c r="ES28" s="231">
        <v>32595</v>
      </c>
      <c r="ET28" s="231">
        <v>69108</v>
      </c>
      <c r="EU28" s="231">
        <v>13786716</v>
      </c>
      <c r="EV28" s="231">
        <v>151146</v>
      </c>
      <c r="EW28" s="231">
        <v>170129</v>
      </c>
      <c r="EX28" s="231">
        <v>-18983</v>
      </c>
      <c r="EY28" s="229">
        <v>-0.1116</v>
      </c>
      <c r="EZ28" s="229">
        <v>0.70320000000000005</v>
      </c>
      <c r="FA28" s="227" t="s">
        <v>568</v>
      </c>
      <c r="FB28" s="161">
        <f t="shared" si="0"/>
        <v>3523975</v>
      </c>
    </row>
    <row r="29" spans="1:158" ht="17.25" thickBot="1" x14ac:dyDescent="0.3">
      <c r="A29" s="226">
        <v>45957</v>
      </c>
      <c r="B29" s="227" t="s">
        <v>184</v>
      </c>
      <c r="C29" s="227" t="s">
        <v>185</v>
      </c>
      <c r="D29" s="228">
        <v>2850</v>
      </c>
      <c r="E29" s="228">
        <v>414.85</v>
      </c>
      <c r="F29" s="228">
        <v>421.55</v>
      </c>
      <c r="G29" s="228">
        <v>-6.7</v>
      </c>
      <c r="H29" s="229">
        <v>-1.5900000000000001E-2</v>
      </c>
      <c r="I29" s="228">
        <v>415.15</v>
      </c>
      <c r="J29" s="228">
        <v>422.05</v>
      </c>
      <c r="K29" s="228">
        <v>-6.9</v>
      </c>
      <c r="L29" s="229">
        <v>-1.6299999999999999E-2</v>
      </c>
      <c r="M29" s="228">
        <v>414.85</v>
      </c>
      <c r="N29" s="228">
        <v>421.55</v>
      </c>
      <c r="O29" s="228">
        <v>-6.7</v>
      </c>
      <c r="P29" s="229">
        <v>-1.5900000000000001E-2</v>
      </c>
      <c r="Q29" s="228">
        <v>417.1</v>
      </c>
      <c r="R29" s="228">
        <v>423.8</v>
      </c>
      <c r="S29" s="228">
        <v>-6.7</v>
      </c>
      <c r="T29" s="229">
        <v>-1.5800000000000002E-2</v>
      </c>
      <c r="U29" s="228">
        <v>419.95</v>
      </c>
      <c r="V29" s="228">
        <v>426.7</v>
      </c>
      <c r="W29" s="228">
        <v>-6.75</v>
      </c>
      <c r="X29" s="229">
        <v>-1.5800000000000002E-2</v>
      </c>
      <c r="Y29" s="228">
        <v>-0.3</v>
      </c>
      <c r="Z29" s="228">
        <v>-0.5</v>
      </c>
      <c r="AA29" s="228">
        <v>0.2</v>
      </c>
      <c r="AB29" s="229">
        <v>-6.9999999999999999E-4</v>
      </c>
      <c r="AC29" s="228">
        <v>-0.3</v>
      </c>
      <c r="AD29" s="228">
        <v>-0.5</v>
      </c>
      <c r="AE29" s="228">
        <v>0.2</v>
      </c>
      <c r="AF29" s="229">
        <v>-6.9999999999999999E-4</v>
      </c>
      <c r="AG29" s="228">
        <v>1.95</v>
      </c>
      <c r="AH29" s="228">
        <v>1.75</v>
      </c>
      <c r="AI29" s="228">
        <v>0.2</v>
      </c>
      <c r="AJ29" s="229">
        <v>4.7000000000000002E-3</v>
      </c>
      <c r="AK29" s="228">
        <v>4.8</v>
      </c>
      <c r="AL29" s="228">
        <v>4.6500000000000004</v>
      </c>
      <c r="AM29" s="228">
        <v>0.15</v>
      </c>
      <c r="AN29" s="229">
        <v>1.1599999999999999E-2</v>
      </c>
      <c r="AO29" s="228">
        <v>416.27</v>
      </c>
      <c r="AP29" s="228">
        <v>418.61</v>
      </c>
      <c r="AQ29" s="228">
        <v>0</v>
      </c>
      <c r="AR29" s="230">
        <v>78298050</v>
      </c>
      <c r="AS29" s="230">
        <v>79383900</v>
      </c>
      <c r="AT29" s="230">
        <v>-1085850</v>
      </c>
      <c r="AU29" s="229">
        <v>-1.37E-2</v>
      </c>
      <c r="AV29" s="230">
        <v>34103100</v>
      </c>
      <c r="AW29" s="230">
        <v>39968400</v>
      </c>
      <c r="AX29" s="230">
        <v>-5865300</v>
      </c>
      <c r="AY29" s="229">
        <v>-0.1467</v>
      </c>
      <c r="AZ29" s="230">
        <v>42579000</v>
      </c>
      <c r="BA29" s="230">
        <v>38569050</v>
      </c>
      <c r="BB29" s="230">
        <v>4009950</v>
      </c>
      <c r="BC29" s="229">
        <v>0.104</v>
      </c>
      <c r="BD29" s="230">
        <v>1615950</v>
      </c>
      <c r="BE29" s="230">
        <v>846450</v>
      </c>
      <c r="BF29" s="230">
        <v>769500</v>
      </c>
      <c r="BG29" s="229">
        <v>0.90910000000000002</v>
      </c>
      <c r="BH29" s="230">
        <v>116644800</v>
      </c>
      <c r="BI29" s="230">
        <v>130931850</v>
      </c>
      <c r="BJ29" s="230">
        <v>-14287050</v>
      </c>
      <c r="BK29" s="229">
        <v>-0.1091</v>
      </c>
      <c r="BL29" s="230">
        <v>56900250</v>
      </c>
      <c r="BM29" s="230">
        <v>54708600</v>
      </c>
      <c r="BN29" s="230">
        <v>2191650</v>
      </c>
      <c r="BO29" s="229">
        <v>4.0099999999999997E-2</v>
      </c>
      <c r="BP29" s="230">
        <v>251843100</v>
      </c>
      <c r="BQ29" s="230">
        <v>265024350</v>
      </c>
      <c r="BR29" s="230">
        <v>-13181250</v>
      </c>
      <c r="BS29" s="229">
        <v>-4.9700000000000001E-2</v>
      </c>
      <c r="BT29" s="230">
        <v>12923429</v>
      </c>
      <c r="BU29" s="230">
        <v>19481525</v>
      </c>
      <c r="BV29" s="230">
        <v>-6558096</v>
      </c>
      <c r="BW29" s="229">
        <v>-0.33660000000000001</v>
      </c>
      <c r="BX29" s="230">
        <v>116160300</v>
      </c>
      <c r="BY29" s="230">
        <v>112760250</v>
      </c>
      <c r="BZ29" s="230">
        <v>3400050</v>
      </c>
      <c r="CA29" s="229">
        <v>3.0200000000000001E-2</v>
      </c>
      <c r="CB29" s="230">
        <v>19251750</v>
      </c>
      <c r="CC29" s="230">
        <v>45833700</v>
      </c>
      <c r="CD29" s="230">
        <v>-26581950</v>
      </c>
      <c r="CE29" s="229">
        <v>-0.57999999999999996</v>
      </c>
      <c r="CF29" s="230">
        <v>93782100</v>
      </c>
      <c r="CG29" s="230">
        <v>64817550</v>
      </c>
      <c r="CH29" s="230">
        <v>28964550</v>
      </c>
      <c r="CI29" s="229">
        <v>0.44690000000000002</v>
      </c>
      <c r="CJ29" s="230">
        <v>3126450</v>
      </c>
      <c r="CK29" s="230">
        <v>2109000</v>
      </c>
      <c r="CL29" s="230">
        <v>1017450</v>
      </c>
      <c r="CM29" s="229">
        <v>0.4824</v>
      </c>
      <c r="CN29" s="230">
        <v>62030250</v>
      </c>
      <c r="CO29" s="230">
        <v>64170600</v>
      </c>
      <c r="CP29" s="230">
        <v>-2140350</v>
      </c>
      <c r="CQ29" s="229">
        <v>-3.3399999999999999E-2</v>
      </c>
      <c r="CR29" s="230">
        <v>43992600</v>
      </c>
      <c r="CS29" s="230">
        <v>43066350</v>
      </c>
      <c r="CT29" s="230">
        <v>926250</v>
      </c>
      <c r="CU29" s="229">
        <v>2.1499999999999998E-2</v>
      </c>
      <c r="CV29" s="230">
        <v>222183150</v>
      </c>
      <c r="CW29" s="230">
        <v>219997200</v>
      </c>
      <c r="CX29" s="230">
        <v>2185950</v>
      </c>
      <c r="CY29" s="229">
        <v>9.9000000000000008E-3</v>
      </c>
      <c r="CZ29" s="228">
        <v>29.33</v>
      </c>
      <c r="DA29" s="228">
        <v>28.28</v>
      </c>
      <c r="DB29" s="228">
        <v>1.05</v>
      </c>
      <c r="DC29" s="228">
        <v>1.05</v>
      </c>
      <c r="DD29" s="228">
        <v>37.200000000000003</v>
      </c>
      <c r="DE29" s="228">
        <v>37.22</v>
      </c>
      <c r="DF29" s="228">
        <v>-7.87</v>
      </c>
      <c r="DG29" s="228">
        <v>-0.02</v>
      </c>
      <c r="DH29" s="228">
        <v>29.83</v>
      </c>
      <c r="DI29" s="228">
        <v>28.42</v>
      </c>
      <c r="DJ29" s="228">
        <v>1.41</v>
      </c>
      <c r="DK29" s="228">
        <v>1.41</v>
      </c>
      <c r="DL29" s="228">
        <v>28.56</v>
      </c>
      <c r="DM29" s="228">
        <v>28.01</v>
      </c>
      <c r="DN29" s="228">
        <v>0.55000000000000004</v>
      </c>
      <c r="DO29" s="228">
        <v>0.55000000000000004</v>
      </c>
      <c r="DP29" s="228">
        <v>0.71</v>
      </c>
      <c r="DQ29" s="228">
        <v>0.67</v>
      </c>
      <c r="DR29" s="228">
        <v>0.04</v>
      </c>
      <c r="DS29" s="229">
        <v>5.9700000000000003E-2</v>
      </c>
      <c r="DT29" s="228">
        <v>420</v>
      </c>
      <c r="DU29" s="228">
        <v>400</v>
      </c>
      <c r="DV29" s="228">
        <v>0.49</v>
      </c>
      <c r="DW29" s="228">
        <v>0.42</v>
      </c>
      <c r="DX29" s="228">
        <v>7.0000000000000007E-2</v>
      </c>
      <c r="DY29" s="229">
        <v>0.16669999999999999</v>
      </c>
      <c r="DZ29" s="229">
        <v>0.83430000000000004</v>
      </c>
      <c r="EA29" s="230">
        <v>66926550</v>
      </c>
      <c r="EB29" s="229">
        <v>5.4000000000000003E-3</v>
      </c>
      <c r="EC29" s="229">
        <v>0.83430000000000004</v>
      </c>
      <c r="ED29" s="228">
        <v>2.34</v>
      </c>
      <c r="EE29" s="229">
        <v>5.5999999999999999E-3</v>
      </c>
      <c r="EF29" s="230">
        <v>7034566</v>
      </c>
      <c r="EG29" s="230">
        <v>11714521</v>
      </c>
      <c r="EH29" s="229">
        <v>-0.39950000000000002</v>
      </c>
      <c r="EI29" s="229">
        <v>0.54430000000000001</v>
      </c>
      <c r="EJ29" s="231">
        <v>501523.17</v>
      </c>
      <c r="EK29" s="231">
        <v>236605.66</v>
      </c>
      <c r="EL29" s="231">
        <v>327018.48</v>
      </c>
      <c r="EM29" s="231">
        <v>15111</v>
      </c>
      <c r="EN29" s="231">
        <v>1065147.31</v>
      </c>
      <c r="EO29" s="231">
        <v>1130522.32</v>
      </c>
      <c r="EP29" s="231">
        <v>-65375.01</v>
      </c>
      <c r="EQ29" s="229">
        <v>-5.7799999999999997E-2</v>
      </c>
      <c r="ER29" s="231">
        <v>266164</v>
      </c>
      <c r="ES29" s="231">
        <v>176268</v>
      </c>
      <c r="ET29" s="231">
        <v>484161</v>
      </c>
      <c r="EU29" s="231">
        <v>535778534</v>
      </c>
      <c r="EV29" s="231">
        <v>926592</v>
      </c>
      <c r="EW29" s="231">
        <v>925313</v>
      </c>
      <c r="EX29" s="231">
        <v>1279</v>
      </c>
      <c r="EY29" s="229">
        <v>1.4E-3</v>
      </c>
      <c r="EZ29" s="229">
        <v>0.41470000000000001</v>
      </c>
      <c r="FA29" s="227" t="s">
        <v>567</v>
      </c>
      <c r="FB29" s="161">
        <f t="shared" si="0"/>
        <v>96908550</v>
      </c>
    </row>
    <row r="30" spans="1:158" ht="17.25" hidden="1" thickBot="1" x14ac:dyDescent="0.3">
      <c r="A30" s="226">
        <v>45957</v>
      </c>
      <c r="B30" s="227" t="s">
        <v>162</v>
      </c>
      <c r="C30" s="227" t="s">
        <v>187</v>
      </c>
      <c r="D30" s="228">
        <v>500</v>
      </c>
      <c r="E30" s="231">
        <v>1303.7</v>
      </c>
      <c r="F30" s="231">
        <v>1281.8</v>
      </c>
      <c r="G30" s="228">
        <v>21.9</v>
      </c>
      <c r="H30" s="229">
        <v>1.7100000000000001E-2</v>
      </c>
      <c r="I30" s="231">
        <v>1301.4000000000001</v>
      </c>
      <c r="J30" s="231">
        <v>1283.9000000000001</v>
      </c>
      <c r="K30" s="228">
        <v>17.5</v>
      </c>
      <c r="L30" s="229">
        <v>1.3599999999999999E-2</v>
      </c>
      <c r="M30" s="231">
        <v>1303.7</v>
      </c>
      <c r="N30" s="231">
        <v>1281.8</v>
      </c>
      <c r="O30" s="228">
        <v>21.9</v>
      </c>
      <c r="P30" s="229">
        <v>1.7100000000000001E-2</v>
      </c>
      <c r="Q30" s="231">
        <v>1295.2</v>
      </c>
      <c r="R30" s="231">
        <v>1273.5999999999999</v>
      </c>
      <c r="S30" s="228">
        <v>21.6</v>
      </c>
      <c r="T30" s="229">
        <v>1.7000000000000001E-2</v>
      </c>
      <c r="U30" s="231">
        <v>1289.7</v>
      </c>
      <c r="V30" s="231">
        <v>1270.9000000000001</v>
      </c>
      <c r="W30" s="228">
        <v>18.8</v>
      </c>
      <c r="X30" s="229">
        <v>1.4800000000000001E-2</v>
      </c>
      <c r="Y30" s="228">
        <v>2.2999999999999998</v>
      </c>
      <c r="Z30" s="228">
        <v>-2.1</v>
      </c>
      <c r="AA30" s="228">
        <v>4.4000000000000004</v>
      </c>
      <c r="AB30" s="229">
        <v>1.8E-3</v>
      </c>
      <c r="AC30" s="228">
        <v>2.2999999999999998</v>
      </c>
      <c r="AD30" s="228">
        <v>-2.1</v>
      </c>
      <c r="AE30" s="228">
        <v>4.4000000000000004</v>
      </c>
      <c r="AF30" s="229">
        <v>1.8E-3</v>
      </c>
      <c r="AG30" s="228">
        <v>-6.2</v>
      </c>
      <c r="AH30" s="228">
        <v>-10.3</v>
      </c>
      <c r="AI30" s="228">
        <v>4.0999999999999996</v>
      </c>
      <c r="AJ30" s="229">
        <v>-4.7999999999999996E-3</v>
      </c>
      <c r="AK30" s="228">
        <v>-11.7</v>
      </c>
      <c r="AL30" s="228">
        <v>-13</v>
      </c>
      <c r="AM30" s="228">
        <v>1.3</v>
      </c>
      <c r="AN30" s="229">
        <v>-8.9999999999999993E-3</v>
      </c>
      <c r="AO30" s="231">
        <v>1301.3399999999999</v>
      </c>
      <c r="AP30" s="231">
        <v>1295.81</v>
      </c>
      <c r="AQ30" s="228">
        <v>0</v>
      </c>
      <c r="AR30" s="230">
        <v>7671500</v>
      </c>
      <c r="AS30" s="230">
        <v>8987000</v>
      </c>
      <c r="AT30" s="230">
        <v>-1315500</v>
      </c>
      <c r="AU30" s="229">
        <v>-0.1464</v>
      </c>
      <c r="AV30" s="230">
        <v>3716500</v>
      </c>
      <c r="AW30" s="230">
        <v>4408000</v>
      </c>
      <c r="AX30" s="230">
        <v>-691500</v>
      </c>
      <c r="AY30" s="229">
        <v>-0.15690000000000001</v>
      </c>
      <c r="AZ30" s="230">
        <v>3871500</v>
      </c>
      <c r="BA30" s="230">
        <v>4507500</v>
      </c>
      <c r="BB30" s="230">
        <v>-636000</v>
      </c>
      <c r="BC30" s="229">
        <v>-0.1411</v>
      </c>
      <c r="BD30" s="230">
        <v>83500</v>
      </c>
      <c r="BE30" s="230">
        <v>71500</v>
      </c>
      <c r="BF30" s="230">
        <v>12000</v>
      </c>
      <c r="BG30" s="229">
        <v>0.1678</v>
      </c>
      <c r="BH30" s="230">
        <v>5401500</v>
      </c>
      <c r="BI30" s="230">
        <v>9538000</v>
      </c>
      <c r="BJ30" s="230">
        <v>-4136500</v>
      </c>
      <c r="BK30" s="229">
        <v>-0.43369999999999997</v>
      </c>
      <c r="BL30" s="230">
        <v>2796500</v>
      </c>
      <c r="BM30" s="230">
        <v>6019500</v>
      </c>
      <c r="BN30" s="230">
        <v>-3223000</v>
      </c>
      <c r="BO30" s="229">
        <v>-0.53539999999999999</v>
      </c>
      <c r="BP30" s="230">
        <v>15869500</v>
      </c>
      <c r="BQ30" s="230">
        <v>24544500</v>
      </c>
      <c r="BR30" s="230">
        <v>-8675000</v>
      </c>
      <c r="BS30" s="229">
        <v>-0.35339999999999999</v>
      </c>
      <c r="BT30" s="230">
        <v>649401</v>
      </c>
      <c r="BU30" s="230">
        <v>914937</v>
      </c>
      <c r="BV30" s="230">
        <v>-265536</v>
      </c>
      <c r="BW30" s="229">
        <v>-0.29020000000000001</v>
      </c>
      <c r="BX30" s="230">
        <v>10004500</v>
      </c>
      <c r="BY30" s="230">
        <v>10443500</v>
      </c>
      <c r="BZ30" s="230">
        <v>-439000</v>
      </c>
      <c r="CA30" s="229">
        <v>-4.2000000000000003E-2</v>
      </c>
      <c r="CB30" s="230">
        <v>1002000</v>
      </c>
      <c r="CC30" s="230">
        <v>3140000</v>
      </c>
      <c r="CD30" s="230">
        <v>-2138000</v>
      </c>
      <c r="CE30" s="229">
        <v>-0.68089999999999995</v>
      </c>
      <c r="CF30" s="230">
        <v>8821000</v>
      </c>
      <c r="CG30" s="230">
        <v>7134500</v>
      </c>
      <c r="CH30" s="230">
        <v>1686500</v>
      </c>
      <c r="CI30" s="229">
        <v>0.2364</v>
      </c>
      <c r="CJ30" s="230">
        <v>181500</v>
      </c>
      <c r="CK30" s="230">
        <v>169000</v>
      </c>
      <c r="CL30" s="230">
        <v>12500</v>
      </c>
      <c r="CM30" s="229">
        <v>7.3999999999999996E-2</v>
      </c>
      <c r="CN30" s="230">
        <v>3837000</v>
      </c>
      <c r="CO30" s="230">
        <v>3991000</v>
      </c>
      <c r="CP30" s="230">
        <v>-154000</v>
      </c>
      <c r="CQ30" s="229">
        <v>-3.8600000000000002E-2</v>
      </c>
      <c r="CR30" s="230">
        <v>2814500</v>
      </c>
      <c r="CS30" s="230">
        <v>2858500</v>
      </c>
      <c r="CT30" s="230">
        <v>-44000</v>
      </c>
      <c r="CU30" s="229">
        <v>-1.54E-2</v>
      </c>
      <c r="CV30" s="230">
        <v>16656000</v>
      </c>
      <c r="CW30" s="230">
        <v>17293000</v>
      </c>
      <c r="CX30" s="230">
        <v>-637000</v>
      </c>
      <c r="CY30" s="229">
        <v>-3.6799999999999999E-2</v>
      </c>
      <c r="CZ30" s="228">
        <v>32.93</v>
      </c>
      <c r="DA30" s="228">
        <v>32.83</v>
      </c>
      <c r="DB30" s="228">
        <v>0.1</v>
      </c>
      <c r="DC30" s="228">
        <v>0.1</v>
      </c>
      <c r="DD30" s="228">
        <v>38.76</v>
      </c>
      <c r="DE30" s="228">
        <v>38.79</v>
      </c>
      <c r="DF30" s="228">
        <v>-5.83</v>
      </c>
      <c r="DG30" s="228">
        <v>-0.03</v>
      </c>
      <c r="DH30" s="228">
        <v>33</v>
      </c>
      <c r="DI30" s="228">
        <v>33.119999999999997</v>
      </c>
      <c r="DJ30" s="228">
        <v>-0.12</v>
      </c>
      <c r="DK30" s="228">
        <v>-0.12</v>
      </c>
      <c r="DL30" s="228">
        <v>32.71</v>
      </c>
      <c r="DM30" s="228">
        <v>32.049999999999997</v>
      </c>
      <c r="DN30" s="228">
        <v>0.66</v>
      </c>
      <c r="DO30" s="228">
        <v>0.66</v>
      </c>
      <c r="DP30" s="228">
        <v>0.73</v>
      </c>
      <c r="DQ30" s="228">
        <v>0.72</v>
      </c>
      <c r="DR30" s="228">
        <v>0.01</v>
      </c>
      <c r="DS30" s="229">
        <v>1.3899999999999999E-2</v>
      </c>
      <c r="DT30" s="231">
        <v>1300</v>
      </c>
      <c r="DU30" s="231">
        <v>1300</v>
      </c>
      <c r="DV30" s="228">
        <v>0.52</v>
      </c>
      <c r="DW30" s="228">
        <v>0.63</v>
      </c>
      <c r="DX30" s="228">
        <v>-0.11</v>
      </c>
      <c r="DY30" s="229">
        <v>-0.17460000000000001</v>
      </c>
      <c r="DZ30" s="229">
        <v>0.89980000000000004</v>
      </c>
      <c r="EA30" s="230">
        <v>7303500</v>
      </c>
      <c r="EB30" s="229">
        <v>-6.4999999999999997E-3</v>
      </c>
      <c r="EC30" s="229">
        <v>0.89980000000000004</v>
      </c>
      <c r="ED30" s="228">
        <v>-5.53</v>
      </c>
      <c r="EE30" s="229">
        <v>-4.1999999999999997E-3</v>
      </c>
      <c r="EF30" s="230">
        <v>343905</v>
      </c>
      <c r="EG30" s="230">
        <v>338972</v>
      </c>
      <c r="EH30" s="229">
        <v>1.46E-2</v>
      </c>
      <c r="EI30" s="229">
        <v>0.52959999999999996</v>
      </c>
      <c r="EJ30" s="231">
        <v>72489.179999999993</v>
      </c>
      <c r="EK30" s="231">
        <v>35395.129999999997</v>
      </c>
      <c r="EL30" s="231">
        <v>99609.78</v>
      </c>
      <c r="EM30" s="231">
        <v>12689</v>
      </c>
      <c r="EN30" s="231">
        <v>207494.09</v>
      </c>
      <c r="EO30" s="231">
        <v>320299.98</v>
      </c>
      <c r="EP30" s="231">
        <v>-112805.89</v>
      </c>
      <c r="EQ30" s="229">
        <v>-0.35220000000000001</v>
      </c>
      <c r="ER30" s="231">
        <v>50601</v>
      </c>
      <c r="ES30" s="231">
        <v>34361</v>
      </c>
      <c r="ET30" s="231">
        <v>129653</v>
      </c>
      <c r="EU30" s="231">
        <v>35155737</v>
      </c>
      <c r="EV30" s="231">
        <v>214615</v>
      </c>
      <c r="EW30" s="231">
        <v>220454</v>
      </c>
      <c r="EX30" s="231">
        <v>-5839</v>
      </c>
      <c r="EY30" s="229">
        <v>-2.6499999999999999E-2</v>
      </c>
      <c r="EZ30" s="229">
        <v>0.4738</v>
      </c>
      <c r="FA30" s="227" t="s">
        <v>556</v>
      </c>
      <c r="FB30" s="161">
        <f t="shared" si="0"/>
        <v>9002500</v>
      </c>
    </row>
    <row r="31" spans="1:158" ht="17.25" hidden="1" thickBot="1" x14ac:dyDescent="0.3">
      <c r="A31" s="226">
        <v>45957</v>
      </c>
      <c r="B31" s="227" t="s">
        <v>188</v>
      </c>
      <c r="C31" s="227" t="s">
        <v>189</v>
      </c>
      <c r="D31" s="228">
        <v>475</v>
      </c>
      <c r="E31" s="231">
        <v>2076.6</v>
      </c>
      <c r="F31" s="231">
        <v>2026.6</v>
      </c>
      <c r="G31" s="228">
        <v>50</v>
      </c>
      <c r="H31" s="229">
        <v>2.47E-2</v>
      </c>
      <c r="I31" s="231">
        <v>2080.1</v>
      </c>
      <c r="J31" s="231">
        <v>2029.3</v>
      </c>
      <c r="K31" s="228">
        <v>50.8</v>
      </c>
      <c r="L31" s="229">
        <v>2.5000000000000001E-2</v>
      </c>
      <c r="M31" s="231">
        <v>2076.6</v>
      </c>
      <c r="N31" s="231">
        <v>2026.6</v>
      </c>
      <c r="O31" s="228">
        <v>50</v>
      </c>
      <c r="P31" s="229">
        <v>2.47E-2</v>
      </c>
      <c r="Q31" s="231">
        <v>2088.6</v>
      </c>
      <c r="R31" s="231">
        <v>2038.5</v>
      </c>
      <c r="S31" s="228">
        <v>50.1</v>
      </c>
      <c r="T31" s="229">
        <v>2.46E-2</v>
      </c>
      <c r="U31" s="231">
        <v>2102.8000000000002</v>
      </c>
      <c r="V31" s="231">
        <v>2051.1999999999998</v>
      </c>
      <c r="W31" s="228">
        <v>51.6</v>
      </c>
      <c r="X31" s="229">
        <v>2.52E-2</v>
      </c>
      <c r="Y31" s="228">
        <v>-3.5</v>
      </c>
      <c r="Z31" s="228">
        <v>-2.7</v>
      </c>
      <c r="AA31" s="228">
        <v>-0.8</v>
      </c>
      <c r="AB31" s="229">
        <v>-1.6999999999999999E-3</v>
      </c>
      <c r="AC31" s="228">
        <v>-3.5</v>
      </c>
      <c r="AD31" s="228">
        <v>-2.7</v>
      </c>
      <c r="AE31" s="228">
        <v>-0.8</v>
      </c>
      <c r="AF31" s="229">
        <v>-1.6999999999999999E-3</v>
      </c>
      <c r="AG31" s="228">
        <v>8.5</v>
      </c>
      <c r="AH31" s="228">
        <v>9.1999999999999993</v>
      </c>
      <c r="AI31" s="228">
        <v>-0.7</v>
      </c>
      <c r="AJ31" s="229">
        <v>4.1000000000000003E-3</v>
      </c>
      <c r="AK31" s="228">
        <v>22.7</v>
      </c>
      <c r="AL31" s="228">
        <v>21.9</v>
      </c>
      <c r="AM31" s="228">
        <v>0.8</v>
      </c>
      <c r="AN31" s="229">
        <v>1.09E-2</v>
      </c>
      <c r="AO31" s="231">
        <v>2075.02</v>
      </c>
      <c r="AP31" s="231">
        <v>2087.02</v>
      </c>
      <c r="AQ31" s="228">
        <v>0</v>
      </c>
      <c r="AR31" s="230">
        <v>30605675</v>
      </c>
      <c r="AS31" s="230">
        <v>27233650</v>
      </c>
      <c r="AT31" s="230">
        <v>3372025</v>
      </c>
      <c r="AU31" s="229">
        <v>0.12379999999999999</v>
      </c>
      <c r="AV31" s="230">
        <v>14266150</v>
      </c>
      <c r="AW31" s="230">
        <v>14264250</v>
      </c>
      <c r="AX31" s="230">
        <v>1900</v>
      </c>
      <c r="AY31" s="229">
        <v>1E-4</v>
      </c>
      <c r="AZ31" s="230">
        <v>16167100</v>
      </c>
      <c r="BA31" s="230">
        <v>12935675</v>
      </c>
      <c r="BB31" s="230">
        <v>3231425</v>
      </c>
      <c r="BC31" s="229">
        <v>0.24979999999999999</v>
      </c>
      <c r="BD31" s="230">
        <v>172425</v>
      </c>
      <c r="BE31" s="230">
        <v>33725</v>
      </c>
      <c r="BF31" s="230">
        <v>138700</v>
      </c>
      <c r="BG31" s="229">
        <v>4.1127000000000002</v>
      </c>
      <c r="BH31" s="230">
        <v>101931675</v>
      </c>
      <c r="BI31" s="230">
        <v>34890175</v>
      </c>
      <c r="BJ31" s="230">
        <v>67041500</v>
      </c>
      <c r="BK31" s="229">
        <v>1.9215</v>
      </c>
      <c r="BL31" s="230">
        <v>37525000</v>
      </c>
      <c r="BM31" s="230">
        <v>17409225</v>
      </c>
      <c r="BN31" s="230">
        <v>20115775</v>
      </c>
      <c r="BO31" s="229">
        <v>1.1555</v>
      </c>
      <c r="BP31" s="230">
        <v>170062350</v>
      </c>
      <c r="BQ31" s="230">
        <v>79533050</v>
      </c>
      <c r="BR31" s="230">
        <v>90529300</v>
      </c>
      <c r="BS31" s="229">
        <v>1.1383000000000001</v>
      </c>
      <c r="BT31" s="230">
        <v>7215134</v>
      </c>
      <c r="BU31" s="230">
        <v>3292972</v>
      </c>
      <c r="BV31" s="230">
        <v>3922162</v>
      </c>
      <c r="BW31" s="229">
        <v>1.1911</v>
      </c>
      <c r="BX31" s="230">
        <v>51093375</v>
      </c>
      <c r="BY31" s="230">
        <v>51050625</v>
      </c>
      <c r="BZ31" s="230">
        <v>42750</v>
      </c>
      <c r="CA31" s="229">
        <v>8.0000000000000004E-4</v>
      </c>
      <c r="CB31" s="230">
        <v>12448325</v>
      </c>
      <c r="CC31" s="230">
        <v>22397675</v>
      </c>
      <c r="CD31" s="230">
        <v>-9949350</v>
      </c>
      <c r="CE31" s="229">
        <v>-0.44419999999999998</v>
      </c>
      <c r="CF31" s="230">
        <v>35810250</v>
      </c>
      <c r="CG31" s="230">
        <v>25851400</v>
      </c>
      <c r="CH31" s="230">
        <v>9958850</v>
      </c>
      <c r="CI31" s="229">
        <v>0.38519999999999999</v>
      </c>
      <c r="CJ31" s="230">
        <v>2834800</v>
      </c>
      <c r="CK31" s="230">
        <v>2801550</v>
      </c>
      <c r="CL31" s="230">
        <v>33250</v>
      </c>
      <c r="CM31" s="229">
        <v>1.1900000000000001E-2</v>
      </c>
      <c r="CN31" s="230">
        <v>15760975</v>
      </c>
      <c r="CO31" s="230">
        <v>15857400</v>
      </c>
      <c r="CP31" s="230">
        <v>-96425</v>
      </c>
      <c r="CQ31" s="229">
        <v>-6.1000000000000004E-3</v>
      </c>
      <c r="CR31" s="230">
        <v>11702100</v>
      </c>
      <c r="CS31" s="230">
        <v>10674675</v>
      </c>
      <c r="CT31" s="230">
        <v>1027425</v>
      </c>
      <c r="CU31" s="229">
        <v>9.6199999999999994E-2</v>
      </c>
      <c r="CV31" s="230">
        <v>78556450</v>
      </c>
      <c r="CW31" s="230">
        <v>77582700</v>
      </c>
      <c r="CX31" s="230">
        <v>973750</v>
      </c>
      <c r="CY31" s="229">
        <v>1.26E-2</v>
      </c>
      <c r="CZ31" s="228">
        <v>22.43</v>
      </c>
      <c r="DA31" s="228">
        <v>21.14</v>
      </c>
      <c r="DB31" s="228">
        <v>1.29</v>
      </c>
      <c r="DC31" s="228">
        <v>1.29</v>
      </c>
      <c r="DD31" s="228">
        <v>24.93</v>
      </c>
      <c r="DE31" s="228">
        <v>24.77</v>
      </c>
      <c r="DF31" s="228">
        <v>-2.5</v>
      </c>
      <c r="DG31" s="228">
        <v>0.16</v>
      </c>
      <c r="DH31" s="228">
        <v>22.3</v>
      </c>
      <c r="DI31" s="228">
        <v>21.2</v>
      </c>
      <c r="DJ31" s="228">
        <v>1.1000000000000001</v>
      </c>
      <c r="DK31" s="228">
        <v>1.1000000000000001</v>
      </c>
      <c r="DL31" s="228">
        <v>22.69</v>
      </c>
      <c r="DM31" s="228">
        <v>21.03</v>
      </c>
      <c r="DN31" s="228">
        <v>1.66</v>
      </c>
      <c r="DO31" s="228">
        <v>1.66</v>
      </c>
      <c r="DP31" s="228">
        <v>0.74</v>
      </c>
      <c r="DQ31" s="228">
        <v>0.67</v>
      </c>
      <c r="DR31" s="228">
        <v>7.0000000000000007E-2</v>
      </c>
      <c r="DS31" s="229">
        <v>0.1045</v>
      </c>
      <c r="DT31" s="231">
        <v>1960</v>
      </c>
      <c r="DU31" s="231">
        <v>1960</v>
      </c>
      <c r="DV31" s="228">
        <v>0.37</v>
      </c>
      <c r="DW31" s="228">
        <v>0.5</v>
      </c>
      <c r="DX31" s="228">
        <v>-0.13</v>
      </c>
      <c r="DY31" s="229">
        <v>-0.26</v>
      </c>
      <c r="DZ31" s="229">
        <v>0.75639999999999996</v>
      </c>
      <c r="EA31" s="230">
        <v>28652950</v>
      </c>
      <c r="EB31" s="229">
        <v>5.7999999999999996E-3</v>
      </c>
      <c r="EC31" s="229">
        <v>0.75639999999999996</v>
      </c>
      <c r="ED31" s="228">
        <v>12</v>
      </c>
      <c r="EE31" s="229">
        <v>5.7999999999999996E-3</v>
      </c>
      <c r="EF31" s="230">
        <v>4528761</v>
      </c>
      <c r="EG31" s="230">
        <v>1837718</v>
      </c>
      <c r="EH31" s="229">
        <v>1.4642999999999999</v>
      </c>
      <c r="EI31" s="229">
        <v>0.62770000000000004</v>
      </c>
      <c r="EJ31" s="231">
        <v>2156621.71</v>
      </c>
      <c r="EK31" s="231">
        <v>767865.64</v>
      </c>
      <c r="EL31" s="231">
        <v>637056.89</v>
      </c>
      <c r="EM31" s="231">
        <v>33926</v>
      </c>
      <c r="EN31" s="231">
        <v>3561544.24</v>
      </c>
      <c r="EO31" s="231">
        <v>1622343.34</v>
      </c>
      <c r="EP31" s="231">
        <v>1939200.9</v>
      </c>
      <c r="EQ31" s="229">
        <v>1.1953</v>
      </c>
      <c r="ER31" s="231">
        <v>319835</v>
      </c>
      <c r="ES31" s="231">
        <v>229372</v>
      </c>
      <c r="ET31" s="231">
        <v>1066045</v>
      </c>
      <c r="EU31" s="231">
        <v>314058656</v>
      </c>
      <c r="EV31" s="231">
        <v>1615252</v>
      </c>
      <c r="EW31" s="231">
        <v>1565138</v>
      </c>
      <c r="EX31" s="231">
        <v>50114</v>
      </c>
      <c r="EY31" s="229">
        <v>3.2000000000000001E-2</v>
      </c>
      <c r="EZ31" s="229">
        <v>0.25009999999999999</v>
      </c>
      <c r="FA31" s="227" t="s">
        <v>555</v>
      </c>
      <c r="FB31" s="161">
        <f t="shared" si="0"/>
        <v>38645050</v>
      </c>
    </row>
    <row r="32" spans="1:158" ht="17.25" hidden="1" thickBot="1" x14ac:dyDescent="0.3">
      <c r="A32" s="226">
        <v>45957</v>
      </c>
      <c r="B32" s="227" t="s">
        <v>184</v>
      </c>
      <c r="C32" s="227" t="s">
        <v>190</v>
      </c>
      <c r="D32" s="228">
        <v>2625</v>
      </c>
      <c r="E32" s="228">
        <v>235.43</v>
      </c>
      <c r="F32" s="228">
        <v>230.79</v>
      </c>
      <c r="G32" s="228">
        <v>4.6399999999999997</v>
      </c>
      <c r="H32" s="229">
        <v>2.01E-2</v>
      </c>
      <c r="I32" s="228">
        <v>235</v>
      </c>
      <c r="J32" s="228">
        <v>230.94</v>
      </c>
      <c r="K32" s="228">
        <v>4.0599999999999996</v>
      </c>
      <c r="L32" s="229">
        <v>1.7600000000000001E-2</v>
      </c>
      <c r="M32" s="228">
        <v>235.43</v>
      </c>
      <c r="N32" s="228">
        <v>230.79</v>
      </c>
      <c r="O32" s="228">
        <v>4.6399999999999997</v>
      </c>
      <c r="P32" s="229">
        <v>2.01E-2</v>
      </c>
      <c r="Q32" s="228">
        <v>236.63</v>
      </c>
      <c r="R32" s="228">
        <v>231.98</v>
      </c>
      <c r="S32" s="228">
        <v>4.6500000000000004</v>
      </c>
      <c r="T32" s="229">
        <v>0.02</v>
      </c>
      <c r="U32" s="228">
        <v>238.55</v>
      </c>
      <c r="V32" s="228">
        <v>234.26</v>
      </c>
      <c r="W32" s="228">
        <v>4.29</v>
      </c>
      <c r="X32" s="229">
        <v>1.83E-2</v>
      </c>
      <c r="Y32" s="228">
        <v>0.43</v>
      </c>
      <c r="Z32" s="228">
        <v>-0.15</v>
      </c>
      <c r="AA32" s="228">
        <v>0.57999999999999996</v>
      </c>
      <c r="AB32" s="229">
        <v>1.8E-3</v>
      </c>
      <c r="AC32" s="228">
        <v>0.43</v>
      </c>
      <c r="AD32" s="228">
        <v>-0.15</v>
      </c>
      <c r="AE32" s="228">
        <v>0.57999999999999996</v>
      </c>
      <c r="AF32" s="229">
        <v>1.8E-3</v>
      </c>
      <c r="AG32" s="228">
        <v>1.63</v>
      </c>
      <c r="AH32" s="228">
        <v>1.04</v>
      </c>
      <c r="AI32" s="228">
        <v>0.59</v>
      </c>
      <c r="AJ32" s="229">
        <v>6.8999999999999999E-3</v>
      </c>
      <c r="AK32" s="228">
        <v>3.55</v>
      </c>
      <c r="AL32" s="228">
        <v>3.32</v>
      </c>
      <c r="AM32" s="228">
        <v>0.23</v>
      </c>
      <c r="AN32" s="229">
        <v>1.5100000000000001E-2</v>
      </c>
      <c r="AO32" s="228">
        <v>235.48</v>
      </c>
      <c r="AP32" s="228">
        <v>236.78</v>
      </c>
      <c r="AQ32" s="228">
        <v>0</v>
      </c>
      <c r="AR32" s="230">
        <v>45273375</v>
      </c>
      <c r="AS32" s="230">
        <v>41629875</v>
      </c>
      <c r="AT32" s="230">
        <v>3643500</v>
      </c>
      <c r="AU32" s="229">
        <v>8.7499999999999994E-2</v>
      </c>
      <c r="AV32" s="230">
        <v>20853000</v>
      </c>
      <c r="AW32" s="230">
        <v>21186375</v>
      </c>
      <c r="AX32" s="230">
        <v>-333375</v>
      </c>
      <c r="AY32" s="229">
        <v>-1.5699999999999999E-2</v>
      </c>
      <c r="AZ32" s="230">
        <v>23758875</v>
      </c>
      <c r="BA32" s="230">
        <v>20007750</v>
      </c>
      <c r="BB32" s="230">
        <v>3751125</v>
      </c>
      <c r="BC32" s="229">
        <v>0.1875</v>
      </c>
      <c r="BD32" s="230">
        <v>661500</v>
      </c>
      <c r="BE32" s="230">
        <v>435750</v>
      </c>
      <c r="BF32" s="230">
        <v>225750</v>
      </c>
      <c r="BG32" s="229">
        <v>0.5181</v>
      </c>
      <c r="BH32" s="230">
        <v>55526625</v>
      </c>
      <c r="BI32" s="230">
        <v>40684875</v>
      </c>
      <c r="BJ32" s="230">
        <v>14841750</v>
      </c>
      <c r="BK32" s="229">
        <v>0.36480000000000001</v>
      </c>
      <c r="BL32" s="230">
        <v>27139875</v>
      </c>
      <c r="BM32" s="230">
        <v>20774250</v>
      </c>
      <c r="BN32" s="230">
        <v>6365625</v>
      </c>
      <c r="BO32" s="229">
        <v>0.30640000000000001</v>
      </c>
      <c r="BP32" s="230">
        <v>127939875</v>
      </c>
      <c r="BQ32" s="230">
        <v>103089000</v>
      </c>
      <c r="BR32" s="230">
        <v>24850875</v>
      </c>
      <c r="BS32" s="229">
        <v>0.24110000000000001</v>
      </c>
      <c r="BT32" s="230">
        <v>8549690</v>
      </c>
      <c r="BU32" s="230">
        <v>5492459</v>
      </c>
      <c r="BV32" s="230">
        <v>3057231</v>
      </c>
      <c r="BW32" s="229">
        <v>0.55659999999999998</v>
      </c>
      <c r="BX32" s="230">
        <v>61159875</v>
      </c>
      <c r="BY32" s="230">
        <v>59700375</v>
      </c>
      <c r="BZ32" s="230">
        <v>1459500</v>
      </c>
      <c r="CA32" s="229">
        <v>2.4400000000000002E-2</v>
      </c>
      <c r="CB32" s="230">
        <v>16036125</v>
      </c>
      <c r="CC32" s="230">
        <v>28226625</v>
      </c>
      <c r="CD32" s="230">
        <v>-12190500</v>
      </c>
      <c r="CE32" s="229">
        <v>-0.43190000000000001</v>
      </c>
      <c r="CF32" s="230">
        <v>43533000</v>
      </c>
      <c r="CG32" s="230">
        <v>30203250</v>
      </c>
      <c r="CH32" s="230">
        <v>13329750</v>
      </c>
      <c r="CI32" s="229">
        <v>0.44130000000000003</v>
      </c>
      <c r="CJ32" s="230">
        <v>1590750</v>
      </c>
      <c r="CK32" s="230">
        <v>1270500</v>
      </c>
      <c r="CL32" s="230">
        <v>320250</v>
      </c>
      <c r="CM32" s="229">
        <v>0.25209999999999999</v>
      </c>
      <c r="CN32" s="230">
        <v>28932750</v>
      </c>
      <c r="CO32" s="230">
        <v>30977625</v>
      </c>
      <c r="CP32" s="230">
        <v>-2044875</v>
      </c>
      <c r="CQ32" s="229">
        <v>-6.6000000000000003E-2</v>
      </c>
      <c r="CR32" s="230">
        <v>18456375</v>
      </c>
      <c r="CS32" s="230">
        <v>16731750</v>
      </c>
      <c r="CT32" s="230">
        <v>1724625</v>
      </c>
      <c r="CU32" s="229">
        <v>0.1031</v>
      </c>
      <c r="CV32" s="230">
        <v>108549000</v>
      </c>
      <c r="CW32" s="230">
        <v>107409750</v>
      </c>
      <c r="CX32" s="230">
        <v>1139250</v>
      </c>
      <c r="CY32" s="229">
        <v>1.06E-2</v>
      </c>
      <c r="CZ32" s="228">
        <v>34.130000000000003</v>
      </c>
      <c r="DA32" s="228">
        <v>34.25</v>
      </c>
      <c r="DB32" s="228">
        <v>-0.12</v>
      </c>
      <c r="DC32" s="228">
        <v>-0.12</v>
      </c>
      <c r="DD32" s="228">
        <v>45.33</v>
      </c>
      <c r="DE32" s="228">
        <v>45.37</v>
      </c>
      <c r="DF32" s="228">
        <v>-11.2</v>
      </c>
      <c r="DG32" s="228">
        <v>-0.04</v>
      </c>
      <c r="DH32" s="228">
        <v>34.19</v>
      </c>
      <c r="DI32" s="228">
        <v>34.17</v>
      </c>
      <c r="DJ32" s="228">
        <v>0.02</v>
      </c>
      <c r="DK32" s="228">
        <v>0.02</v>
      </c>
      <c r="DL32" s="228">
        <v>34.04</v>
      </c>
      <c r="DM32" s="228">
        <v>34.44</v>
      </c>
      <c r="DN32" s="228">
        <v>-0.4</v>
      </c>
      <c r="DO32" s="228">
        <v>-0.4</v>
      </c>
      <c r="DP32" s="228">
        <v>0.64</v>
      </c>
      <c r="DQ32" s="228">
        <v>0.54</v>
      </c>
      <c r="DR32" s="228">
        <v>0.1</v>
      </c>
      <c r="DS32" s="229">
        <v>0.1852</v>
      </c>
      <c r="DT32" s="228">
        <v>250</v>
      </c>
      <c r="DU32" s="228">
        <v>235</v>
      </c>
      <c r="DV32" s="228">
        <v>0.49</v>
      </c>
      <c r="DW32" s="228">
        <v>0.51</v>
      </c>
      <c r="DX32" s="228">
        <v>-0.02</v>
      </c>
      <c r="DY32" s="229">
        <v>-3.9199999999999999E-2</v>
      </c>
      <c r="DZ32" s="229">
        <v>0.73780000000000001</v>
      </c>
      <c r="EA32" s="230">
        <v>31473750</v>
      </c>
      <c r="EB32" s="229">
        <v>5.1000000000000004E-3</v>
      </c>
      <c r="EC32" s="229">
        <v>0.73780000000000001</v>
      </c>
      <c r="ED32" s="228">
        <v>1.3</v>
      </c>
      <c r="EE32" s="229">
        <v>5.4999999999999997E-3</v>
      </c>
      <c r="EF32" s="230">
        <v>3676984</v>
      </c>
      <c r="EG32" s="230">
        <v>1955848</v>
      </c>
      <c r="EH32" s="229">
        <v>0.88</v>
      </c>
      <c r="EI32" s="229">
        <v>0.43009999999999998</v>
      </c>
      <c r="EJ32" s="231">
        <v>135338.82</v>
      </c>
      <c r="EK32" s="231">
        <v>64690.73</v>
      </c>
      <c r="EL32" s="231">
        <v>106938.66</v>
      </c>
      <c r="EM32" s="231">
        <v>8763</v>
      </c>
      <c r="EN32" s="231">
        <v>306968.21000000002</v>
      </c>
      <c r="EO32" s="231">
        <v>245510.5</v>
      </c>
      <c r="EP32" s="231">
        <v>61457.71</v>
      </c>
      <c r="EQ32" s="229">
        <v>0.25030000000000002</v>
      </c>
      <c r="ER32" s="231">
        <v>71623</v>
      </c>
      <c r="ES32" s="231">
        <v>43023</v>
      </c>
      <c r="ET32" s="231">
        <v>144561</v>
      </c>
      <c r="EU32" s="231">
        <v>169029877</v>
      </c>
      <c r="EV32" s="231">
        <v>259207</v>
      </c>
      <c r="EW32" s="231">
        <v>253774</v>
      </c>
      <c r="EX32" s="231">
        <v>5433</v>
      </c>
      <c r="EY32" s="229">
        <v>2.1399999999999999E-2</v>
      </c>
      <c r="EZ32" s="229">
        <v>0.64219999999999999</v>
      </c>
      <c r="FA32" s="227" t="s">
        <v>555</v>
      </c>
      <c r="FB32" s="161">
        <f t="shared" si="0"/>
        <v>45123750</v>
      </c>
    </row>
    <row r="33" spans="1:158" ht="17.25" hidden="1" thickBot="1" x14ac:dyDescent="0.3">
      <c r="A33" s="226">
        <v>45957</v>
      </c>
      <c r="B33" s="227" t="s">
        <v>170</v>
      </c>
      <c r="C33" s="227" t="s">
        <v>191</v>
      </c>
      <c r="D33" s="228">
        <v>2500</v>
      </c>
      <c r="E33" s="228">
        <v>360.25</v>
      </c>
      <c r="F33" s="228">
        <v>359.35</v>
      </c>
      <c r="G33" s="228">
        <v>0.9</v>
      </c>
      <c r="H33" s="229">
        <v>2.5000000000000001E-3</v>
      </c>
      <c r="I33" s="228">
        <v>360.45</v>
      </c>
      <c r="J33" s="228">
        <v>359.5</v>
      </c>
      <c r="K33" s="228">
        <v>0.95</v>
      </c>
      <c r="L33" s="229">
        <v>2.5999999999999999E-3</v>
      </c>
      <c r="M33" s="228">
        <v>360.25</v>
      </c>
      <c r="N33" s="228">
        <v>359.35</v>
      </c>
      <c r="O33" s="228">
        <v>0.9</v>
      </c>
      <c r="P33" s="229">
        <v>2.5000000000000001E-3</v>
      </c>
      <c r="Q33" s="228">
        <v>362.1</v>
      </c>
      <c r="R33" s="228">
        <v>361.4</v>
      </c>
      <c r="S33" s="228">
        <v>0.7</v>
      </c>
      <c r="T33" s="229">
        <v>1.9E-3</v>
      </c>
      <c r="U33" s="228">
        <v>364.7</v>
      </c>
      <c r="V33" s="228">
        <v>365</v>
      </c>
      <c r="W33" s="228">
        <v>-0.3</v>
      </c>
      <c r="X33" s="229">
        <v>-8.0000000000000004E-4</v>
      </c>
      <c r="Y33" s="228">
        <v>-0.2</v>
      </c>
      <c r="Z33" s="228">
        <v>-0.15</v>
      </c>
      <c r="AA33" s="228">
        <v>-0.05</v>
      </c>
      <c r="AB33" s="229">
        <v>-5.9999999999999995E-4</v>
      </c>
      <c r="AC33" s="228">
        <v>-0.2</v>
      </c>
      <c r="AD33" s="228">
        <v>-0.15</v>
      </c>
      <c r="AE33" s="228">
        <v>-0.05</v>
      </c>
      <c r="AF33" s="229">
        <v>-5.9999999999999995E-4</v>
      </c>
      <c r="AG33" s="228">
        <v>1.65</v>
      </c>
      <c r="AH33" s="228">
        <v>1.9</v>
      </c>
      <c r="AI33" s="228">
        <v>-0.25</v>
      </c>
      <c r="AJ33" s="229">
        <v>4.5999999999999999E-3</v>
      </c>
      <c r="AK33" s="228">
        <v>4.25</v>
      </c>
      <c r="AL33" s="228">
        <v>5.5</v>
      </c>
      <c r="AM33" s="228">
        <v>-1.25</v>
      </c>
      <c r="AN33" s="229">
        <v>1.18E-2</v>
      </c>
      <c r="AO33" s="228">
        <v>360.34</v>
      </c>
      <c r="AP33" s="228">
        <v>362.29</v>
      </c>
      <c r="AQ33" s="228">
        <v>0</v>
      </c>
      <c r="AR33" s="230">
        <v>32562500</v>
      </c>
      <c r="AS33" s="230">
        <v>22920000</v>
      </c>
      <c r="AT33" s="230">
        <v>9642500</v>
      </c>
      <c r="AU33" s="229">
        <v>0.42070000000000002</v>
      </c>
      <c r="AV33" s="230">
        <v>16170000</v>
      </c>
      <c r="AW33" s="230">
        <v>11575000</v>
      </c>
      <c r="AX33" s="230">
        <v>4595000</v>
      </c>
      <c r="AY33" s="229">
        <v>0.39700000000000002</v>
      </c>
      <c r="AZ33" s="230">
        <v>16220000</v>
      </c>
      <c r="BA33" s="230">
        <v>11260000</v>
      </c>
      <c r="BB33" s="230">
        <v>4960000</v>
      </c>
      <c r="BC33" s="229">
        <v>0.4405</v>
      </c>
      <c r="BD33" s="230">
        <v>172500</v>
      </c>
      <c r="BE33" s="230">
        <v>85000</v>
      </c>
      <c r="BF33" s="230">
        <v>87500</v>
      </c>
      <c r="BG33" s="229">
        <v>1.0294000000000001</v>
      </c>
      <c r="BH33" s="230">
        <v>9305000</v>
      </c>
      <c r="BI33" s="230">
        <v>13830000</v>
      </c>
      <c r="BJ33" s="230">
        <v>-4525000</v>
      </c>
      <c r="BK33" s="229">
        <v>-0.32719999999999999</v>
      </c>
      <c r="BL33" s="230">
        <v>6642500</v>
      </c>
      <c r="BM33" s="230">
        <v>9010000</v>
      </c>
      <c r="BN33" s="230">
        <v>-2367500</v>
      </c>
      <c r="BO33" s="229">
        <v>-0.26279999999999998</v>
      </c>
      <c r="BP33" s="230">
        <v>48510000</v>
      </c>
      <c r="BQ33" s="230">
        <v>45760000</v>
      </c>
      <c r="BR33" s="230">
        <v>2750000</v>
      </c>
      <c r="BS33" s="229">
        <v>6.0100000000000001E-2</v>
      </c>
      <c r="BT33" s="230">
        <v>1295091</v>
      </c>
      <c r="BU33" s="230">
        <v>1042377</v>
      </c>
      <c r="BV33" s="230">
        <v>252714</v>
      </c>
      <c r="BW33" s="229">
        <v>0.2424</v>
      </c>
      <c r="BX33" s="230">
        <v>41322500</v>
      </c>
      <c r="BY33" s="230">
        <v>42667500</v>
      </c>
      <c r="BZ33" s="230">
        <v>-1345000</v>
      </c>
      <c r="CA33" s="229">
        <v>-3.15E-2</v>
      </c>
      <c r="CB33" s="230">
        <v>8532500</v>
      </c>
      <c r="CC33" s="230">
        <v>21395000</v>
      </c>
      <c r="CD33" s="230">
        <v>-12862500</v>
      </c>
      <c r="CE33" s="229">
        <v>-0.60119999999999996</v>
      </c>
      <c r="CF33" s="230">
        <v>32410000</v>
      </c>
      <c r="CG33" s="230">
        <v>20955000</v>
      </c>
      <c r="CH33" s="230">
        <v>11455000</v>
      </c>
      <c r="CI33" s="229">
        <v>0.54659999999999997</v>
      </c>
      <c r="CJ33" s="230">
        <v>380000</v>
      </c>
      <c r="CK33" s="230">
        <v>317500</v>
      </c>
      <c r="CL33" s="230">
        <v>62500</v>
      </c>
      <c r="CM33" s="229">
        <v>0.19689999999999999</v>
      </c>
      <c r="CN33" s="230">
        <v>14917500</v>
      </c>
      <c r="CO33" s="230">
        <v>15500000</v>
      </c>
      <c r="CP33" s="230">
        <v>-582500</v>
      </c>
      <c r="CQ33" s="229">
        <v>-3.7600000000000001E-2</v>
      </c>
      <c r="CR33" s="230">
        <v>10200000</v>
      </c>
      <c r="CS33" s="230">
        <v>10567500</v>
      </c>
      <c r="CT33" s="230">
        <v>-367500</v>
      </c>
      <c r="CU33" s="229">
        <v>-3.4799999999999998E-2</v>
      </c>
      <c r="CV33" s="230">
        <v>66440000</v>
      </c>
      <c r="CW33" s="230">
        <v>68735000</v>
      </c>
      <c r="CX33" s="230">
        <v>-2295000</v>
      </c>
      <c r="CY33" s="229">
        <v>-3.3399999999999999E-2</v>
      </c>
      <c r="CZ33" s="228">
        <v>28.66</v>
      </c>
      <c r="DA33" s="228">
        <v>28.4</v>
      </c>
      <c r="DB33" s="228">
        <v>0.26</v>
      </c>
      <c r="DC33" s="228">
        <v>0.26</v>
      </c>
      <c r="DD33" s="228">
        <v>38.82</v>
      </c>
      <c r="DE33" s="228">
        <v>38.92</v>
      </c>
      <c r="DF33" s="228">
        <v>-10.16</v>
      </c>
      <c r="DG33" s="228">
        <v>-0.1</v>
      </c>
      <c r="DH33" s="228">
        <v>28.8</v>
      </c>
      <c r="DI33" s="228">
        <v>28.77</v>
      </c>
      <c r="DJ33" s="228">
        <v>0.03</v>
      </c>
      <c r="DK33" s="228">
        <v>0.03</v>
      </c>
      <c r="DL33" s="228">
        <v>28.39</v>
      </c>
      <c r="DM33" s="228">
        <v>27.81</v>
      </c>
      <c r="DN33" s="228">
        <v>0.57999999999999996</v>
      </c>
      <c r="DO33" s="228">
        <v>0.57999999999999996</v>
      </c>
      <c r="DP33" s="228">
        <v>0.68</v>
      </c>
      <c r="DQ33" s="228">
        <v>0.68</v>
      </c>
      <c r="DR33" s="228">
        <v>0</v>
      </c>
      <c r="DS33" s="229">
        <v>0</v>
      </c>
      <c r="DT33" s="228">
        <v>370</v>
      </c>
      <c r="DU33" s="228">
        <v>350</v>
      </c>
      <c r="DV33" s="228">
        <v>0.71</v>
      </c>
      <c r="DW33" s="228">
        <v>0.65</v>
      </c>
      <c r="DX33" s="228">
        <v>0.06</v>
      </c>
      <c r="DY33" s="229">
        <v>9.2299999999999993E-2</v>
      </c>
      <c r="DZ33" s="229">
        <v>0.79349999999999998</v>
      </c>
      <c r="EA33" s="230">
        <v>21272500</v>
      </c>
      <c r="EB33" s="229">
        <v>5.1000000000000004E-3</v>
      </c>
      <c r="EC33" s="229">
        <v>0.79349999999999998</v>
      </c>
      <c r="ED33" s="228">
        <v>1.95</v>
      </c>
      <c r="EE33" s="229">
        <v>5.4000000000000003E-3</v>
      </c>
      <c r="EF33" s="230">
        <v>645772</v>
      </c>
      <c r="EG33" s="230">
        <v>483213</v>
      </c>
      <c r="EH33" s="229">
        <v>0.33639999999999998</v>
      </c>
      <c r="EI33" s="229">
        <v>0.49859999999999999</v>
      </c>
      <c r="EJ33" s="231">
        <v>34909.769999999997</v>
      </c>
      <c r="EK33" s="231">
        <v>23651.43</v>
      </c>
      <c r="EL33" s="231">
        <v>117659.81</v>
      </c>
      <c r="EM33" s="231">
        <v>6673</v>
      </c>
      <c r="EN33" s="231">
        <v>176221.01</v>
      </c>
      <c r="EO33" s="231">
        <v>166845.15</v>
      </c>
      <c r="EP33" s="231">
        <v>9375.86</v>
      </c>
      <c r="EQ33" s="229">
        <v>5.62E-2</v>
      </c>
      <c r="ER33" s="231">
        <v>56116</v>
      </c>
      <c r="ES33" s="231">
        <v>35116</v>
      </c>
      <c r="ET33" s="231">
        <v>149481</v>
      </c>
      <c r="EU33" s="231">
        <v>90981174</v>
      </c>
      <c r="EV33" s="231">
        <v>240712</v>
      </c>
      <c r="EW33" s="231">
        <v>248331</v>
      </c>
      <c r="EX33" s="231">
        <v>-7619</v>
      </c>
      <c r="EY33" s="229">
        <v>-3.0700000000000002E-2</v>
      </c>
      <c r="EZ33" s="229">
        <v>0.73029999999999995</v>
      </c>
      <c r="FA33" s="227" t="s">
        <v>556</v>
      </c>
      <c r="FB33" s="161">
        <f t="shared" si="0"/>
        <v>32790000</v>
      </c>
    </row>
    <row r="34" spans="1:158" ht="17.25" hidden="1" thickBot="1" x14ac:dyDescent="0.3">
      <c r="A34" s="226">
        <v>45957</v>
      </c>
      <c r="B34" s="227" t="s">
        <v>184</v>
      </c>
      <c r="C34" s="227" t="s">
        <v>680</v>
      </c>
      <c r="D34" s="228">
        <v>325</v>
      </c>
      <c r="E34" s="231">
        <v>1984.2</v>
      </c>
      <c r="F34" s="231">
        <v>2007.6</v>
      </c>
      <c r="G34" s="228">
        <v>-23.4</v>
      </c>
      <c r="H34" s="229">
        <v>-1.17E-2</v>
      </c>
      <c r="I34" s="231">
        <v>1979.6</v>
      </c>
      <c r="J34" s="231">
        <v>2006</v>
      </c>
      <c r="K34" s="228">
        <v>-26.4</v>
      </c>
      <c r="L34" s="229">
        <v>-1.32E-2</v>
      </c>
      <c r="M34" s="231">
        <v>1984.2</v>
      </c>
      <c r="N34" s="231">
        <v>2007.6</v>
      </c>
      <c r="O34" s="228">
        <v>-23.4</v>
      </c>
      <c r="P34" s="229">
        <v>-1.17E-2</v>
      </c>
      <c r="Q34" s="231">
        <v>1988.5</v>
      </c>
      <c r="R34" s="231">
        <v>2008.5</v>
      </c>
      <c r="S34" s="228">
        <v>-20</v>
      </c>
      <c r="T34" s="229">
        <v>-0.01</v>
      </c>
      <c r="U34" s="231">
        <v>1996</v>
      </c>
      <c r="V34" s="231">
        <v>2006.9</v>
      </c>
      <c r="W34" s="228">
        <v>-10.9</v>
      </c>
      <c r="X34" s="229">
        <v>-5.4000000000000003E-3</v>
      </c>
      <c r="Y34" s="228">
        <v>4.5999999999999996</v>
      </c>
      <c r="Z34" s="228">
        <v>1.6</v>
      </c>
      <c r="AA34" s="228">
        <v>3</v>
      </c>
      <c r="AB34" s="229">
        <v>2.3E-3</v>
      </c>
      <c r="AC34" s="228">
        <v>4.5999999999999996</v>
      </c>
      <c r="AD34" s="228">
        <v>1.6</v>
      </c>
      <c r="AE34" s="228">
        <v>3</v>
      </c>
      <c r="AF34" s="229">
        <v>2.3E-3</v>
      </c>
      <c r="AG34" s="228">
        <v>8.9</v>
      </c>
      <c r="AH34" s="228">
        <v>2.5</v>
      </c>
      <c r="AI34" s="228">
        <v>6.4</v>
      </c>
      <c r="AJ34" s="229">
        <v>4.4999999999999997E-3</v>
      </c>
      <c r="AK34" s="228">
        <v>16.399999999999999</v>
      </c>
      <c r="AL34" s="228">
        <v>0.9</v>
      </c>
      <c r="AM34" s="228">
        <v>15.5</v>
      </c>
      <c r="AN34" s="229">
        <v>8.3000000000000001E-3</v>
      </c>
      <c r="AO34" s="231">
        <v>1997.06</v>
      </c>
      <c r="AP34" s="231">
        <v>1999.62</v>
      </c>
      <c r="AQ34" s="228">
        <v>0</v>
      </c>
      <c r="AR34" s="230">
        <v>1710150</v>
      </c>
      <c r="AS34" s="230">
        <v>2221700</v>
      </c>
      <c r="AT34" s="230">
        <v>-511550</v>
      </c>
      <c r="AU34" s="229">
        <v>-0.2303</v>
      </c>
      <c r="AV34" s="230">
        <v>783250</v>
      </c>
      <c r="AW34" s="230">
        <v>1131975</v>
      </c>
      <c r="AX34" s="230">
        <v>-348725</v>
      </c>
      <c r="AY34" s="229">
        <v>-0.30809999999999998</v>
      </c>
      <c r="AZ34" s="230">
        <v>923650</v>
      </c>
      <c r="BA34" s="230">
        <v>1085500</v>
      </c>
      <c r="BB34" s="230">
        <v>-161850</v>
      </c>
      <c r="BC34" s="229">
        <v>-0.14910000000000001</v>
      </c>
      <c r="BD34" s="230">
        <v>3250</v>
      </c>
      <c r="BE34" s="230">
        <v>4225</v>
      </c>
      <c r="BF34" s="228">
        <v>-975</v>
      </c>
      <c r="BG34" s="229">
        <v>-0.23080000000000001</v>
      </c>
      <c r="BH34" s="230">
        <v>2101450</v>
      </c>
      <c r="BI34" s="230">
        <v>5307250</v>
      </c>
      <c r="BJ34" s="230">
        <v>-3205800</v>
      </c>
      <c r="BK34" s="229">
        <v>-0.60399999999999998</v>
      </c>
      <c r="BL34" s="230">
        <v>756600</v>
      </c>
      <c r="BM34" s="230">
        <v>1482000</v>
      </c>
      <c r="BN34" s="230">
        <v>-725400</v>
      </c>
      <c r="BO34" s="229">
        <v>-0.48949999999999999</v>
      </c>
      <c r="BP34" s="230">
        <v>4568200</v>
      </c>
      <c r="BQ34" s="230">
        <v>9010950</v>
      </c>
      <c r="BR34" s="230">
        <v>-4442750</v>
      </c>
      <c r="BS34" s="229">
        <v>-0.49299999999999999</v>
      </c>
      <c r="BT34" s="230">
        <v>271774</v>
      </c>
      <c r="BU34" s="230">
        <v>771230</v>
      </c>
      <c r="BV34" s="230">
        <v>-499456</v>
      </c>
      <c r="BW34" s="229">
        <v>-0.64759999999999995</v>
      </c>
      <c r="BX34" s="230">
        <v>1765400</v>
      </c>
      <c r="BY34" s="230">
        <v>1855100</v>
      </c>
      <c r="BZ34" s="230">
        <v>-89700</v>
      </c>
      <c r="CA34" s="229">
        <v>-4.8399999999999999E-2</v>
      </c>
      <c r="CB34" s="230">
        <v>349700</v>
      </c>
      <c r="CC34" s="230">
        <v>732225</v>
      </c>
      <c r="CD34" s="230">
        <v>-382525</v>
      </c>
      <c r="CE34" s="229">
        <v>-0.52239999999999998</v>
      </c>
      <c r="CF34" s="230">
        <v>1407250</v>
      </c>
      <c r="CG34" s="230">
        <v>1116700</v>
      </c>
      <c r="CH34" s="230">
        <v>290550</v>
      </c>
      <c r="CI34" s="229">
        <v>0.26019999999999999</v>
      </c>
      <c r="CJ34" s="230">
        <v>8450</v>
      </c>
      <c r="CK34" s="230">
        <v>6175</v>
      </c>
      <c r="CL34" s="230">
        <v>2275</v>
      </c>
      <c r="CM34" s="229">
        <v>0.36840000000000001</v>
      </c>
      <c r="CN34" s="230">
        <v>886275</v>
      </c>
      <c r="CO34" s="230">
        <v>1000350</v>
      </c>
      <c r="CP34" s="230">
        <v>-114075</v>
      </c>
      <c r="CQ34" s="229">
        <v>-0.114</v>
      </c>
      <c r="CR34" s="230">
        <v>432250</v>
      </c>
      <c r="CS34" s="230">
        <v>515125</v>
      </c>
      <c r="CT34" s="230">
        <v>-82875</v>
      </c>
      <c r="CU34" s="229">
        <v>-0.16089999999999999</v>
      </c>
      <c r="CV34" s="230">
        <v>3083925</v>
      </c>
      <c r="CW34" s="230">
        <v>3370575</v>
      </c>
      <c r="CX34" s="230">
        <v>-286650</v>
      </c>
      <c r="CY34" s="229">
        <v>-8.5000000000000006E-2</v>
      </c>
      <c r="CZ34" s="228">
        <v>32.32</v>
      </c>
      <c r="DA34" s="228">
        <v>31.3</v>
      </c>
      <c r="DB34" s="228">
        <v>1.02</v>
      </c>
      <c r="DC34" s="228">
        <v>1.02</v>
      </c>
      <c r="DD34" s="228">
        <v>41.57</v>
      </c>
      <c r="DE34" s="228">
        <v>41.63</v>
      </c>
      <c r="DF34" s="228">
        <v>-9.25</v>
      </c>
      <c r="DG34" s="228">
        <v>-0.06</v>
      </c>
      <c r="DH34" s="228">
        <v>32.409999999999997</v>
      </c>
      <c r="DI34" s="228">
        <v>31.24</v>
      </c>
      <c r="DJ34" s="228">
        <v>1.17</v>
      </c>
      <c r="DK34" s="228">
        <v>1.17</v>
      </c>
      <c r="DL34" s="228">
        <v>31.99</v>
      </c>
      <c r="DM34" s="228">
        <v>31.67</v>
      </c>
      <c r="DN34" s="228">
        <v>0.32</v>
      </c>
      <c r="DO34" s="228">
        <v>0.32</v>
      </c>
      <c r="DP34" s="228">
        <v>0.49</v>
      </c>
      <c r="DQ34" s="228">
        <v>0.51</v>
      </c>
      <c r="DR34" s="228">
        <v>-0.02</v>
      </c>
      <c r="DS34" s="229">
        <v>-3.9199999999999999E-2</v>
      </c>
      <c r="DT34" s="231">
        <v>2060</v>
      </c>
      <c r="DU34" s="231">
        <v>1900</v>
      </c>
      <c r="DV34" s="228">
        <v>0.36</v>
      </c>
      <c r="DW34" s="228">
        <v>0.28000000000000003</v>
      </c>
      <c r="DX34" s="228">
        <v>0.08</v>
      </c>
      <c r="DY34" s="229">
        <v>0.28570000000000001</v>
      </c>
      <c r="DZ34" s="229">
        <v>0.80189999999999995</v>
      </c>
      <c r="EA34" s="230">
        <v>1122875</v>
      </c>
      <c r="EB34" s="229">
        <v>2.2000000000000001E-3</v>
      </c>
      <c r="EC34" s="229">
        <v>0.80189999999999995</v>
      </c>
      <c r="ED34" s="228">
        <v>2.56</v>
      </c>
      <c r="EE34" s="229">
        <v>1.2999999999999999E-3</v>
      </c>
      <c r="EF34" s="230">
        <v>115189</v>
      </c>
      <c r="EG34" s="230">
        <v>351480</v>
      </c>
      <c r="EH34" s="229">
        <v>-0.67230000000000001</v>
      </c>
      <c r="EI34" s="229">
        <v>0.42380000000000001</v>
      </c>
      <c r="EJ34" s="231">
        <v>43308.17</v>
      </c>
      <c r="EK34" s="231">
        <v>14856.32</v>
      </c>
      <c r="EL34" s="231">
        <v>34176.53</v>
      </c>
      <c r="EM34" s="231">
        <v>3200</v>
      </c>
      <c r="EN34" s="231">
        <v>92341.02</v>
      </c>
      <c r="EO34" s="231">
        <v>183460.89</v>
      </c>
      <c r="EP34" s="231">
        <v>-91119.87</v>
      </c>
      <c r="EQ34" s="229">
        <v>-0.49669999999999997</v>
      </c>
      <c r="ER34" s="231">
        <v>18072</v>
      </c>
      <c r="ES34" s="231">
        <v>8155</v>
      </c>
      <c r="ET34" s="231">
        <v>35091</v>
      </c>
      <c r="EU34" s="231">
        <v>19584741</v>
      </c>
      <c r="EV34" s="231">
        <v>61317</v>
      </c>
      <c r="EW34" s="231">
        <v>67516</v>
      </c>
      <c r="EX34" s="231">
        <v>-6199</v>
      </c>
      <c r="EY34" s="229">
        <v>-9.1800000000000007E-2</v>
      </c>
      <c r="EZ34" s="229">
        <v>0.1575</v>
      </c>
      <c r="FA34" s="227" t="s">
        <v>568</v>
      </c>
      <c r="FB34" s="161">
        <f t="shared" si="0"/>
        <v>1415700</v>
      </c>
    </row>
    <row r="35" spans="1:158" ht="17.25" hidden="1" thickBot="1" x14ac:dyDescent="0.3">
      <c r="A35" s="226">
        <v>45957</v>
      </c>
      <c r="B35" s="227" t="s">
        <v>162</v>
      </c>
      <c r="C35" s="227" t="s">
        <v>192</v>
      </c>
      <c r="D35" s="228">
        <v>25</v>
      </c>
      <c r="E35" s="231">
        <v>38965</v>
      </c>
      <c r="F35" s="231">
        <v>38550</v>
      </c>
      <c r="G35" s="228">
        <v>415</v>
      </c>
      <c r="H35" s="229">
        <v>1.0800000000000001E-2</v>
      </c>
      <c r="I35" s="231">
        <v>39005</v>
      </c>
      <c r="J35" s="231">
        <v>38585</v>
      </c>
      <c r="K35" s="228">
        <v>420</v>
      </c>
      <c r="L35" s="229">
        <v>1.09E-2</v>
      </c>
      <c r="M35" s="231">
        <v>38965</v>
      </c>
      <c r="N35" s="231">
        <v>38550</v>
      </c>
      <c r="O35" s="228">
        <v>415</v>
      </c>
      <c r="P35" s="229">
        <v>1.0800000000000001E-2</v>
      </c>
      <c r="Q35" s="231">
        <v>39185</v>
      </c>
      <c r="R35" s="231">
        <v>38760</v>
      </c>
      <c r="S35" s="228">
        <v>425</v>
      </c>
      <c r="T35" s="229">
        <v>1.0999999999999999E-2</v>
      </c>
      <c r="U35" s="231">
        <v>39480</v>
      </c>
      <c r="V35" s="231">
        <v>38965</v>
      </c>
      <c r="W35" s="228">
        <v>515</v>
      </c>
      <c r="X35" s="229">
        <v>1.32E-2</v>
      </c>
      <c r="Y35" s="228">
        <v>-40</v>
      </c>
      <c r="Z35" s="228">
        <v>-35</v>
      </c>
      <c r="AA35" s="228">
        <v>-5</v>
      </c>
      <c r="AB35" s="229">
        <v>-1E-3</v>
      </c>
      <c r="AC35" s="228">
        <v>-40</v>
      </c>
      <c r="AD35" s="228">
        <v>-35</v>
      </c>
      <c r="AE35" s="228">
        <v>-5</v>
      </c>
      <c r="AF35" s="229">
        <v>-1E-3</v>
      </c>
      <c r="AG35" s="228">
        <v>180</v>
      </c>
      <c r="AH35" s="228">
        <v>175</v>
      </c>
      <c r="AI35" s="228">
        <v>5</v>
      </c>
      <c r="AJ35" s="229">
        <v>4.5999999999999999E-3</v>
      </c>
      <c r="AK35" s="228">
        <v>475</v>
      </c>
      <c r="AL35" s="228">
        <v>380</v>
      </c>
      <c r="AM35" s="228">
        <v>95</v>
      </c>
      <c r="AN35" s="229">
        <v>1.2200000000000001E-2</v>
      </c>
      <c r="AO35" s="231">
        <v>38729.15</v>
      </c>
      <c r="AP35" s="231">
        <v>38958.870000000003</v>
      </c>
      <c r="AQ35" s="228">
        <v>0</v>
      </c>
      <c r="AR35" s="230">
        <v>137725</v>
      </c>
      <c r="AS35" s="230">
        <v>192625</v>
      </c>
      <c r="AT35" s="230">
        <v>-54900</v>
      </c>
      <c r="AU35" s="229">
        <v>-0.28499999999999998</v>
      </c>
      <c r="AV35" s="230">
        <v>68750</v>
      </c>
      <c r="AW35" s="230">
        <v>96775</v>
      </c>
      <c r="AX35" s="230">
        <v>-28025</v>
      </c>
      <c r="AY35" s="229">
        <v>-0.28960000000000002</v>
      </c>
      <c r="AZ35" s="230">
        <v>68375</v>
      </c>
      <c r="BA35" s="230">
        <v>95050</v>
      </c>
      <c r="BB35" s="230">
        <v>-26675</v>
      </c>
      <c r="BC35" s="229">
        <v>-0.28060000000000002</v>
      </c>
      <c r="BD35" s="228">
        <v>600</v>
      </c>
      <c r="BE35" s="228">
        <v>800</v>
      </c>
      <c r="BF35" s="228">
        <v>-200</v>
      </c>
      <c r="BG35" s="229">
        <v>-0.25</v>
      </c>
      <c r="BH35" s="230">
        <v>130825</v>
      </c>
      <c r="BI35" s="230">
        <v>149275</v>
      </c>
      <c r="BJ35" s="230">
        <v>-18450</v>
      </c>
      <c r="BK35" s="229">
        <v>-0.1236</v>
      </c>
      <c r="BL35" s="230">
        <v>33725</v>
      </c>
      <c r="BM35" s="230">
        <v>59025</v>
      </c>
      <c r="BN35" s="230">
        <v>-25300</v>
      </c>
      <c r="BO35" s="229">
        <v>-0.42859999999999998</v>
      </c>
      <c r="BP35" s="230">
        <v>302275</v>
      </c>
      <c r="BQ35" s="230">
        <v>400925</v>
      </c>
      <c r="BR35" s="230">
        <v>-98650</v>
      </c>
      <c r="BS35" s="229">
        <v>-0.24610000000000001</v>
      </c>
      <c r="BT35" s="230">
        <v>9954</v>
      </c>
      <c r="BU35" s="230">
        <v>13033</v>
      </c>
      <c r="BV35" s="230">
        <v>-3079</v>
      </c>
      <c r="BW35" s="229">
        <v>-0.23619999999999999</v>
      </c>
      <c r="BX35" s="230">
        <v>229475</v>
      </c>
      <c r="BY35" s="230">
        <v>230975</v>
      </c>
      <c r="BZ35" s="230">
        <v>-1500</v>
      </c>
      <c r="CA35" s="229">
        <v>-6.4999999999999997E-3</v>
      </c>
      <c r="CB35" s="230">
        <v>38475</v>
      </c>
      <c r="CC35" s="230">
        <v>89275</v>
      </c>
      <c r="CD35" s="230">
        <v>-50800</v>
      </c>
      <c r="CE35" s="229">
        <v>-0.56899999999999995</v>
      </c>
      <c r="CF35" s="230">
        <v>189675</v>
      </c>
      <c r="CG35" s="230">
        <v>140500</v>
      </c>
      <c r="CH35" s="230">
        <v>49175</v>
      </c>
      <c r="CI35" s="229">
        <v>0.35</v>
      </c>
      <c r="CJ35" s="230">
        <v>1325</v>
      </c>
      <c r="CK35" s="230">
        <v>1200</v>
      </c>
      <c r="CL35" s="228">
        <v>125</v>
      </c>
      <c r="CM35" s="229">
        <v>0.1042</v>
      </c>
      <c r="CN35" s="230">
        <v>77600</v>
      </c>
      <c r="CO35" s="230">
        <v>75400</v>
      </c>
      <c r="CP35" s="230">
        <v>2200</v>
      </c>
      <c r="CQ35" s="229">
        <v>2.92E-2</v>
      </c>
      <c r="CR35" s="230">
        <v>45525</v>
      </c>
      <c r="CS35" s="230">
        <v>48025</v>
      </c>
      <c r="CT35" s="230">
        <v>-2500</v>
      </c>
      <c r="CU35" s="229">
        <v>-5.21E-2</v>
      </c>
      <c r="CV35" s="230">
        <v>352600</v>
      </c>
      <c r="CW35" s="230">
        <v>354400</v>
      </c>
      <c r="CX35" s="230">
        <v>-1800</v>
      </c>
      <c r="CY35" s="229">
        <v>-5.1000000000000004E-3</v>
      </c>
      <c r="CZ35" s="228">
        <v>21.76</v>
      </c>
      <c r="DA35" s="228">
        <v>22.36</v>
      </c>
      <c r="DB35" s="228">
        <v>-0.6</v>
      </c>
      <c r="DC35" s="228">
        <v>-0.6</v>
      </c>
      <c r="DD35" s="228">
        <v>28.61</v>
      </c>
      <c r="DE35" s="228">
        <v>28.64</v>
      </c>
      <c r="DF35" s="228">
        <v>-6.85</v>
      </c>
      <c r="DG35" s="228">
        <v>-0.03</v>
      </c>
      <c r="DH35" s="228">
        <v>21.36</v>
      </c>
      <c r="DI35" s="228">
        <v>22.35</v>
      </c>
      <c r="DJ35" s="228">
        <v>-0.99</v>
      </c>
      <c r="DK35" s="228">
        <v>-0.99</v>
      </c>
      <c r="DL35" s="228">
        <v>23.21</v>
      </c>
      <c r="DM35" s="228">
        <v>22.4</v>
      </c>
      <c r="DN35" s="228">
        <v>0.81</v>
      </c>
      <c r="DO35" s="228">
        <v>0.81</v>
      </c>
      <c r="DP35" s="228">
        <v>0.59</v>
      </c>
      <c r="DQ35" s="228">
        <v>0.64</v>
      </c>
      <c r="DR35" s="228">
        <v>-0.05</v>
      </c>
      <c r="DS35" s="229">
        <v>-7.8100000000000003E-2</v>
      </c>
      <c r="DT35" s="231">
        <v>40000</v>
      </c>
      <c r="DU35" s="231">
        <v>39000</v>
      </c>
      <c r="DV35" s="228">
        <v>0.26</v>
      </c>
      <c r="DW35" s="228">
        <v>0.4</v>
      </c>
      <c r="DX35" s="228">
        <v>-0.14000000000000001</v>
      </c>
      <c r="DY35" s="229">
        <v>-0.35</v>
      </c>
      <c r="DZ35" s="229">
        <v>0.83230000000000004</v>
      </c>
      <c r="EA35" s="230">
        <v>141700</v>
      </c>
      <c r="EB35" s="229">
        <v>5.5999999999999999E-3</v>
      </c>
      <c r="EC35" s="229">
        <v>0.83230000000000004</v>
      </c>
      <c r="ED35" s="228">
        <v>229.72</v>
      </c>
      <c r="EE35" s="229">
        <v>5.8999999999999999E-3</v>
      </c>
      <c r="EF35" s="230">
        <v>3804</v>
      </c>
      <c r="EG35" s="230">
        <v>5700</v>
      </c>
      <c r="EH35" s="229">
        <v>-0.33260000000000001</v>
      </c>
      <c r="EI35" s="229">
        <v>0.38219999999999998</v>
      </c>
      <c r="EJ35" s="231">
        <v>52655.42</v>
      </c>
      <c r="EK35" s="231">
        <v>12825.44</v>
      </c>
      <c r="EL35" s="231">
        <v>53499.16</v>
      </c>
      <c r="EM35" s="231">
        <v>3870</v>
      </c>
      <c r="EN35" s="231">
        <v>118980.02</v>
      </c>
      <c r="EO35" s="231">
        <v>158038.71</v>
      </c>
      <c r="EP35" s="231">
        <v>-39058.69</v>
      </c>
      <c r="EQ35" s="229">
        <v>-0.24709999999999999</v>
      </c>
      <c r="ER35" s="231">
        <v>31060</v>
      </c>
      <c r="ES35" s="231">
        <v>17182</v>
      </c>
      <c r="ET35" s="231">
        <v>89839</v>
      </c>
      <c r="EU35" s="231">
        <v>982526</v>
      </c>
      <c r="EV35" s="231">
        <v>138081</v>
      </c>
      <c r="EW35" s="231">
        <v>137616</v>
      </c>
      <c r="EX35" s="228">
        <v>465</v>
      </c>
      <c r="EY35" s="229">
        <v>3.3999999999999998E-3</v>
      </c>
      <c r="EZ35" s="229">
        <v>0.3589</v>
      </c>
      <c r="FA35" s="227" t="s">
        <v>556</v>
      </c>
      <c r="FB35" s="161">
        <f t="shared" si="0"/>
        <v>191000</v>
      </c>
    </row>
    <row r="36" spans="1:158" ht="17.25" hidden="1" thickBot="1" x14ac:dyDescent="0.3">
      <c r="A36" s="226">
        <v>45957</v>
      </c>
      <c r="B36" s="227" t="s">
        <v>193</v>
      </c>
      <c r="C36" s="227" t="s">
        <v>194</v>
      </c>
      <c r="D36" s="228">
        <v>1975</v>
      </c>
      <c r="E36" s="228">
        <v>342.75</v>
      </c>
      <c r="F36" s="228">
        <v>330.65</v>
      </c>
      <c r="G36" s="228">
        <v>12.1</v>
      </c>
      <c r="H36" s="229">
        <v>3.6600000000000001E-2</v>
      </c>
      <c r="I36" s="228">
        <v>343</v>
      </c>
      <c r="J36" s="228">
        <v>330.45</v>
      </c>
      <c r="K36" s="228">
        <v>12.55</v>
      </c>
      <c r="L36" s="229">
        <v>3.7999999999999999E-2</v>
      </c>
      <c r="M36" s="228">
        <v>342.75</v>
      </c>
      <c r="N36" s="228">
        <v>330.65</v>
      </c>
      <c r="O36" s="228">
        <v>12.1</v>
      </c>
      <c r="P36" s="229">
        <v>3.6600000000000001E-2</v>
      </c>
      <c r="Q36" s="228">
        <v>343</v>
      </c>
      <c r="R36" s="228">
        <v>331.55</v>
      </c>
      <c r="S36" s="228">
        <v>11.45</v>
      </c>
      <c r="T36" s="229">
        <v>3.4500000000000003E-2</v>
      </c>
      <c r="U36" s="228">
        <v>343.45</v>
      </c>
      <c r="V36" s="228">
        <v>332.65</v>
      </c>
      <c r="W36" s="228">
        <v>10.8</v>
      </c>
      <c r="X36" s="229">
        <v>3.2500000000000001E-2</v>
      </c>
      <c r="Y36" s="228">
        <v>-0.25</v>
      </c>
      <c r="Z36" s="228">
        <v>0.2</v>
      </c>
      <c r="AA36" s="228">
        <v>-0.45</v>
      </c>
      <c r="AB36" s="229">
        <v>-6.9999999999999999E-4</v>
      </c>
      <c r="AC36" s="228">
        <v>-0.25</v>
      </c>
      <c r="AD36" s="228">
        <v>0.2</v>
      </c>
      <c r="AE36" s="228">
        <v>-0.45</v>
      </c>
      <c r="AF36" s="229">
        <v>-6.9999999999999999E-4</v>
      </c>
      <c r="AG36" s="228">
        <v>0</v>
      </c>
      <c r="AH36" s="228">
        <v>1.1000000000000001</v>
      </c>
      <c r="AI36" s="228">
        <v>-1.1000000000000001</v>
      </c>
      <c r="AJ36" s="229">
        <v>0</v>
      </c>
      <c r="AK36" s="228">
        <v>0.45</v>
      </c>
      <c r="AL36" s="228">
        <v>2.2000000000000002</v>
      </c>
      <c r="AM36" s="228">
        <v>-1.75</v>
      </c>
      <c r="AN36" s="229">
        <v>1.2999999999999999E-3</v>
      </c>
      <c r="AO36" s="228">
        <v>339.37</v>
      </c>
      <c r="AP36" s="228">
        <v>340.14</v>
      </c>
      <c r="AQ36" s="228">
        <v>0</v>
      </c>
      <c r="AR36" s="230">
        <v>25289875</v>
      </c>
      <c r="AS36" s="230">
        <v>23091700</v>
      </c>
      <c r="AT36" s="230">
        <v>2198175</v>
      </c>
      <c r="AU36" s="229">
        <v>9.5200000000000007E-2</v>
      </c>
      <c r="AV36" s="230">
        <v>11644600</v>
      </c>
      <c r="AW36" s="230">
        <v>11535975</v>
      </c>
      <c r="AX36" s="230">
        <v>108625</v>
      </c>
      <c r="AY36" s="229">
        <v>9.4000000000000004E-3</v>
      </c>
      <c r="AZ36" s="230">
        <v>13352975</v>
      </c>
      <c r="BA36" s="230">
        <v>11417475</v>
      </c>
      <c r="BB36" s="230">
        <v>1935500</v>
      </c>
      <c r="BC36" s="229">
        <v>0.16950000000000001</v>
      </c>
      <c r="BD36" s="230">
        <v>292300</v>
      </c>
      <c r="BE36" s="230">
        <v>138250</v>
      </c>
      <c r="BF36" s="230">
        <v>154050</v>
      </c>
      <c r="BG36" s="229">
        <v>1.1143000000000001</v>
      </c>
      <c r="BH36" s="230">
        <v>57689750</v>
      </c>
      <c r="BI36" s="230">
        <v>34497325</v>
      </c>
      <c r="BJ36" s="230">
        <v>23192425</v>
      </c>
      <c r="BK36" s="229">
        <v>0.67230000000000001</v>
      </c>
      <c r="BL36" s="230">
        <v>26077900</v>
      </c>
      <c r="BM36" s="230">
        <v>19481400</v>
      </c>
      <c r="BN36" s="230">
        <v>6596500</v>
      </c>
      <c r="BO36" s="229">
        <v>0.33860000000000001</v>
      </c>
      <c r="BP36" s="230">
        <v>109057525</v>
      </c>
      <c r="BQ36" s="230">
        <v>77070425</v>
      </c>
      <c r="BR36" s="230">
        <v>31987100</v>
      </c>
      <c r="BS36" s="229">
        <v>0.41499999999999998</v>
      </c>
      <c r="BT36" s="230">
        <v>12620738</v>
      </c>
      <c r="BU36" s="230">
        <v>9129520</v>
      </c>
      <c r="BV36" s="230">
        <v>3491218</v>
      </c>
      <c r="BW36" s="229">
        <v>0.38240000000000002</v>
      </c>
      <c r="BX36" s="230">
        <v>48270975</v>
      </c>
      <c r="BY36" s="230">
        <v>49971450</v>
      </c>
      <c r="BZ36" s="230">
        <v>-1700475</v>
      </c>
      <c r="CA36" s="229">
        <v>-3.4000000000000002E-2</v>
      </c>
      <c r="CB36" s="230">
        <v>22590050</v>
      </c>
      <c r="CC36" s="230">
        <v>29771150</v>
      </c>
      <c r="CD36" s="230">
        <v>-7181100</v>
      </c>
      <c r="CE36" s="229">
        <v>-0.2412</v>
      </c>
      <c r="CF36" s="230">
        <v>25335300</v>
      </c>
      <c r="CG36" s="230">
        <v>19898125</v>
      </c>
      <c r="CH36" s="230">
        <v>5437175</v>
      </c>
      <c r="CI36" s="229">
        <v>0.27329999999999999</v>
      </c>
      <c r="CJ36" s="230">
        <v>345625</v>
      </c>
      <c r="CK36" s="230">
        <v>302175</v>
      </c>
      <c r="CL36" s="230">
        <v>43450</v>
      </c>
      <c r="CM36" s="229">
        <v>0.14380000000000001</v>
      </c>
      <c r="CN36" s="230">
        <v>14731525</v>
      </c>
      <c r="CO36" s="230">
        <v>15837525</v>
      </c>
      <c r="CP36" s="230">
        <v>-1106000</v>
      </c>
      <c r="CQ36" s="229">
        <v>-6.9800000000000001E-2</v>
      </c>
      <c r="CR36" s="230">
        <v>11174550</v>
      </c>
      <c r="CS36" s="230">
        <v>10185075</v>
      </c>
      <c r="CT36" s="230">
        <v>989475</v>
      </c>
      <c r="CU36" s="229">
        <v>9.7100000000000006E-2</v>
      </c>
      <c r="CV36" s="230">
        <v>74177050</v>
      </c>
      <c r="CW36" s="230">
        <v>75994050</v>
      </c>
      <c r="CX36" s="230">
        <v>-1817000</v>
      </c>
      <c r="CY36" s="229">
        <v>-2.3900000000000001E-2</v>
      </c>
      <c r="CZ36" s="228">
        <v>29.21</v>
      </c>
      <c r="DA36" s="228">
        <v>27.22</v>
      </c>
      <c r="DB36" s="228">
        <v>1.99</v>
      </c>
      <c r="DC36" s="228">
        <v>1.99</v>
      </c>
      <c r="DD36" s="228">
        <v>33.46</v>
      </c>
      <c r="DE36" s="228">
        <v>33.19</v>
      </c>
      <c r="DF36" s="228">
        <v>-4.25</v>
      </c>
      <c r="DG36" s="228">
        <v>0.27</v>
      </c>
      <c r="DH36" s="228">
        <v>29.13</v>
      </c>
      <c r="DI36" s="228">
        <v>27.4</v>
      </c>
      <c r="DJ36" s="228">
        <v>1.73</v>
      </c>
      <c r="DK36" s="228">
        <v>1.73</v>
      </c>
      <c r="DL36" s="228">
        <v>29.42</v>
      </c>
      <c r="DM36" s="228">
        <v>26.88</v>
      </c>
      <c r="DN36" s="228">
        <v>2.54</v>
      </c>
      <c r="DO36" s="228">
        <v>2.54</v>
      </c>
      <c r="DP36" s="228">
        <v>0.76</v>
      </c>
      <c r="DQ36" s="228">
        <v>0.64</v>
      </c>
      <c r="DR36" s="228">
        <v>0.12</v>
      </c>
      <c r="DS36" s="229">
        <v>0.1875</v>
      </c>
      <c r="DT36" s="228">
        <v>350</v>
      </c>
      <c r="DU36" s="228">
        <v>340</v>
      </c>
      <c r="DV36" s="228">
        <v>0.45</v>
      </c>
      <c r="DW36" s="228">
        <v>0.56000000000000005</v>
      </c>
      <c r="DX36" s="228">
        <v>-0.11</v>
      </c>
      <c r="DY36" s="229">
        <v>-0.19639999999999999</v>
      </c>
      <c r="DZ36" s="229">
        <v>0.53200000000000003</v>
      </c>
      <c r="EA36" s="230">
        <v>20200300</v>
      </c>
      <c r="EB36" s="229">
        <v>6.9999999999999999E-4</v>
      </c>
      <c r="EC36" s="229">
        <v>0.53200000000000003</v>
      </c>
      <c r="ED36" s="228">
        <v>0.77</v>
      </c>
      <c r="EE36" s="229">
        <v>2.3E-3</v>
      </c>
      <c r="EF36" s="230">
        <v>6003889</v>
      </c>
      <c r="EG36" s="230">
        <v>5082657</v>
      </c>
      <c r="EH36" s="229">
        <v>0.18129999999999999</v>
      </c>
      <c r="EI36" s="229">
        <v>0.47570000000000001</v>
      </c>
      <c r="EJ36" s="231">
        <v>201002.2</v>
      </c>
      <c r="EK36" s="231">
        <v>87863.9</v>
      </c>
      <c r="EL36" s="231">
        <v>85930.61</v>
      </c>
      <c r="EM36" s="231">
        <v>7934</v>
      </c>
      <c r="EN36" s="231">
        <v>374796.71</v>
      </c>
      <c r="EO36" s="231">
        <v>259661.8</v>
      </c>
      <c r="EP36" s="231">
        <v>115134.91</v>
      </c>
      <c r="EQ36" s="229">
        <v>0.44340000000000002</v>
      </c>
      <c r="ER36" s="231">
        <v>51920</v>
      </c>
      <c r="ES36" s="231">
        <v>36543</v>
      </c>
      <c r="ET36" s="231">
        <v>165515</v>
      </c>
      <c r="EU36" s="231">
        <v>281577339</v>
      </c>
      <c r="EV36" s="231">
        <v>253977</v>
      </c>
      <c r="EW36" s="231">
        <v>253972</v>
      </c>
      <c r="EX36" s="228">
        <v>5</v>
      </c>
      <c r="EY36" s="229">
        <v>0</v>
      </c>
      <c r="EZ36" s="229">
        <v>0.26340000000000002</v>
      </c>
      <c r="FA36" s="227" t="s">
        <v>556</v>
      </c>
      <c r="FB36" s="161">
        <f t="shared" si="0"/>
        <v>25680925</v>
      </c>
    </row>
    <row r="37" spans="1:158" ht="17.25" hidden="1" thickBot="1" x14ac:dyDescent="0.3">
      <c r="A37" s="226">
        <v>45957</v>
      </c>
      <c r="B37" s="227" t="s">
        <v>168</v>
      </c>
      <c r="C37" s="227" t="s">
        <v>195</v>
      </c>
      <c r="D37" s="228">
        <v>125</v>
      </c>
      <c r="E37" s="231">
        <v>5910.5</v>
      </c>
      <c r="F37" s="231">
        <v>6052</v>
      </c>
      <c r="G37" s="228">
        <v>-141.5</v>
      </c>
      <c r="H37" s="229">
        <v>-2.3400000000000001E-2</v>
      </c>
      <c r="I37" s="231">
        <v>5912</v>
      </c>
      <c r="J37" s="231">
        <v>6053</v>
      </c>
      <c r="K37" s="228">
        <v>-141</v>
      </c>
      <c r="L37" s="229">
        <v>-2.3300000000000001E-2</v>
      </c>
      <c r="M37" s="231">
        <v>5910.5</v>
      </c>
      <c r="N37" s="231">
        <v>6052</v>
      </c>
      <c r="O37" s="228">
        <v>-141.5</v>
      </c>
      <c r="P37" s="229">
        <v>-2.3400000000000001E-2</v>
      </c>
      <c r="Q37" s="231">
        <v>5944</v>
      </c>
      <c r="R37" s="231">
        <v>6086.5</v>
      </c>
      <c r="S37" s="228">
        <v>-142.5</v>
      </c>
      <c r="T37" s="229">
        <v>-2.3400000000000001E-2</v>
      </c>
      <c r="U37" s="231">
        <v>5983</v>
      </c>
      <c r="V37" s="231">
        <v>6112</v>
      </c>
      <c r="W37" s="228">
        <v>-129</v>
      </c>
      <c r="X37" s="229">
        <v>-2.1100000000000001E-2</v>
      </c>
      <c r="Y37" s="228">
        <v>-1.5</v>
      </c>
      <c r="Z37" s="228">
        <v>-1</v>
      </c>
      <c r="AA37" s="228">
        <v>-0.5</v>
      </c>
      <c r="AB37" s="229">
        <v>-2.9999999999999997E-4</v>
      </c>
      <c r="AC37" s="228">
        <v>-1.5</v>
      </c>
      <c r="AD37" s="228">
        <v>-1</v>
      </c>
      <c r="AE37" s="228">
        <v>-0.5</v>
      </c>
      <c r="AF37" s="229">
        <v>-2.9999999999999997E-4</v>
      </c>
      <c r="AG37" s="228">
        <v>32</v>
      </c>
      <c r="AH37" s="228">
        <v>33.5</v>
      </c>
      <c r="AI37" s="228">
        <v>-1.5</v>
      </c>
      <c r="AJ37" s="229">
        <v>5.4000000000000003E-3</v>
      </c>
      <c r="AK37" s="228">
        <v>71</v>
      </c>
      <c r="AL37" s="228">
        <v>59</v>
      </c>
      <c r="AM37" s="228">
        <v>12</v>
      </c>
      <c r="AN37" s="229">
        <v>1.2E-2</v>
      </c>
      <c r="AO37" s="231">
        <v>5936.62</v>
      </c>
      <c r="AP37" s="231">
        <v>5962.91</v>
      </c>
      <c r="AQ37" s="228">
        <v>0</v>
      </c>
      <c r="AR37" s="230">
        <v>2663625</v>
      </c>
      <c r="AS37" s="230">
        <v>2802750</v>
      </c>
      <c r="AT37" s="230">
        <v>-139125</v>
      </c>
      <c r="AU37" s="229">
        <v>-4.9599999999999998E-2</v>
      </c>
      <c r="AV37" s="230">
        <v>1138000</v>
      </c>
      <c r="AW37" s="230">
        <v>1409125</v>
      </c>
      <c r="AX37" s="230">
        <v>-271125</v>
      </c>
      <c r="AY37" s="229">
        <v>-0.19239999999999999</v>
      </c>
      <c r="AZ37" s="230">
        <v>1519000</v>
      </c>
      <c r="BA37" s="230">
        <v>1391375</v>
      </c>
      <c r="BB37" s="230">
        <v>127625</v>
      </c>
      <c r="BC37" s="229">
        <v>9.1700000000000004E-2</v>
      </c>
      <c r="BD37" s="230">
        <v>6625</v>
      </c>
      <c r="BE37" s="230">
        <v>2250</v>
      </c>
      <c r="BF37" s="230">
        <v>4375</v>
      </c>
      <c r="BG37" s="229">
        <v>1.9443999999999999</v>
      </c>
      <c r="BH37" s="230">
        <v>2519125</v>
      </c>
      <c r="BI37" s="230">
        <v>820000</v>
      </c>
      <c r="BJ37" s="230">
        <v>1699125</v>
      </c>
      <c r="BK37" s="229">
        <v>2.0720999999999998</v>
      </c>
      <c r="BL37" s="230">
        <v>2545250</v>
      </c>
      <c r="BM37" s="230">
        <v>736250</v>
      </c>
      <c r="BN37" s="230">
        <v>1809000</v>
      </c>
      <c r="BO37" s="229">
        <v>2.4569999999999999</v>
      </c>
      <c r="BP37" s="230">
        <v>7728000</v>
      </c>
      <c r="BQ37" s="230">
        <v>4359000</v>
      </c>
      <c r="BR37" s="230">
        <v>3369000</v>
      </c>
      <c r="BS37" s="229">
        <v>0.77290000000000003</v>
      </c>
      <c r="BT37" s="230">
        <v>441465</v>
      </c>
      <c r="BU37" s="230">
        <v>84296</v>
      </c>
      <c r="BV37" s="230">
        <v>357169</v>
      </c>
      <c r="BW37" s="229">
        <v>4.2370999999999999</v>
      </c>
      <c r="BX37" s="230">
        <v>3510500</v>
      </c>
      <c r="BY37" s="230">
        <v>3625125</v>
      </c>
      <c r="BZ37" s="230">
        <v>-114625</v>
      </c>
      <c r="CA37" s="229">
        <v>-3.1600000000000003E-2</v>
      </c>
      <c r="CB37" s="230">
        <v>712500</v>
      </c>
      <c r="CC37" s="230">
        <v>1647500</v>
      </c>
      <c r="CD37" s="230">
        <v>-935000</v>
      </c>
      <c r="CE37" s="229">
        <v>-0.5675</v>
      </c>
      <c r="CF37" s="230">
        <v>2787375</v>
      </c>
      <c r="CG37" s="230">
        <v>1970375</v>
      </c>
      <c r="CH37" s="230">
        <v>817000</v>
      </c>
      <c r="CI37" s="229">
        <v>0.41460000000000002</v>
      </c>
      <c r="CJ37" s="230">
        <v>10625</v>
      </c>
      <c r="CK37" s="230">
        <v>7250</v>
      </c>
      <c r="CL37" s="230">
        <v>3375</v>
      </c>
      <c r="CM37" s="229">
        <v>0.46550000000000002</v>
      </c>
      <c r="CN37" s="230">
        <v>908125</v>
      </c>
      <c r="CO37" s="230">
        <v>828875</v>
      </c>
      <c r="CP37" s="230">
        <v>79250</v>
      </c>
      <c r="CQ37" s="229">
        <v>9.5600000000000004E-2</v>
      </c>
      <c r="CR37" s="230">
        <v>685375</v>
      </c>
      <c r="CS37" s="230">
        <v>642125</v>
      </c>
      <c r="CT37" s="230">
        <v>43250</v>
      </c>
      <c r="CU37" s="229">
        <v>6.7400000000000002E-2</v>
      </c>
      <c r="CV37" s="230">
        <v>5104000</v>
      </c>
      <c r="CW37" s="230">
        <v>5096125</v>
      </c>
      <c r="CX37" s="230">
        <v>7875</v>
      </c>
      <c r="CY37" s="229">
        <v>1.5E-3</v>
      </c>
      <c r="CZ37" s="228">
        <v>22.95</v>
      </c>
      <c r="DA37" s="228">
        <v>21.84</v>
      </c>
      <c r="DB37" s="228">
        <v>1.1100000000000001</v>
      </c>
      <c r="DC37" s="228">
        <v>1.1100000000000001</v>
      </c>
      <c r="DD37" s="228">
        <v>24.76</v>
      </c>
      <c r="DE37" s="228">
        <v>24.61</v>
      </c>
      <c r="DF37" s="228">
        <v>-1.81</v>
      </c>
      <c r="DG37" s="228">
        <v>0.15</v>
      </c>
      <c r="DH37" s="228">
        <v>22.91</v>
      </c>
      <c r="DI37" s="228">
        <v>21.55</v>
      </c>
      <c r="DJ37" s="228">
        <v>1.36</v>
      </c>
      <c r="DK37" s="228">
        <v>1.36</v>
      </c>
      <c r="DL37" s="228">
        <v>23.01</v>
      </c>
      <c r="DM37" s="228">
        <v>22.19</v>
      </c>
      <c r="DN37" s="228">
        <v>0.82</v>
      </c>
      <c r="DO37" s="228">
        <v>0.82</v>
      </c>
      <c r="DP37" s="228">
        <v>0.75</v>
      </c>
      <c r="DQ37" s="228">
        <v>0.77</v>
      </c>
      <c r="DR37" s="228">
        <v>-0.02</v>
      </c>
      <c r="DS37" s="229">
        <v>-2.5999999999999999E-2</v>
      </c>
      <c r="DT37" s="231">
        <v>6600</v>
      </c>
      <c r="DU37" s="231">
        <v>5500</v>
      </c>
      <c r="DV37" s="228">
        <v>1.01</v>
      </c>
      <c r="DW37" s="228">
        <v>0.9</v>
      </c>
      <c r="DX37" s="228">
        <v>0.11</v>
      </c>
      <c r="DY37" s="229">
        <v>0.1222</v>
      </c>
      <c r="DZ37" s="229">
        <v>0.79700000000000004</v>
      </c>
      <c r="EA37" s="230">
        <v>1977625</v>
      </c>
      <c r="EB37" s="229">
        <v>5.7000000000000002E-3</v>
      </c>
      <c r="EC37" s="229">
        <v>0.79700000000000004</v>
      </c>
      <c r="ED37" s="228">
        <v>26.29</v>
      </c>
      <c r="EE37" s="229">
        <v>4.4000000000000003E-3</v>
      </c>
      <c r="EF37" s="230">
        <v>250702</v>
      </c>
      <c r="EG37" s="230">
        <v>43275</v>
      </c>
      <c r="EH37" s="229">
        <v>4.7931999999999997</v>
      </c>
      <c r="EI37" s="229">
        <v>0.56789999999999996</v>
      </c>
      <c r="EJ37" s="231">
        <v>153334.04</v>
      </c>
      <c r="EK37" s="231">
        <v>149027.44</v>
      </c>
      <c r="EL37" s="231">
        <v>158532.51999999999</v>
      </c>
      <c r="EM37" s="231">
        <v>9727</v>
      </c>
      <c r="EN37" s="231">
        <v>460894</v>
      </c>
      <c r="EO37" s="231">
        <v>264067.37</v>
      </c>
      <c r="EP37" s="231">
        <v>196826.63</v>
      </c>
      <c r="EQ37" s="229">
        <v>0.74539999999999995</v>
      </c>
      <c r="ER37" s="231">
        <v>56944</v>
      </c>
      <c r="ES37" s="231">
        <v>39371</v>
      </c>
      <c r="ET37" s="231">
        <v>208430</v>
      </c>
      <c r="EU37" s="231">
        <v>13082978</v>
      </c>
      <c r="EV37" s="231">
        <v>304745</v>
      </c>
      <c r="EW37" s="231">
        <v>309409</v>
      </c>
      <c r="EX37" s="231">
        <v>-4664</v>
      </c>
      <c r="EY37" s="229">
        <v>-1.5100000000000001E-2</v>
      </c>
      <c r="EZ37" s="229">
        <v>0.3901</v>
      </c>
      <c r="FA37" s="227" t="s">
        <v>568</v>
      </c>
      <c r="FB37" s="161">
        <f t="shared" si="0"/>
        <v>2798000</v>
      </c>
    </row>
    <row r="38" spans="1:158" ht="17.25" hidden="1" thickBot="1" x14ac:dyDescent="0.3">
      <c r="A38" s="226">
        <v>45957</v>
      </c>
      <c r="B38" s="227" t="s">
        <v>175</v>
      </c>
      <c r="C38" s="227" t="s">
        <v>584</v>
      </c>
      <c r="D38" s="228">
        <v>375</v>
      </c>
      <c r="E38" s="231">
        <v>2511.4</v>
      </c>
      <c r="F38" s="231">
        <v>2476.3000000000002</v>
      </c>
      <c r="G38" s="228">
        <v>35.1</v>
      </c>
      <c r="H38" s="229">
        <v>1.4200000000000001E-2</v>
      </c>
      <c r="I38" s="231">
        <v>2510.1999999999998</v>
      </c>
      <c r="J38" s="231">
        <v>2475</v>
      </c>
      <c r="K38" s="228">
        <v>35.200000000000003</v>
      </c>
      <c r="L38" s="229">
        <v>1.4200000000000001E-2</v>
      </c>
      <c r="M38" s="231">
        <v>2511.4</v>
      </c>
      <c r="N38" s="231">
        <v>2476.3000000000002</v>
      </c>
      <c r="O38" s="228">
        <v>35.1</v>
      </c>
      <c r="P38" s="229">
        <v>1.4200000000000001E-2</v>
      </c>
      <c r="Q38" s="231">
        <v>2526.3000000000002</v>
      </c>
      <c r="R38" s="231">
        <v>2489.8000000000002</v>
      </c>
      <c r="S38" s="228">
        <v>36.5</v>
      </c>
      <c r="T38" s="229">
        <v>1.47E-2</v>
      </c>
      <c r="U38" s="231">
        <v>2540</v>
      </c>
      <c r="V38" s="231">
        <v>2501.1999999999998</v>
      </c>
      <c r="W38" s="228">
        <v>38.799999999999997</v>
      </c>
      <c r="X38" s="229">
        <v>1.55E-2</v>
      </c>
      <c r="Y38" s="228">
        <v>1.2</v>
      </c>
      <c r="Z38" s="228">
        <v>1.3</v>
      </c>
      <c r="AA38" s="228">
        <v>-0.1</v>
      </c>
      <c r="AB38" s="229">
        <v>5.0000000000000001E-4</v>
      </c>
      <c r="AC38" s="228">
        <v>1.2</v>
      </c>
      <c r="AD38" s="228">
        <v>1.3</v>
      </c>
      <c r="AE38" s="228">
        <v>-0.1</v>
      </c>
      <c r="AF38" s="229">
        <v>5.0000000000000001E-4</v>
      </c>
      <c r="AG38" s="228">
        <v>16.100000000000001</v>
      </c>
      <c r="AH38" s="228">
        <v>14.8</v>
      </c>
      <c r="AI38" s="228">
        <v>1.3</v>
      </c>
      <c r="AJ38" s="229">
        <v>6.4000000000000003E-3</v>
      </c>
      <c r="AK38" s="228">
        <v>29.8</v>
      </c>
      <c r="AL38" s="228">
        <v>26.2</v>
      </c>
      <c r="AM38" s="228">
        <v>3.6</v>
      </c>
      <c r="AN38" s="229">
        <v>1.1900000000000001E-2</v>
      </c>
      <c r="AO38" s="231">
        <v>2500.2399999999998</v>
      </c>
      <c r="AP38" s="231">
        <v>2514.8200000000002</v>
      </c>
      <c r="AQ38" s="228">
        <v>0</v>
      </c>
      <c r="AR38" s="230">
        <v>9346875</v>
      </c>
      <c r="AS38" s="230">
        <v>7840125</v>
      </c>
      <c r="AT38" s="230">
        <v>1506750</v>
      </c>
      <c r="AU38" s="229">
        <v>0.19220000000000001</v>
      </c>
      <c r="AV38" s="230">
        <v>4486125</v>
      </c>
      <c r="AW38" s="230">
        <v>4078875</v>
      </c>
      <c r="AX38" s="230">
        <v>407250</v>
      </c>
      <c r="AY38" s="229">
        <v>9.98E-2</v>
      </c>
      <c r="AZ38" s="230">
        <v>4734000</v>
      </c>
      <c r="BA38" s="230">
        <v>3651375</v>
      </c>
      <c r="BB38" s="230">
        <v>1082625</v>
      </c>
      <c r="BC38" s="229">
        <v>0.29649999999999999</v>
      </c>
      <c r="BD38" s="230">
        <v>126750</v>
      </c>
      <c r="BE38" s="230">
        <v>109875</v>
      </c>
      <c r="BF38" s="230">
        <v>16875</v>
      </c>
      <c r="BG38" s="229">
        <v>0.15359999999999999</v>
      </c>
      <c r="BH38" s="230">
        <v>18792375</v>
      </c>
      <c r="BI38" s="230">
        <v>13766250</v>
      </c>
      <c r="BJ38" s="230">
        <v>5026125</v>
      </c>
      <c r="BK38" s="229">
        <v>0.36509999999999998</v>
      </c>
      <c r="BL38" s="230">
        <v>11063625</v>
      </c>
      <c r="BM38" s="230">
        <v>10441875</v>
      </c>
      <c r="BN38" s="230">
        <v>621750</v>
      </c>
      <c r="BO38" s="229">
        <v>5.9499999999999997E-2</v>
      </c>
      <c r="BP38" s="230">
        <v>39202875</v>
      </c>
      <c r="BQ38" s="230">
        <v>32048250</v>
      </c>
      <c r="BR38" s="230">
        <v>7154625</v>
      </c>
      <c r="BS38" s="229">
        <v>0.22320000000000001</v>
      </c>
      <c r="BT38" s="230">
        <v>2544807</v>
      </c>
      <c r="BU38" s="230">
        <v>2121602</v>
      </c>
      <c r="BV38" s="230">
        <v>423205</v>
      </c>
      <c r="BW38" s="229">
        <v>0.19950000000000001</v>
      </c>
      <c r="BX38" s="230">
        <v>13159500</v>
      </c>
      <c r="BY38" s="230">
        <v>13080000</v>
      </c>
      <c r="BZ38" s="230">
        <v>79500</v>
      </c>
      <c r="CA38" s="229">
        <v>6.1000000000000004E-3</v>
      </c>
      <c r="CB38" s="230">
        <v>3662625</v>
      </c>
      <c r="CC38" s="230">
        <v>6885000</v>
      </c>
      <c r="CD38" s="230">
        <v>-3222375</v>
      </c>
      <c r="CE38" s="229">
        <v>-0.46800000000000003</v>
      </c>
      <c r="CF38" s="230">
        <v>9126375</v>
      </c>
      <c r="CG38" s="230">
        <v>5867625</v>
      </c>
      <c r="CH38" s="230">
        <v>3258750</v>
      </c>
      <c r="CI38" s="229">
        <v>0.5554</v>
      </c>
      <c r="CJ38" s="230">
        <v>370500</v>
      </c>
      <c r="CK38" s="230">
        <v>327375</v>
      </c>
      <c r="CL38" s="230">
        <v>43125</v>
      </c>
      <c r="CM38" s="229">
        <v>0.13170000000000001</v>
      </c>
      <c r="CN38" s="230">
        <v>8539875</v>
      </c>
      <c r="CO38" s="230">
        <v>9263625</v>
      </c>
      <c r="CP38" s="230">
        <v>-723750</v>
      </c>
      <c r="CQ38" s="229">
        <v>-7.8100000000000003E-2</v>
      </c>
      <c r="CR38" s="230">
        <v>6615750</v>
      </c>
      <c r="CS38" s="230">
        <v>7112250</v>
      </c>
      <c r="CT38" s="230">
        <v>-496500</v>
      </c>
      <c r="CU38" s="229">
        <v>-6.9800000000000001E-2</v>
      </c>
      <c r="CV38" s="230">
        <v>28315125</v>
      </c>
      <c r="CW38" s="230">
        <v>29455875</v>
      </c>
      <c r="CX38" s="230">
        <v>-1140750</v>
      </c>
      <c r="CY38" s="229">
        <v>-3.8699999999999998E-2</v>
      </c>
      <c r="CZ38" s="228">
        <v>42.82</v>
      </c>
      <c r="DA38" s="228">
        <v>41.37</v>
      </c>
      <c r="DB38" s="228">
        <v>1.45</v>
      </c>
      <c r="DC38" s="228">
        <v>1.45</v>
      </c>
      <c r="DD38" s="228">
        <v>62.53</v>
      </c>
      <c r="DE38" s="228">
        <v>62.66</v>
      </c>
      <c r="DF38" s="228">
        <v>-19.71</v>
      </c>
      <c r="DG38" s="228">
        <v>-0.13</v>
      </c>
      <c r="DH38" s="228">
        <v>42.6</v>
      </c>
      <c r="DI38" s="228">
        <v>41.03</v>
      </c>
      <c r="DJ38" s="228">
        <v>1.57</v>
      </c>
      <c r="DK38" s="228">
        <v>1.57</v>
      </c>
      <c r="DL38" s="228">
        <v>43.27</v>
      </c>
      <c r="DM38" s="228">
        <v>41.71</v>
      </c>
      <c r="DN38" s="228">
        <v>1.56</v>
      </c>
      <c r="DO38" s="228">
        <v>1.56</v>
      </c>
      <c r="DP38" s="228">
        <v>0.77</v>
      </c>
      <c r="DQ38" s="228">
        <v>0.77</v>
      </c>
      <c r="DR38" s="228">
        <v>0</v>
      </c>
      <c r="DS38" s="229">
        <v>0</v>
      </c>
      <c r="DT38" s="231">
        <v>2500</v>
      </c>
      <c r="DU38" s="231">
        <v>2500</v>
      </c>
      <c r="DV38" s="228">
        <v>0.59</v>
      </c>
      <c r="DW38" s="228">
        <v>0.76</v>
      </c>
      <c r="DX38" s="228">
        <v>-0.17</v>
      </c>
      <c r="DY38" s="229">
        <v>-0.22370000000000001</v>
      </c>
      <c r="DZ38" s="229">
        <v>0.72170000000000001</v>
      </c>
      <c r="EA38" s="230">
        <v>6195000</v>
      </c>
      <c r="EB38" s="229">
        <v>5.8999999999999999E-3</v>
      </c>
      <c r="EC38" s="229">
        <v>0.72170000000000001</v>
      </c>
      <c r="ED38" s="228">
        <v>14.58</v>
      </c>
      <c r="EE38" s="229">
        <v>5.7999999999999996E-3</v>
      </c>
      <c r="EF38" s="230">
        <v>996128</v>
      </c>
      <c r="EG38" s="230">
        <v>594914</v>
      </c>
      <c r="EH38" s="229">
        <v>0.6744</v>
      </c>
      <c r="EI38" s="229">
        <v>0.39140000000000003</v>
      </c>
      <c r="EJ38" s="231">
        <v>491007.77</v>
      </c>
      <c r="EK38" s="231">
        <v>265822.96000000002</v>
      </c>
      <c r="EL38" s="231">
        <v>234417.95</v>
      </c>
      <c r="EM38" s="231">
        <v>12761</v>
      </c>
      <c r="EN38" s="231">
        <v>991248.68</v>
      </c>
      <c r="EO38" s="231">
        <v>805042.65</v>
      </c>
      <c r="EP38" s="231">
        <v>186206.03</v>
      </c>
      <c r="EQ38" s="229">
        <v>0.23130000000000001</v>
      </c>
      <c r="ER38" s="231">
        <v>215872</v>
      </c>
      <c r="ES38" s="231">
        <v>149943</v>
      </c>
      <c r="ET38" s="231">
        <v>331953</v>
      </c>
      <c r="EU38" s="231">
        <v>48385387</v>
      </c>
      <c r="EV38" s="231">
        <v>697769</v>
      </c>
      <c r="EW38" s="231">
        <v>719762</v>
      </c>
      <c r="EX38" s="231">
        <v>-21993</v>
      </c>
      <c r="EY38" s="229">
        <v>-3.0599999999999999E-2</v>
      </c>
      <c r="EZ38" s="229">
        <v>0.58520000000000005</v>
      </c>
      <c r="FA38" s="227" t="s">
        <v>555</v>
      </c>
      <c r="FB38" s="161">
        <f t="shared" si="0"/>
        <v>9496875</v>
      </c>
    </row>
    <row r="39" spans="1:158" ht="17.25" hidden="1" thickBot="1" x14ac:dyDescent="0.3">
      <c r="A39" s="226">
        <v>45957</v>
      </c>
      <c r="B39" s="227" t="s">
        <v>175</v>
      </c>
      <c r="C39" s="227" t="s">
        <v>611</v>
      </c>
      <c r="D39" s="228">
        <v>150</v>
      </c>
      <c r="E39" s="231">
        <v>3973.9</v>
      </c>
      <c r="F39" s="231">
        <v>3880.9</v>
      </c>
      <c r="G39" s="228">
        <v>93</v>
      </c>
      <c r="H39" s="229">
        <v>2.4E-2</v>
      </c>
      <c r="I39" s="231">
        <v>3965.4</v>
      </c>
      <c r="J39" s="231">
        <v>3880.2</v>
      </c>
      <c r="K39" s="228">
        <v>85.2</v>
      </c>
      <c r="L39" s="229">
        <v>2.1999999999999999E-2</v>
      </c>
      <c r="M39" s="231">
        <v>3973.9</v>
      </c>
      <c r="N39" s="231">
        <v>3880.9</v>
      </c>
      <c r="O39" s="228">
        <v>93</v>
      </c>
      <c r="P39" s="229">
        <v>2.4E-2</v>
      </c>
      <c r="Q39" s="231">
        <v>3978.6</v>
      </c>
      <c r="R39" s="231">
        <v>3879.4</v>
      </c>
      <c r="S39" s="228">
        <v>99.2</v>
      </c>
      <c r="T39" s="229">
        <v>2.5600000000000001E-2</v>
      </c>
      <c r="U39" s="231">
        <v>3998.2</v>
      </c>
      <c r="V39" s="231">
        <v>3901.5</v>
      </c>
      <c r="W39" s="228">
        <v>96.7</v>
      </c>
      <c r="X39" s="229">
        <v>2.4799999999999999E-2</v>
      </c>
      <c r="Y39" s="228">
        <v>8.5</v>
      </c>
      <c r="Z39" s="228">
        <v>0.7</v>
      </c>
      <c r="AA39" s="228">
        <v>7.8</v>
      </c>
      <c r="AB39" s="229">
        <v>2.0999999999999999E-3</v>
      </c>
      <c r="AC39" s="228">
        <v>8.5</v>
      </c>
      <c r="AD39" s="228">
        <v>0.7</v>
      </c>
      <c r="AE39" s="228">
        <v>7.8</v>
      </c>
      <c r="AF39" s="229">
        <v>2.0999999999999999E-3</v>
      </c>
      <c r="AG39" s="228">
        <v>13.2</v>
      </c>
      <c r="AH39" s="228">
        <v>-0.8</v>
      </c>
      <c r="AI39" s="228">
        <v>14</v>
      </c>
      <c r="AJ39" s="229">
        <v>3.3E-3</v>
      </c>
      <c r="AK39" s="228">
        <v>32.799999999999997</v>
      </c>
      <c r="AL39" s="228">
        <v>21.3</v>
      </c>
      <c r="AM39" s="228">
        <v>11.5</v>
      </c>
      <c r="AN39" s="229">
        <v>8.3000000000000001E-3</v>
      </c>
      <c r="AO39" s="231">
        <v>3957.76</v>
      </c>
      <c r="AP39" s="231">
        <v>3964.15</v>
      </c>
      <c r="AQ39" s="228">
        <v>0</v>
      </c>
      <c r="AR39" s="230">
        <v>2114100</v>
      </c>
      <c r="AS39" s="230">
        <v>1776750</v>
      </c>
      <c r="AT39" s="230">
        <v>337350</v>
      </c>
      <c r="AU39" s="229">
        <v>0.18990000000000001</v>
      </c>
      <c r="AV39" s="230">
        <v>840900</v>
      </c>
      <c r="AW39" s="230">
        <v>849750</v>
      </c>
      <c r="AX39" s="230">
        <v>-8850</v>
      </c>
      <c r="AY39" s="229">
        <v>-1.04E-2</v>
      </c>
      <c r="AZ39" s="230">
        <v>1236150</v>
      </c>
      <c r="BA39" s="230">
        <v>917700</v>
      </c>
      <c r="BB39" s="230">
        <v>318450</v>
      </c>
      <c r="BC39" s="229">
        <v>0.34699999999999998</v>
      </c>
      <c r="BD39" s="230">
        <v>37050</v>
      </c>
      <c r="BE39" s="230">
        <v>9300</v>
      </c>
      <c r="BF39" s="230">
        <v>27750</v>
      </c>
      <c r="BG39" s="229">
        <v>2.9839000000000002</v>
      </c>
      <c r="BH39" s="230">
        <v>3800550</v>
      </c>
      <c r="BI39" s="230">
        <v>1242000</v>
      </c>
      <c r="BJ39" s="230">
        <v>2558550</v>
      </c>
      <c r="BK39" s="229">
        <v>2.06</v>
      </c>
      <c r="BL39" s="230">
        <v>1231500</v>
      </c>
      <c r="BM39" s="230">
        <v>608400</v>
      </c>
      <c r="BN39" s="230">
        <v>623100</v>
      </c>
      <c r="BO39" s="229">
        <v>1.0242</v>
      </c>
      <c r="BP39" s="230">
        <v>7146150</v>
      </c>
      <c r="BQ39" s="230">
        <v>3627150</v>
      </c>
      <c r="BR39" s="230">
        <v>3519000</v>
      </c>
      <c r="BS39" s="229">
        <v>0.97019999999999995</v>
      </c>
      <c r="BT39" s="230">
        <v>535575</v>
      </c>
      <c r="BU39" s="230">
        <v>523892</v>
      </c>
      <c r="BV39" s="230">
        <v>11683</v>
      </c>
      <c r="BW39" s="229">
        <v>2.23E-2</v>
      </c>
      <c r="BX39" s="230">
        <v>2059650</v>
      </c>
      <c r="BY39" s="230">
        <v>2178750</v>
      </c>
      <c r="BZ39" s="230">
        <v>-119100</v>
      </c>
      <c r="CA39" s="229">
        <v>-5.4699999999999999E-2</v>
      </c>
      <c r="CB39" s="230">
        <v>451050</v>
      </c>
      <c r="CC39" s="230">
        <v>944400</v>
      </c>
      <c r="CD39" s="230">
        <v>-493350</v>
      </c>
      <c r="CE39" s="229">
        <v>-0.52239999999999998</v>
      </c>
      <c r="CF39" s="230">
        <v>1572600</v>
      </c>
      <c r="CG39" s="230">
        <v>1203900</v>
      </c>
      <c r="CH39" s="230">
        <v>368700</v>
      </c>
      <c r="CI39" s="229">
        <v>0.30630000000000002</v>
      </c>
      <c r="CJ39" s="230">
        <v>36000</v>
      </c>
      <c r="CK39" s="230">
        <v>30450</v>
      </c>
      <c r="CL39" s="230">
        <v>5550</v>
      </c>
      <c r="CM39" s="229">
        <v>0.18229999999999999</v>
      </c>
      <c r="CN39" s="230">
        <v>965250</v>
      </c>
      <c r="CO39" s="230">
        <v>1131300</v>
      </c>
      <c r="CP39" s="230">
        <v>-166050</v>
      </c>
      <c r="CQ39" s="229">
        <v>-0.14680000000000001</v>
      </c>
      <c r="CR39" s="230">
        <v>748950</v>
      </c>
      <c r="CS39" s="230">
        <v>739200</v>
      </c>
      <c r="CT39" s="230">
        <v>9750</v>
      </c>
      <c r="CU39" s="229">
        <v>1.32E-2</v>
      </c>
      <c r="CV39" s="230">
        <v>3773850</v>
      </c>
      <c r="CW39" s="230">
        <v>4049250</v>
      </c>
      <c r="CX39" s="230">
        <v>-275400</v>
      </c>
      <c r="CY39" s="229">
        <v>-6.8000000000000005E-2</v>
      </c>
      <c r="CZ39" s="228">
        <v>31.7</v>
      </c>
      <c r="DA39" s="228">
        <v>30.08</v>
      </c>
      <c r="DB39" s="228">
        <v>1.62</v>
      </c>
      <c r="DC39" s="228">
        <v>1.62</v>
      </c>
      <c r="DD39" s="228">
        <v>42.04</v>
      </c>
      <c r="DE39" s="228">
        <v>42.04</v>
      </c>
      <c r="DF39" s="228">
        <v>-10.34</v>
      </c>
      <c r="DG39" s="228">
        <v>0</v>
      </c>
      <c r="DH39" s="228">
        <v>31.79</v>
      </c>
      <c r="DI39" s="228">
        <v>30.34</v>
      </c>
      <c r="DJ39" s="228">
        <v>1.45</v>
      </c>
      <c r="DK39" s="228">
        <v>1.45</v>
      </c>
      <c r="DL39" s="228">
        <v>31.4</v>
      </c>
      <c r="DM39" s="228">
        <v>29.7</v>
      </c>
      <c r="DN39" s="228">
        <v>1.7</v>
      </c>
      <c r="DO39" s="228">
        <v>1.7</v>
      </c>
      <c r="DP39" s="228">
        <v>0.78</v>
      </c>
      <c r="DQ39" s="228">
        <v>0.65</v>
      </c>
      <c r="DR39" s="228">
        <v>0.13</v>
      </c>
      <c r="DS39" s="229">
        <v>0.2</v>
      </c>
      <c r="DT39" s="231">
        <v>4000</v>
      </c>
      <c r="DU39" s="231">
        <v>3800</v>
      </c>
      <c r="DV39" s="228">
        <v>0.32</v>
      </c>
      <c r="DW39" s="228">
        <v>0.49</v>
      </c>
      <c r="DX39" s="228">
        <v>-0.17</v>
      </c>
      <c r="DY39" s="229">
        <v>-0.34689999999999999</v>
      </c>
      <c r="DZ39" s="229">
        <v>0.78100000000000003</v>
      </c>
      <c r="EA39" s="230">
        <v>1234350</v>
      </c>
      <c r="EB39" s="229">
        <v>1.1999999999999999E-3</v>
      </c>
      <c r="EC39" s="229">
        <v>0.78100000000000003</v>
      </c>
      <c r="ED39" s="228">
        <v>6.39</v>
      </c>
      <c r="EE39" s="229">
        <v>1.6000000000000001E-3</v>
      </c>
      <c r="EF39" s="230">
        <v>255837</v>
      </c>
      <c r="EG39" s="230">
        <v>290677</v>
      </c>
      <c r="EH39" s="229">
        <v>-0.11990000000000001</v>
      </c>
      <c r="EI39" s="229">
        <v>0.47770000000000001</v>
      </c>
      <c r="EJ39" s="231">
        <v>155685.46</v>
      </c>
      <c r="EK39" s="231">
        <v>47794.9</v>
      </c>
      <c r="EL39" s="231">
        <v>83760.87</v>
      </c>
      <c r="EM39" s="231">
        <v>6653</v>
      </c>
      <c r="EN39" s="231">
        <v>287241.23</v>
      </c>
      <c r="EO39" s="231">
        <v>142722.32</v>
      </c>
      <c r="EP39" s="231">
        <v>144518.91</v>
      </c>
      <c r="EQ39" s="229">
        <v>1.0125999999999999</v>
      </c>
      <c r="ER39" s="231">
        <v>39129</v>
      </c>
      <c r="ES39" s="231">
        <v>28656</v>
      </c>
      <c r="ET39" s="231">
        <v>81931</v>
      </c>
      <c r="EU39" s="231">
        <v>7421215</v>
      </c>
      <c r="EV39" s="231">
        <v>149716</v>
      </c>
      <c r="EW39" s="231">
        <v>158131</v>
      </c>
      <c r="EX39" s="231">
        <v>-8415</v>
      </c>
      <c r="EY39" s="229">
        <v>-5.3199999999999997E-2</v>
      </c>
      <c r="EZ39" s="229">
        <v>0.50849999999999995</v>
      </c>
      <c r="FA39" s="227" t="s">
        <v>556</v>
      </c>
      <c r="FB39" s="161">
        <f t="shared" si="0"/>
        <v>1608600</v>
      </c>
    </row>
    <row r="40" spans="1:158" ht="17.25" hidden="1" thickBot="1" x14ac:dyDescent="0.3">
      <c r="A40" s="226">
        <v>45957</v>
      </c>
      <c r="B40" s="227" t="s">
        <v>172</v>
      </c>
      <c r="C40" s="227" t="s">
        <v>196</v>
      </c>
      <c r="D40" s="228">
        <v>6750</v>
      </c>
      <c r="E40" s="228">
        <v>129.22999999999999</v>
      </c>
      <c r="F40" s="228">
        <v>125.54</v>
      </c>
      <c r="G40" s="228">
        <v>3.69</v>
      </c>
      <c r="H40" s="229">
        <v>2.9399999999999999E-2</v>
      </c>
      <c r="I40" s="228">
        <v>129.13</v>
      </c>
      <c r="J40" s="228">
        <v>125.7</v>
      </c>
      <c r="K40" s="228">
        <v>3.43</v>
      </c>
      <c r="L40" s="229">
        <v>2.7300000000000001E-2</v>
      </c>
      <c r="M40" s="228">
        <v>129.22999999999999</v>
      </c>
      <c r="N40" s="228">
        <v>125.54</v>
      </c>
      <c r="O40" s="228">
        <v>3.69</v>
      </c>
      <c r="P40" s="229">
        <v>2.9399999999999999E-2</v>
      </c>
      <c r="Q40" s="228">
        <v>130.13999999999999</v>
      </c>
      <c r="R40" s="228">
        <v>126.22</v>
      </c>
      <c r="S40" s="228">
        <v>3.92</v>
      </c>
      <c r="T40" s="229">
        <v>3.1099999999999999E-2</v>
      </c>
      <c r="U40" s="228">
        <v>130.88999999999999</v>
      </c>
      <c r="V40" s="228">
        <v>127.08</v>
      </c>
      <c r="W40" s="228">
        <v>3.81</v>
      </c>
      <c r="X40" s="229">
        <v>0.03</v>
      </c>
      <c r="Y40" s="228">
        <v>0.1</v>
      </c>
      <c r="Z40" s="228">
        <v>-0.16</v>
      </c>
      <c r="AA40" s="228">
        <v>0.26</v>
      </c>
      <c r="AB40" s="229">
        <v>8.0000000000000004E-4</v>
      </c>
      <c r="AC40" s="228">
        <v>0.1</v>
      </c>
      <c r="AD40" s="228">
        <v>-0.16</v>
      </c>
      <c r="AE40" s="228">
        <v>0.26</v>
      </c>
      <c r="AF40" s="229">
        <v>8.0000000000000004E-4</v>
      </c>
      <c r="AG40" s="228">
        <v>1.01</v>
      </c>
      <c r="AH40" s="228">
        <v>0.52</v>
      </c>
      <c r="AI40" s="228">
        <v>0.49</v>
      </c>
      <c r="AJ40" s="229">
        <v>7.7999999999999996E-3</v>
      </c>
      <c r="AK40" s="228">
        <v>1.76</v>
      </c>
      <c r="AL40" s="228">
        <v>1.38</v>
      </c>
      <c r="AM40" s="228">
        <v>0.38</v>
      </c>
      <c r="AN40" s="229">
        <v>1.3599999999999999E-2</v>
      </c>
      <c r="AO40" s="228">
        <v>128.16</v>
      </c>
      <c r="AP40" s="228">
        <v>128.99</v>
      </c>
      <c r="AQ40" s="228">
        <v>0</v>
      </c>
      <c r="AR40" s="230">
        <v>215041500</v>
      </c>
      <c r="AS40" s="230">
        <v>147609000</v>
      </c>
      <c r="AT40" s="230">
        <v>67432500</v>
      </c>
      <c r="AU40" s="229">
        <v>0.45679999999999998</v>
      </c>
      <c r="AV40" s="230">
        <v>100264500</v>
      </c>
      <c r="AW40" s="230">
        <v>78144750</v>
      </c>
      <c r="AX40" s="230">
        <v>22119750</v>
      </c>
      <c r="AY40" s="229">
        <v>0.28310000000000002</v>
      </c>
      <c r="AZ40" s="230">
        <v>112482000</v>
      </c>
      <c r="BA40" s="230">
        <v>68202000</v>
      </c>
      <c r="BB40" s="230">
        <v>44280000</v>
      </c>
      <c r="BC40" s="229">
        <v>0.6492</v>
      </c>
      <c r="BD40" s="230">
        <v>2295000</v>
      </c>
      <c r="BE40" s="230">
        <v>1262250</v>
      </c>
      <c r="BF40" s="230">
        <v>1032750</v>
      </c>
      <c r="BG40" s="229">
        <v>0.81820000000000004</v>
      </c>
      <c r="BH40" s="230">
        <v>219996000</v>
      </c>
      <c r="BI40" s="230">
        <v>143687250</v>
      </c>
      <c r="BJ40" s="230">
        <v>76308750</v>
      </c>
      <c r="BK40" s="229">
        <v>0.53110000000000002</v>
      </c>
      <c r="BL40" s="230">
        <v>86312250</v>
      </c>
      <c r="BM40" s="230">
        <v>67452750</v>
      </c>
      <c r="BN40" s="230">
        <v>18859500</v>
      </c>
      <c r="BO40" s="229">
        <v>0.27960000000000002</v>
      </c>
      <c r="BP40" s="230">
        <v>521349750</v>
      </c>
      <c r="BQ40" s="230">
        <v>358749000</v>
      </c>
      <c r="BR40" s="230">
        <v>162600750</v>
      </c>
      <c r="BS40" s="229">
        <v>0.45319999999999999</v>
      </c>
      <c r="BT40" s="230">
        <v>33796751</v>
      </c>
      <c r="BU40" s="230">
        <v>18760993</v>
      </c>
      <c r="BV40" s="230">
        <v>15035758</v>
      </c>
      <c r="BW40" s="229">
        <v>0.8014</v>
      </c>
      <c r="BX40" s="230">
        <v>257080500</v>
      </c>
      <c r="BY40" s="230">
        <v>264282750</v>
      </c>
      <c r="BZ40" s="230">
        <v>-7202250</v>
      </c>
      <c r="CA40" s="229">
        <v>-2.7300000000000001E-2</v>
      </c>
      <c r="CB40" s="230">
        <v>46980000</v>
      </c>
      <c r="CC40" s="230">
        <v>117875250</v>
      </c>
      <c r="CD40" s="230">
        <v>-70895250</v>
      </c>
      <c r="CE40" s="229">
        <v>-0.60140000000000005</v>
      </c>
      <c r="CF40" s="230">
        <v>206003250</v>
      </c>
      <c r="CG40" s="230">
        <v>142823250</v>
      </c>
      <c r="CH40" s="230">
        <v>63180000</v>
      </c>
      <c r="CI40" s="229">
        <v>0.44240000000000002</v>
      </c>
      <c r="CJ40" s="230">
        <v>4097250</v>
      </c>
      <c r="CK40" s="230">
        <v>3584250</v>
      </c>
      <c r="CL40" s="230">
        <v>513000</v>
      </c>
      <c r="CM40" s="229">
        <v>0.1431</v>
      </c>
      <c r="CN40" s="230">
        <v>109964250</v>
      </c>
      <c r="CO40" s="230">
        <v>123086250</v>
      </c>
      <c r="CP40" s="230">
        <v>-13122000</v>
      </c>
      <c r="CQ40" s="229">
        <v>-0.1066</v>
      </c>
      <c r="CR40" s="230">
        <v>100966500</v>
      </c>
      <c r="CS40" s="230">
        <v>95276250</v>
      </c>
      <c r="CT40" s="230">
        <v>5690250</v>
      </c>
      <c r="CU40" s="229">
        <v>5.9700000000000003E-2</v>
      </c>
      <c r="CV40" s="230">
        <v>468011250</v>
      </c>
      <c r="CW40" s="230">
        <v>482645250</v>
      </c>
      <c r="CX40" s="230">
        <v>-14634000</v>
      </c>
      <c r="CY40" s="229">
        <v>-3.0300000000000001E-2</v>
      </c>
      <c r="CZ40" s="228">
        <v>32.44</v>
      </c>
      <c r="DA40" s="228">
        <v>30.99</v>
      </c>
      <c r="DB40" s="228">
        <v>1.45</v>
      </c>
      <c r="DC40" s="228">
        <v>1.45</v>
      </c>
      <c r="DD40" s="228">
        <v>37.35</v>
      </c>
      <c r="DE40" s="228">
        <v>37.24</v>
      </c>
      <c r="DF40" s="228">
        <v>-4.91</v>
      </c>
      <c r="DG40" s="228">
        <v>0.11</v>
      </c>
      <c r="DH40" s="228">
        <v>32.270000000000003</v>
      </c>
      <c r="DI40" s="228">
        <v>31.35</v>
      </c>
      <c r="DJ40" s="228">
        <v>0.92</v>
      </c>
      <c r="DK40" s="228">
        <v>0.92</v>
      </c>
      <c r="DL40" s="228">
        <v>32.82</v>
      </c>
      <c r="DM40" s="228">
        <v>30.35</v>
      </c>
      <c r="DN40" s="228">
        <v>2.4700000000000002</v>
      </c>
      <c r="DO40" s="228">
        <v>2.4700000000000002</v>
      </c>
      <c r="DP40" s="228">
        <v>0.92</v>
      </c>
      <c r="DQ40" s="228">
        <v>0.77</v>
      </c>
      <c r="DR40" s="228">
        <v>0.15</v>
      </c>
      <c r="DS40" s="229">
        <v>0.1948</v>
      </c>
      <c r="DT40" s="228">
        <v>130</v>
      </c>
      <c r="DU40" s="228">
        <v>115</v>
      </c>
      <c r="DV40" s="228">
        <v>0.39</v>
      </c>
      <c r="DW40" s="228">
        <v>0.47</v>
      </c>
      <c r="DX40" s="228">
        <v>-0.08</v>
      </c>
      <c r="DY40" s="229">
        <v>-0.17019999999999999</v>
      </c>
      <c r="DZ40" s="229">
        <v>0.81730000000000003</v>
      </c>
      <c r="EA40" s="230">
        <v>146407500</v>
      </c>
      <c r="EB40" s="229">
        <v>7.0000000000000001E-3</v>
      </c>
      <c r="EC40" s="229">
        <v>0.81730000000000003</v>
      </c>
      <c r="ED40" s="228">
        <v>0.83</v>
      </c>
      <c r="EE40" s="229">
        <v>6.4999999999999997E-3</v>
      </c>
      <c r="EF40" s="230">
        <v>18609238</v>
      </c>
      <c r="EG40" s="230">
        <v>9011928</v>
      </c>
      <c r="EH40" s="229">
        <v>1.0649999999999999</v>
      </c>
      <c r="EI40" s="229">
        <v>0.55059999999999998</v>
      </c>
      <c r="EJ40" s="231">
        <v>290229.78999999998</v>
      </c>
      <c r="EK40" s="231">
        <v>109808.89</v>
      </c>
      <c r="EL40" s="231">
        <v>276570.51</v>
      </c>
      <c r="EM40" s="231">
        <v>16393</v>
      </c>
      <c r="EN40" s="231">
        <v>676609.19</v>
      </c>
      <c r="EO40" s="231">
        <v>459055.32</v>
      </c>
      <c r="EP40" s="231">
        <v>217553.87</v>
      </c>
      <c r="EQ40" s="229">
        <v>0.47389999999999999</v>
      </c>
      <c r="ER40" s="231">
        <v>143077</v>
      </c>
      <c r="ES40" s="231">
        <v>122078</v>
      </c>
      <c r="ET40" s="231">
        <v>334168</v>
      </c>
      <c r="EU40" s="231">
        <v>504315430</v>
      </c>
      <c r="EV40" s="231">
        <v>599324</v>
      </c>
      <c r="EW40" s="231">
        <v>607291</v>
      </c>
      <c r="EX40" s="231">
        <v>-7967</v>
      </c>
      <c r="EY40" s="229">
        <v>-1.3100000000000001E-2</v>
      </c>
      <c r="EZ40" s="229">
        <v>0.92800000000000005</v>
      </c>
      <c r="FA40" s="227" t="s">
        <v>556</v>
      </c>
      <c r="FB40" s="161">
        <f t="shared" si="0"/>
        <v>210100500</v>
      </c>
    </row>
    <row r="41" spans="1:158" ht="17.25" hidden="1" thickBot="1" x14ac:dyDescent="0.3">
      <c r="A41" s="226">
        <v>45957</v>
      </c>
      <c r="B41" s="227" t="s">
        <v>175</v>
      </c>
      <c r="C41" s="227" t="s">
        <v>597</v>
      </c>
      <c r="D41" s="228">
        <v>475</v>
      </c>
      <c r="E41" s="231">
        <v>1639.4</v>
      </c>
      <c r="F41" s="231">
        <v>1591.1</v>
      </c>
      <c r="G41" s="228">
        <v>48.3</v>
      </c>
      <c r="H41" s="229">
        <v>3.04E-2</v>
      </c>
      <c r="I41" s="231">
        <v>1636.5</v>
      </c>
      <c r="J41" s="231">
        <v>1590.2</v>
      </c>
      <c r="K41" s="228">
        <v>46.3</v>
      </c>
      <c r="L41" s="229">
        <v>2.9100000000000001E-2</v>
      </c>
      <c r="M41" s="231">
        <v>1639.4</v>
      </c>
      <c r="N41" s="231">
        <v>1591.1</v>
      </c>
      <c r="O41" s="228">
        <v>48.3</v>
      </c>
      <c r="P41" s="229">
        <v>3.04E-2</v>
      </c>
      <c r="Q41" s="231">
        <v>1648.2</v>
      </c>
      <c r="R41" s="231">
        <v>1593.5</v>
      </c>
      <c r="S41" s="228">
        <v>54.7</v>
      </c>
      <c r="T41" s="229">
        <v>3.4299999999999997E-2</v>
      </c>
      <c r="U41" s="231">
        <v>1653.3</v>
      </c>
      <c r="V41" s="231">
        <v>1599.4</v>
      </c>
      <c r="W41" s="228">
        <v>53.9</v>
      </c>
      <c r="X41" s="229">
        <v>3.3700000000000001E-2</v>
      </c>
      <c r="Y41" s="228">
        <v>2.9</v>
      </c>
      <c r="Z41" s="228">
        <v>0.9</v>
      </c>
      <c r="AA41" s="228">
        <v>2</v>
      </c>
      <c r="AB41" s="229">
        <v>1.8E-3</v>
      </c>
      <c r="AC41" s="228">
        <v>2.9</v>
      </c>
      <c r="AD41" s="228">
        <v>0.9</v>
      </c>
      <c r="AE41" s="228">
        <v>2</v>
      </c>
      <c r="AF41" s="229">
        <v>1.8E-3</v>
      </c>
      <c r="AG41" s="228">
        <v>11.7</v>
      </c>
      <c r="AH41" s="228">
        <v>3.3</v>
      </c>
      <c r="AI41" s="228">
        <v>8.4</v>
      </c>
      <c r="AJ41" s="229">
        <v>7.1000000000000004E-3</v>
      </c>
      <c r="AK41" s="228">
        <v>16.8</v>
      </c>
      <c r="AL41" s="228">
        <v>9.1999999999999993</v>
      </c>
      <c r="AM41" s="228">
        <v>7.6</v>
      </c>
      <c r="AN41" s="229">
        <v>1.03E-2</v>
      </c>
      <c r="AO41" s="231">
        <v>1625.35</v>
      </c>
      <c r="AP41" s="231">
        <v>1633.74</v>
      </c>
      <c r="AQ41" s="228">
        <v>0</v>
      </c>
      <c r="AR41" s="230">
        <v>9628250</v>
      </c>
      <c r="AS41" s="230">
        <v>8255500</v>
      </c>
      <c r="AT41" s="230">
        <v>1372750</v>
      </c>
      <c r="AU41" s="229">
        <v>0.1663</v>
      </c>
      <c r="AV41" s="230">
        <v>3707850</v>
      </c>
      <c r="AW41" s="230">
        <v>4124425</v>
      </c>
      <c r="AX41" s="230">
        <v>-416575</v>
      </c>
      <c r="AY41" s="229">
        <v>-0.10100000000000001</v>
      </c>
      <c r="AZ41" s="230">
        <v>5779325</v>
      </c>
      <c r="BA41" s="230">
        <v>4047475</v>
      </c>
      <c r="BB41" s="230">
        <v>1731850</v>
      </c>
      <c r="BC41" s="229">
        <v>0.4279</v>
      </c>
      <c r="BD41" s="230">
        <v>141075</v>
      </c>
      <c r="BE41" s="230">
        <v>83600</v>
      </c>
      <c r="BF41" s="230">
        <v>57475</v>
      </c>
      <c r="BG41" s="229">
        <v>0.6875</v>
      </c>
      <c r="BH41" s="230">
        <v>20035500</v>
      </c>
      <c r="BI41" s="230">
        <v>12160475</v>
      </c>
      <c r="BJ41" s="230">
        <v>7875025</v>
      </c>
      <c r="BK41" s="229">
        <v>0.64759999999999995</v>
      </c>
      <c r="BL41" s="230">
        <v>9148500</v>
      </c>
      <c r="BM41" s="230">
        <v>7064200</v>
      </c>
      <c r="BN41" s="230">
        <v>2084300</v>
      </c>
      <c r="BO41" s="229">
        <v>0.29509999999999997</v>
      </c>
      <c r="BP41" s="230">
        <v>38812250</v>
      </c>
      <c r="BQ41" s="230">
        <v>27480175</v>
      </c>
      <c r="BR41" s="230">
        <v>11332075</v>
      </c>
      <c r="BS41" s="229">
        <v>0.41239999999999999</v>
      </c>
      <c r="BT41" s="230">
        <v>2697487</v>
      </c>
      <c r="BU41" s="230">
        <v>1230930</v>
      </c>
      <c r="BV41" s="230">
        <v>1466557</v>
      </c>
      <c r="BW41" s="229">
        <v>1.1914</v>
      </c>
      <c r="BX41" s="230">
        <v>8872525</v>
      </c>
      <c r="BY41" s="230">
        <v>8962300</v>
      </c>
      <c r="BZ41" s="230">
        <v>-89775</v>
      </c>
      <c r="CA41" s="229">
        <v>-0.01</v>
      </c>
      <c r="CB41" s="230">
        <v>2076225</v>
      </c>
      <c r="CC41" s="230">
        <v>3657975</v>
      </c>
      <c r="CD41" s="230">
        <v>-1581750</v>
      </c>
      <c r="CE41" s="229">
        <v>-0.43240000000000001</v>
      </c>
      <c r="CF41" s="230">
        <v>6575425</v>
      </c>
      <c r="CG41" s="230">
        <v>5080125</v>
      </c>
      <c r="CH41" s="230">
        <v>1495300</v>
      </c>
      <c r="CI41" s="229">
        <v>0.29430000000000001</v>
      </c>
      <c r="CJ41" s="230">
        <v>220875</v>
      </c>
      <c r="CK41" s="230">
        <v>224200</v>
      </c>
      <c r="CL41" s="230">
        <v>-3325</v>
      </c>
      <c r="CM41" s="229">
        <v>-1.4800000000000001E-2</v>
      </c>
      <c r="CN41" s="230">
        <v>5544675</v>
      </c>
      <c r="CO41" s="230">
        <v>6433400</v>
      </c>
      <c r="CP41" s="230">
        <v>-888725</v>
      </c>
      <c r="CQ41" s="229">
        <v>-0.1381</v>
      </c>
      <c r="CR41" s="230">
        <v>4406100</v>
      </c>
      <c r="CS41" s="230">
        <v>4354800</v>
      </c>
      <c r="CT41" s="230">
        <v>51300</v>
      </c>
      <c r="CU41" s="229">
        <v>1.18E-2</v>
      </c>
      <c r="CV41" s="230">
        <v>18823300</v>
      </c>
      <c r="CW41" s="230">
        <v>19750500</v>
      </c>
      <c r="CX41" s="230">
        <v>-927200</v>
      </c>
      <c r="CY41" s="229">
        <v>-4.6899999999999997E-2</v>
      </c>
      <c r="CZ41" s="228">
        <v>32.19</v>
      </c>
      <c r="DA41" s="228">
        <v>30.42</v>
      </c>
      <c r="DB41" s="228">
        <v>1.77</v>
      </c>
      <c r="DC41" s="228">
        <v>1.77</v>
      </c>
      <c r="DD41" s="228">
        <v>47.14</v>
      </c>
      <c r="DE41" s="228">
        <v>47.08</v>
      </c>
      <c r="DF41" s="228">
        <v>-14.95</v>
      </c>
      <c r="DG41" s="228">
        <v>0.06</v>
      </c>
      <c r="DH41" s="228">
        <v>32.08</v>
      </c>
      <c r="DI41" s="228">
        <v>30.51</v>
      </c>
      <c r="DJ41" s="228">
        <v>1.57</v>
      </c>
      <c r="DK41" s="228">
        <v>1.57</v>
      </c>
      <c r="DL41" s="228">
        <v>32.47</v>
      </c>
      <c r="DM41" s="228">
        <v>30.24</v>
      </c>
      <c r="DN41" s="228">
        <v>2.23</v>
      </c>
      <c r="DO41" s="228">
        <v>2.23</v>
      </c>
      <c r="DP41" s="228">
        <v>0.79</v>
      </c>
      <c r="DQ41" s="228">
        <v>0.68</v>
      </c>
      <c r="DR41" s="228">
        <v>0.11</v>
      </c>
      <c r="DS41" s="229">
        <v>0.1618</v>
      </c>
      <c r="DT41" s="231">
        <v>1700</v>
      </c>
      <c r="DU41" s="231">
        <v>1600</v>
      </c>
      <c r="DV41" s="228">
        <v>0.46</v>
      </c>
      <c r="DW41" s="228">
        <v>0.57999999999999996</v>
      </c>
      <c r="DX41" s="228">
        <v>-0.12</v>
      </c>
      <c r="DY41" s="229">
        <v>-0.2069</v>
      </c>
      <c r="DZ41" s="229">
        <v>0.76600000000000001</v>
      </c>
      <c r="EA41" s="230">
        <v>5304325</v>
      </c>
      <c r="EB41" s="229">
        <v>5.4000000000000003E-3</v>
      </c>
      <c r="EC41" s="229">
        <v>0.76600000000000001</v>
      </c>
      <c r="ED41" s="228">
        <v>8.39</v>
      </c>
      <c r="EE41" s="229">
        <v>5.1999999999999998E-3</v>
      </c>
      <c r="EF41" s="230">
        <v>1220677</v>
      </c>
      <c r="EG41" s="230">
        <v>387463</v>
      </c>
      <c r="EH41" s="229">
        <v>2.1503999999999999</v>
      </c>
      <c r="EI41" s="229">
        <v>0.45250000000000001</v>
      </c>
      <c r="EJ41" s="231">
        <v>334936.71999999997</v>
      </c>
      <c r="EK41" s="231">
        <v>145698.35</v>
      </c>
      <c r="EL41" s="231">
        <v>156996.07999999999</v>
      </c>
      <c r="EM41" s="231">
        <v>8768</v>
      </c>
      <c r="EN41" s="231">
        <v>637631.15</v>
      </c>
      <c r="EO41" s="231">
        <v>446002.18</v>
      </c>
      <c r="EP41" s="231">
        <v>191628.97</v>
      </c>
      <c r="EQ41" s="229">
        <v>0.42970000000000003</v>
      </c>
      <c r="ER41" s="231">
        <v>91833</v>
      </c>
      <c r="ES41" s="231">
        <v>68355</v>
      </c>
      <c r="ET41" s="231">
        <v>146066</v>
      </c>
      <c r="EU41" s="231">
        <v>26647500</v>
      </c>
      <c r="EV41" s="231">
        <v>306254</v>
      </c>
      <c r="EW41" s="231">
        <v>315825</v>
      </c>
      <c r="EX41" s="231">
        <v>-9571</v>
      </c>
      <c r="EY41" s="229">
        <v>-3.0300000000000001E-2</v>
      </c>
      <c r="EZ41" s="229">
        <v>0.70640000000000003</v>
      </c>
      <c r="FA41" s="227" t="s">
        <v>556</v>
      </c>
      <c r="FB41" s="161">
        <f t="shared" si="0"/>
        <v>6796300</v>
      </c>
    </row>
    <row r="42" spans="1:158" ht="17.25" hidden="1" thickBot="1" x14ac:dyDescent="0.3">
      <c r="A42" s="226">
        <v>45957</v>
      </c>
      <c r="B42" s="227" t="s">
        <v>161</v>
      </c>
      <c r="C42" s="227" t="s">
        <v>612</v>
      </c>
      <c r="D42" s="228">
        <v>850</v>
      </c>
      <c r="E42" s="228">
        <v>727.65</v>
      </c>
      <c r="F42" s="228">
        <v>723.15</v>
      </c>
      <c r="G42" s="228">
        <v>4.5</v>
      </c>
      <c r="H42" s="229">
        <v>6.1999999999999998E-3</v>
      </c>
      <c r="I42" s="228">
        <v>728.35</v>
      </c>
      <c r="J42" s="228">
        <v>723.85</v>
      </c>
      <c r="K42" s="228">
        <v>4.5</v>
      </c>
      <c r="L42" s="229">
        <v>6.1999999999999998E-3</v>
      </c>
      <c r="M42" s="228">
        <v>727.65</v>
      </c>
      <c r="N42" s="228">
        <v>723.15</v>
      </c>
      <c r="O42" s="228">
        <v>4.5</v>
      </c>
      <c r="P42" s="229">
        <v>6.1999999999999998E-3</v>
      </c>
      <c r="Q42" s="228">
        <v>731.25</v>
      </c>
      <c r="R42" s="228">
        <v>726.55</v>
      </c>
      <c r="S42" s="228">
        <v>4.7</v>
      </c>
      <c r="T42" s="229">
        <v>6.4999999999999997E-3</v>
      </c>
      <c r="U42" s="228">
        <v>736.05</v>
      </c>
      <c r="V42" s="228">
        <v>731.3</v>
      </c>
      <c r="W42" s="228">
        <v>4.75</v>
      </c>
      <c r="X42" s="229">
        <v>6.4999999999999997E-3</v>
      </c>
      <c r="Y42" s="228">
        <v>-0.7</v>
      </c>
      <c r="Z42" s="228">
        <v>-0.7</v>
      </c>
      <c r="AA42" s="228">
        <v>0</v>
      </c>
      <c r="AB42" s="229">
        <v>-1E-3</v>
      </c>
      <c r="AC42" s="228">
        <v>-0.7</v>
      </c>
      <c r="AD42" s="228">
        <v>-0.7</v>
      </c>
      <c r="AE42" s="228">
        <v>0</v>
      </c>
      <c r="AF42" s="229">
        <v>-1E-3</v>
      </c>
      <c r="AG42" s="228">
        <v>2.9</v>
      </c>
      <c r="AH42" s="228">
        <v>2.7</v>
      </c>
      <c r="AI42" s="228">
        <v>0.2</v>
      </c>
      <c r="AJ42" s="229">
        <v>4.0000000000000001E-3</v>
      </c>
      <c r="AK42" s="228">
        <v>7.7</v>
      </c>
      <c r="AL42" s="228">
        <v>7.45</v>
      </c>
      <c r="AM42" s="228">
        <v>0.25</v>
      </c>
      <c r="AN42" s="229">
        <v>1.06E-2</v>
      </c>
      <c r="AO42" s="228">
        <v>726.59</v>
      </c>
      <c r="AP42" s="228">
        <v>730.49</v>
      </c>
      <c r="AQ42" s="228">
        <v>0</v>
      </c>
      <c r="AR42" s="230">
        <v>11533650</v>
      </c>
      <c r="AS42" s="230">
        <v>14652300</v>
      </c>
      <c r="AT42" s="230">
        <v>-3118650</v>
      </c>
      <c r="AU42" s="229">
        <v>-0.21279999999999999</v>
      </c>
      <c r="AV42" s="230">
        <v>5436600</v>
      </c>
      <c r="AW42" s="230">
        <v>7235200</v>
      </c>
      <c r="AX42" s="230">
        <v>-1798600</v>
      </c>
      <c r="AY42" s="229">
        <v>-0.24859999999999999</v>
      </c>
      <c r="AZ42" s="230">
        <v>6043500</v>
      </c>
      <c r="BA42" s="230">
        <v>7348250</v>
      </c>
      <c r="BB42" s="230">
        <v>-1304750</v>
      </c>
      <c r="BC42" s="229">
        <v>-0.17760000000000001</v>
      </c>
      <c r="BD42" s="230">
        <v>53550</v>
      </c>
      <c r="BE42" s="230">
        <v>68850</v>
      </c>
      <c r="BF42" s="230">
        <v>-15300</v>
      </c>
      <c r="BG42" s="229">
        <v>-0.22220000000000001</v>
      </c>
      <c r="BH42" s="230">
        <v>5022650</v>
      </c>
      <c r="BI42" s="230">
        <v>9395050</v>
      </c>
      <c r="BJ42" s="230">
        <v>-4372400</v>
      </c>
      <c r="BK42" s="229">
        <v>-0.46539999999999998</v>
      </c>
      <c r="BL42" s="230">
        <v>3324350</v>
      </c>
      <c r="BM42" s="230">
        <v>4220250</v>
      </c>
      <c r="BN42" s="230">
        <v>-895900</v>
      </c>
      <c r="BO42" s="229">
        <v>-0.21229999999999999</v>
      </c>
      <c r="BP42" s="230">
        <v>19880650</v>
      </c>
      <c r="BQ42" s="230">
        <v>28267600</v>
      </c>
      <c r="BR42" s="230">
        <v>-8386950</v>
      </c>
      <c r="BS42" s="229">
        <v>-0.29670000000000002</v>
      </c>
      <c r="BT42" s="230">
        <v>1664655</v>
      </c>
      <c r="BU42" s="230">
        <v>3610754</v>
      </c>
      <c r="BV42" s="230">
        <v>-1946099</v>
      </c>
      <c r="BW42" s="229">
        <v>-0.53900000000000003</v>
      </c>
      <c r="BX42" s="230">
        <v>15108750</v>
      </c>
      <c r="BY42" s="230">
        <v>15781950</v>
      </c>
      <c r="BZ42" s="230">
        <v>-673200</v>
      </c>
      <c r="CA42" s="229">
        <v>-4.2700000000000002E-2</v>
      </c>
      <c r="CB42" s="230">
        <v>2498150</v>
      </c>
      <c r="CC42" s="230">
        <v>6477850</v>
      </c>
      <c r="CD42" s="230">
        <v>-3979700</v>
      </c>
      <c r="CE42" s="229">
        <v>-0.61439999999999995</v>
      </c>
      <c r="CF42" s="230">
        <v>12465250</v>
      </c>
      <c r="CG42" s="230">
        <v>9183400</v>
      </c>
      <c r="CH42" s="230">
        <v>3281850</v>
      </c>
      <c r="CI42" s="229">
        <v>0.3574</v>
      </c>
      <c r="CJ42" s="230">
        <v>145350</v>
      </c>
      <c r="CK42" s="230">
        <v>120700</v>
      </c>
      <c r="CL42" s="230">
        <v>24650</v>
      </c>
      <c r="CM42" s="229">
        <v>0.20419999999999999</v>
      </c>
      <c r="CN42" s="230">
        <v>5626150</v>
      </c>
      <c r="CO42" s="230">
        <v>6319750</v>
      </c>
      <c r="CP42" s="230">
        <v>-693600</v>
      </c>
      <c r="CQ42" s="229">
        <v>-0.10979999999999999</v>
      </c>
      <c r="CR42" s="230">
        <v>3779100</v>
      </c>
      <c r="CS42" s="230">
        <v>3942300</v>
      </c>
      <c r="CT42" s="230">
        <v>-163200</v>
      </c>
      <c r="CU42" s="229">
        <v>-4.1399999999999999E-2</v>
      </c>
      <c r="CV42" s="230">
        <v>24514000</v>
      </c>
      <c r="CW42" s="230">
        <v>26044000</v>
      </c>
      <c r="CX42" s="230">
        <v>-1530000</v>
      </c>
      <c r="CY42" s="229">
        <v>-5.8700000000000002E-2</v>
      </c>
      <c r="CZ42" s="228">
        <v>34.06</v>
      </c>
      <c r="DA42" s="228">
        <v>33.11</v>
      </c>
      <c r="DB42" s="228">
        <v>0.95</v>
      </c>
      <c r="DC42" s="228">
        <v>0.95</v>
      </c>
      <c r="DD42" s="228">
        <v>41.15</v>
      </c>
      <c r="DE42" s="228">
        <v>41.25</v>
      </c>
      <c r="DF42" s="228">
        <v>-7.09</v>
      </c>
      <c r="DG42" s="228">
        <v>-0.1</v>
      </c>
      <c r="DH42" s="228">
        <v>34.299999999999997</v>
      </c>
      <c r="DI42" s="228">
        <v>33.08</v>
      </c>
      <c r="DJ42" s="228">
        <v>1.22</v>
      </c>
      <c r="DK42" s="228">
        <v>1.22</v>
      </c>
      <c r="DL42" s="228">
        <v>33.74</v>
      </c>
      <c r="DM42" s="228">
        <v>33.17</v>
      </c>
      <c r="DN42" s="228">
        <v>0.56999999999999995</v>
      </c>
      <c r="DO42" s="228">
        <v>0.56999999999999995</v>
      </c>
      <c r="DP42" s="228">
        <v>0.67</v>
      </c>
      <c r="DQ42" s="228">
        <v>0.62</v>
      </c>
      <c r="DR42" s="228">
        <v>0.05</v>
      </c>
      <c r="DS42" s="229">
        <v>8.0600000000000005E-2</v>
      </c>
      <c r="DT42" s="228">
        <v>840</v>
      </c>
      <c r="DU42" s="228">
        <v>710</v>
      </c>
      <c r="DV42" s="228">
        <v>0.66</v>
      </c>
      <c r="DW42" s="228">
        <v>0.45</v>
      </c>
      <c r="DX42" s="228">
        <v>0.21</v>
      </c>
      <c r="DY42" s="229">
        <v>0.4667</v>
      </c>
      <c r="DZ42" s="229">
        <v>0.8347</v>
      </c>
      <c r="EA42" s="230">
        <v>9304100</v>
      </c>
      <c r="EB42" s="229">
        <v>4.8999999999999998E-3</v>
      </c>
      <c r="EC42" s="229">
        <v>0.8347</v>
      </c>
      <c r="ED42" s="228">
        <v>3.9</v>
      </c>
      <c r="EE42" s="229">
        <v>5.4000000000000003E-3</v>
      </c>
      <c r="EF42" s="230">
        <v>1046169</v>
      </c>
      <c r="EG42" s="230">
        <v>2361580</v>
      </c>
      <c r="EH42" s="229">
        <v>-0.55700000000000005</v>
      </c>
      <c r="EI42" s="229">
        <v>0.62849999999999995</v>
      </c>
      <c r="EJ42" s="231">
        <v>38402</v>
      </c>
      <c r="EK42" s="231">
        <v>24119.68</v>
      </c>
      <c r="EL42" s="231">
        <v>84042.240000000005</v>
      </c>
      <c r="EM42" s="231">
        <v>10625</v>
      </c>
      <c r="EN42" s="231">
        <v>146563.92000000001</v>
      </c>
      <c r="EO42" s="231">
        <v>210028.33</v>
      </c>
      <c r="EP42" s="231">
        <v>-63464.41</v>
      </c>
      <c r="EQ42" s="229">
        <v>-0.30220000000000002</v>
      </c>
      <c r="ER42" s="231">
        <v>43994</v>
      </c>
      <c r="ES42" s="231">
        <v>27433</v>
      </c>
      <c r="ET42" s="231">
        <v>110400</v>
      </c>
      <c r="EU42" s="231">
        <v>100245792</v>
      </c>
      <c r="EV42" s="231">
        <v>181826</v>
      </c>
      <c r="EW42" s="231">
        <v>192625</v>
      </c>
      <c r="EX42" s="231">
        <v>-10799</v>
      </c>
      <c r="EY42" s="229">
        <v>-5.6099999999999997E-2</v>
      </c>
      <c r="EZ42" s="229">
        <v>0.2445</v>
      </c>
      <c r="FA42" s="227" t="s">
        <v>556</v>
      </c>
      <c r="FB42" s="161">
        <f t="shared" si="0"/>
        <v>12610600</v>
      </c>
    </row>
    <row r="43" spans="1:158" ht="17.25" hidden="1" thickBot="1" x14ac:dyDescent="0.3">
      <c r="A43" s="226">
        <v>45957</v>
      </c>
      <c r="B43" s="227" t="s">
        <v>175</v>
      </c>
      <c r="C43" s="227" t="s">
        <v>198</v>
      </c>
      <c r="D43" s="228">
        <v>625</v>
      </c>
      <c r="E43" s="231">
        <v>1734.6</v>
      </c>
      <c r="F43" s="231">
        <v>1722.6</v>
      </c>
      <c r="G43" s="228">
        <v>12</v>
      </c>
      <c r="H43" s="229">
        <v>7.0000000000000001E-3</v>
      </c>
      <c r="I43" s="231">
        <v>1732.4</v>
      </c>
      <c r="J43" s="231">
        <v>1733.6</v>
      </c>
      <c r="K43" s="228">
        <v>-1.2</v>
      </c>
      <c r="L43" s="229">
        <v>-6.9999999999999999E-4</v>
      </c>
      <c r="M43" s="231">
        <v>1734.6</v>
      </c>
      <c r="N43" s="231">
        <v>1722.6</v>
      </c>
      <c r="O43" s="228">
        <v>12</v>
      </c>
      <c r="P43" s="229">
        <v>7.0000000000000001E-3</v>
      </c>
      <c r="Q43" s="231">
        <v>1697.5</v>
      </c>
      <c r="R43" s="231">
        <v>1694.2</v>
      </c>
      <c r="S43" s="228">
        <v>3.3</v>
      </c>
      <c r="T43" s="229">
        <v>1.9E-3</v>
      </c>
      <c r="U43" s="231">
        <v>1674.9</v>
      </c>
      <c r="V43" s="231">
        <v>1678.1</v>
      </c>
      <c r="W43" s="228">
        <v>-3.2</v>
      </c>
      <c r="X43" s="229">
        <v>-1.9E-3</v>
      </c>
      <c r="Y43" s="228">
        <v>2.2000000000000002</v>
      </c>
      <c r="Z43" s="228">
        <v>-11</v>
      </c>
      <c r="AA43" s="228">
        <v>13.2</v>
      </c>
      <c r="AB43" s="229">
        <v>1.2999999999999999E-3</v>
      </c>
      <c r="AC43" s="228">
        <v>2.2000000000000002</v>
      </c>
      <c r="AD43" s="228">
        <v>-11</v>
      </c>
      <c r="AE43" s="228">
        <v>13.2</v>
      </c>
      <c r="AF43" s="229">
        <v>1.2999999999999999E-3</v>
      </c>
      <c r="AG43" s="228">
        <v>-34.9</v>
      </c>
      <c r="AH43" s="228">
        <v>-39.4</v>
      </c>
      <c r="AI43" s="228">
        <v>4.5</v>
      </c>
      <c r="AJ43" s="229">
        <v>-2.01E-2</v>
      </c>
      <c r="AK43" s="228">
        <v>-57.5</v>
      </c>
      <c r="AL43" s="228">
        <v>-55.5</v>
      </c>
      <c r="AM43" s="228">
        <v>-2</v>
      </c>
      <c r="AN43" s="229">
        <v>-3.32E-2</v>
      </c>
      <c r="AO43" s="231">
        <v>1745.49</v>
      </c>
      <c r="AP43" s="231">
        <v>1701.35</v>
      </c>
      <c r="AQ43" s="228">
        <v>0</v>
      </c>
      <c r="AR43" s="230">
        <v>16230000</v>
      </c>
      <c r="AS43" s="230">
        <v>18146875</v>
      </c>
      <c r="AT43" s="230">
        <v>-1916875</v>
      </c>
      <c r="AU43" s="229">
        <v>-0.1056</v>
      </c>
      <c r="AV43" s="230">
        <v>7073125</v>
      </c>
      <c r="AW43" s="230">
        <v>9258125</v>
      </c>
      <c r="AX43" s="230">
        <v>-2185000</v>
      </c>
      <c r="AY43" s="229">
        <v>-0.23599999999999999</v>
      </c>
      <c r="AZ43" s="230">
        <v>8910625</v>
      </c>
      <c r="BA43" s="230">
        <v>8831250</v>
      </c>
      <c r="BB43" s="230">
        <v>79375</v>
      </c>
      <c r="BC43" s="229">
        <v>8.9999999999999993E-3</v>
      </c>
      <c r="BD43" s="230">
        <v>246250</v>
      </c>
      <c r="BE43" s="230">
        <v>57500</v>
      </c>
      <c r="BF43" s="230">
        <v>188750</v>
      </c>
      <c r="BG43" s="229">
        <v>3.2826</v>
      </c>
      <c r="BH43" s="230">
        <v>20786250</v>
      </c>
      <c r="BI43" s="230">
        <v>21385625</v>
      </c>
      <c r="BJ43" s="230">
        <v>-599375</v>
      </c>
      <c r="BK43" s="229">
        <v>-2.8000000000000001E-2</v>
      </c>
      <c r="BL43" s="230">
        <v>9873750</v>
      </c>
      <c r="BM43" s="230">
        <v>5966875</v>
      </c>
      <c r="BN43" s="230">
        <v>3906875</v>
      </c>
      <c r="BO43" s="229">
        <v>0.65480000000000005</v>
      </c>
      <c r="BP43" s="230">
        <v>46890000</v>
      </c>
      <c r="BQ43" s="230">
        <v>45499375</v>
      </c>
      <c r="BR43" s="230">
        <v>1390625</v>
      </c>
      <c r="BS43" s="229">
        <v>3.0599999999999999E-2</v>
      </c>
      <c r="BT43" s="230">
        <v>3057708</v>
      </c>
      <c r="BU43" s="230">
        <v>2223244</v>
      </c>
      <c r="BV43" s="230">
        <v>834464</v>
      </c>
      <c r="BW43" s="229">
        <v>0.37530000000000002</v>
      </c>
      <c r="BX43" s="230">
        <v>16679375</v>
      </c>
      <c r="BY43" s="230">
        <v>16906250</v>
      </c>
      <c r="BZ43" s="230">
        <v>-226875</v>
      </c>
      <c r="CA43" s="229">
        <v>-1.34E-2</v>
      </c>
      <c r="CB43" s="230">
        <v>1655000</v>
      </c>
      <c r="CC43" s="230">
        <v>4931875</v>
      </c>
      <c r="CD43" s="230">
        <v>-3276875</v>
      </c>
      <c r="CE43" s="229">
        <v>-0.66439999999999999</v>
      </c>
      <c r="CF43" s="230">
        <v>14795625</v>
      </c>
      <c r="CG43" s="230">
        <v>11871875</v>
      </c>
      <c r="CH43" s="230">
        <v>2923750</v>
      </c>
      <c r="CI43" s="229">
        <v>0.24629999999999999</v>
      </c>
      <c r="CJ43" s="230">
        <v>228750</v>
      </c>
      <c r="CK43" s="230">
        <v>102500</v>
      </c>
      <c r="CL43" s="230">
        <v>126250</v>
      </c>
      <c r="CM43" s="229">
        <v>1.2317</v>
      </c>
      <c r="CN43" s="230">
        <v>3693125</v>
      </c>
      <c r="CO43" s="230">
        <v>3631250</v>
      </c>
      <c r="CP43" s="230">
        <v>61875</v>
      </c>
      <c r="CQ43" s="229">
        <v>1.7000000000000001E-2</v>
      </c>
      <c r="CR43" s="230">
        <v>2867500</v>
      </c>
      <c r="CS43" s="230">
        <v>2790000</v>
      </c>
      <c r="CT43" s="230">
        <v>77500</v>
      </c>
      <c r="CU43" s="229">
        <v>2.7799999999999998E-2</v>
      </c>
      <c r="CV43" s="230">
        <v>23240000</v>
      </c>
      <c r="CW43" s="230">
        <v>23327500</v>
      </c>
      <c r="CX43" s="230">
        <v>-87500</v>
      </c>
      <c r="CY43" s="229">
        <v>-3.8E-3</v>
      </c>
      <c r="CZ43" s="228">
        <v>31.7</v>
      </c>
      <c r="DA43" s="228">
        <v>31</v>
      </c>
      <c r="DB43" s="228">
        <v>0.7</v>
      </c>
      <c r="DC43" s="228">
        <v>0.7</v>
      </c>
      <c r="DD43" s="228">
        <v>38.479999999999997</v>
      </c>
      <c r="DE43" s="228">
        <v>38.57</v>
      </c>
      <c r="DF43" s="228">
        <v>-6.78</v>
      </c>
      <c r="DG43" s="228">
        <v>-0.09</v>
      </c>
      <c r="DH43" s="228">
        <v>31.75</v>
      </c>
      <c r="DI43" s="228">
        <v>31.06</v>
      </c>
      <c r="DJ43" s="228">
        <v>0.69</v>
      </c>
      <c r="DK43" s="228">
        <v>0.69</v>
      </c>
      <c r="DL43" s="228">
        <v>31.55</v>
      </c>
      <c r="DM43" s="228">
        <v>30.76</v>
      </c>
      <c r="DN43" s="228">
        <v>0.79</v>
      </c>
      <c r="DO43" s="228">
        <v>0.79</v>
      </c>
      <c r="DP43" s="228">
        <v>0.78</v>
      </c>
      <c r="DQ43" s="228">
        <v>0.77</v>
      </c>
      <c r="DR43" s="228">
        <v>0.01</v>
      </c>
      <c r="DS43" s="229">
        <v>1.2999999999999999E-2</v>
      </c>
      <c r="DT43" s="231">
        <v>1700</v>
      </c>
      <c r="DU43" s="231">
        <v>1600</v>
      </c>
      <c r="DV43" s="228">
        <v>0.48</v>
      </c>
      <c r="DW43" s="228">
        <v>0.28000000000000003</v>
      </c>
      <c r="DX43" s="228">
        <v>0.2</v>
      </c>
      <c r="DY43" s="229">
        <v>0.71430000000000005</v>
      </c>
      <c r="DZ43" s="229">
        <v>0.90080000000000005</v>
      </c>
      <c r="EA43" s="230">
        <v>11974375</v>
      </c>
      <c r="EB43" s="229">
        <v>-2.1399999999999999E-2</v>
      </c>
      <c r="EC43" s="229">
        <v>0.90080000000000005</v>
      </c>
      <c r="ED43" s="228">
        <v>-44.14</v>
      </c>
      <c r="EE43" s="229">
        <v>-2.53E-2</v>
      </c>
      <c r="EF43" s="230">
        <v>1707298</v>
      </c>
      <c r="EG43" s="230">
        <v>1221274</v>
      </c>
      <c r="EH43" s="229">
        <v>0.39800000000000002</v>
      </c>
      <c r="EI43" s="229">
        <v>0.55840000000000001</v>
      </c>
      <c r="EJ43" s="231">
        <v>371459.4</v>
      </c>
      <c r="EK43" s="231">
        <v>168783.35999999999</v>
      </c>
      <c r="EL43" s="231">
        <v>279205.59000000003</v>
      </c>
      <c r="EM43" s="231">
        <v>13733</v>
      </c>
      <c r="EN43" s="231">
        <v>819448.35</v>
      </c>
      <c r="EO43" s="231">
        <v>783081.91</v>
      </c>
      <c r="EP43" s="231">
        <v>36366.44</v>
      </c>
      <c r="EQ43" s="229">
        <v>4.6399999999999997E-2</v>
      </c>
      <c r="ER43" s="231">
        <v>64154</v>
      </c>
      <c r="ES43" s="231">
        <v>46109</v>
      </c>
      <c r="ET43" s="231">
        <v>283695</v>
      </c>
      <c r="EU43" s="231">
        <v>63212268</v>
      </c>
      <c r="EV43" s="231">
        <v>393957</v>
      </c>
      <c r="EW43" s="231">
        <v>394920</v>
      </c>
      <c r="EX43" s="228">
        <v>-963</v>
      </c>
      <c r="EY43" s="229">
        <v>-2.3999999999999998E-3</v>
      </c>
      <c r="EZ43" s="229">
        <v>0.36770000000000003</v>
      </c>
      <c r="FA43" s="227" t="s">
        <v>556</v>
      </c>
      <c r="FB43" s="161">
        <f t="shared" si="0"/>
        <v>15024375</v>
      </c>
    </row>
    <row r="44" spans="1:158" ht="17.25" hidden="1" thickBot="1" x14ac:dyDescent="0.3">
      <c r="A44" s="226">
        <v>45957</v>
      </c>
      <c r="B44" s="227" t="s">
        <v>170</v>
      </c>
      <c r="C44" s="227" t="s">
        <v>199</v>
      </c>
      <c r="D44" s="228">
        <v>375</v>
      </c>
      <c r="E44" s="231">
        <v>1582.8</v>
      </c>
      <c r="F44" s="231">
        <v>1583.1</v>
      </c>
      <c r="G44" s="228">
        <v>-0.3</v>
      </c>
      <c r="H44" s="229">
        <v>-2.0000000000000001E-4</v>
      </c>
      <c r="I44" s="231">
        <v>1584</v>
      </c>
      <c r="J44" s="231">
        <v>1584.4</v>
      </c>
      <c r="K44" s="228">
        <v>-0.4</v>
      </c>
      <c r="L44" s="229">
        <v>-2.9999999999999997E-4</v>
      </c>
      <c r="M44" s="231">
        <v>1582.8</v>
      </c>
      <c r="N44" s="231">
        <v>1583.1</v>
      </c>
      <c r="O44" s="228">
        <v>-0.3</v>
      </c>
      <c r="P44" s="229">
        <v>-2.0000000000000001E-4</v>
      </c>
      <c r="Q44" s="231">
        <v>1591</v>
      </c>
      <c r="R44" s="231">
        <v>1592.2</v>
      </c>
      <c r="S44" s="228">
        <v>-1.2</v>
      </c>
      <c r="T44" s="229">
        <v>-8.0000000000000004E-4</v>
      </c>
      <c r="U44" s="231">
        <v>1601.5</v>
      </c>
      <c r="V44" s="231">
        <v>1602.5</v>
      </c>
      <c r="W44" s="228">
        <v>-1</v>
      </c>
      <c r="X44" s="229">
        <v>-5.9999999999999995E-4</v>
      </c>
      <c r="Y44" s="228">
        <v>-1.2</v>
      </c>
      <c r="Z44" s="228">
        <v>-1.3</v>
      </c>
      <c r="AA44" s="228">
        <v>0.1</v>
      </c>
      <c r="AB44" s="229">
        <v>-8.0000000000000004E-4</v>
      </c>
      <c r="AC44" s="228">
        <v>-1.2</v>
      </c>
      <c r="AD44" s="228">
        <v>-1.3</v>
      </c>
      <c r="AE44" s="228">
        <v>0.1</v>
      </c>
      <c r="AF44" s="229">
        <v>-8.0000000000000004E-4</v>
      </c>
      <c r="AG44" s="228">
        <v>7</v>
      </c>
      <c r="AH44" s="228">
        <v>7.8</v>
      </c>
      <c r="AI44" s="228">
        <v>-0.8</v>
      </c>
      <c r="AJ44" s="229">
        <v>4.4000000000000003E-3</v>
      </c>
      <c r="AK44" s="228">
        <v>17.5</v>
      </c>
      <c r="AL44" s="228">
        <v>18.100000000000001</v>
      </c>
      <c r="AM44" s="228">
        <v>-0.6</v>
      </c>
      <c r="AN44" s="229">
        <v>1.0999999999999999E-2</v>
      </c>
      <c r="AO44" s="231">
        <v>1580.91</v>
      </c>
      <c r="AP44" s="231">
        <v>1589.53</v>
      </c>
      <c r="AQ44" s="228">
        <v>0</v>
      </c>
      <c r="AR44" s="230">
        <v>10332375</v>
      </c>
      <c r="AS44" s="230">
        <v>14790375</v>
      </c>
      <c r="AT44" s="230">
        <v>-4458000</v>
      </c>
      <c r="AU44" s="229">
        <v>-0.3014</v>
      </c>
      <c r="AV44" s="230">
        <v>5007375</v>
      </c>
      <c r="AW44" s="230">
        <v>7353000</v>
      </c>
      <c r="AX44" s="230">
        <v>-2345625</v>
      </c>
      <c r="AY44" s="229">
        <v>-0.31900000000000001</v>
      </c>
      <c r="AZ44" s="230">
        <v>5274000</v>
      </c>
      <c r="BA44" s="230">
        <v>7321125</v>
      </c>
      <c r="BB44" s="230">
        <v>-2047125</v>
      </c>
      <c r="BC44" s="229">
        <v>-0.27960000000000002</v>
      </c>
      <c r="BD44" s="230">
        <v>51000</v>
      </c>
      <c r="BE44" s="230">
        <v>116250</v>
      </c>
      <c r="BF44" s="230">
        <v>-65250</v>
      </c>
      <c r="BG44" s="229">
        <v>-0.56130000000000002</v>
      </c>
      <c r="BH44" s="230">
        <v>24066750</v>
      </c>
      <c r="BI44" s="230">
        <v>46174125</v>
      </c>
      <c r="BJ44" s="230">
        <v>-22107375</v>
      </c>
      <c r="BK44" s="229">
        <v>-0.4788</v>
      </c>
      <c r="BL44" s="230">
        <v>12151500</v>
      </c>
      <c r="BM44" s="230">
        <v>26355000</v>
      </c>
      <c r="BN44" s="230">
        <v>-14203500</v>
      </c>
      <c r="BO44" s="229">
        <v>-0.53890000000000005</v>
      </c>
      <c r="BP44" s="230">
        <v>46550625</v>
      </c>
      <c r="BQ44" s="230">
        <v>87319500</v>
      </c>
      <c r="BR44" s="230">
        <v>-40768875</v>
      </c>
      <c r="BS44" s="229">
        <v>-0.46689999999999998</v>
      </c>
      <c r="BT44" s="230">
        <v>1234222</v>
      </c>
      <c r="BU44" s="230">
        <v>3098782</v>
      </c>
      <c r="BV44" s="230">
        <v>-1864560</v>
      </c>
      <c r="BW44" s="229">
        <v>-0.60170000000000001</v>
      </c>
      <c r="BX44" s="230">
        <v>16620375</v>
      </c>
      <c r="BY44" s="230">
        <v>16950375</v>
      </c>
      <c r="BZ44" s="230">
        <v>-330000</v>
      </c>
      <c r="CA44" s="229">
        <v>-1.95E-2</v>
      </c>
      <c r="CB44" s="230">
        <v>2198625</v>
      </c>
      <c r="CC44" s="230">
        <v>6409500</v>
      </c>
      <c r="CD44" s="230">
        <v>-4210875</v>
      </c>
      <c r="CE44" s="229">
        <v>-0.65700000000000003</v>
      </c>
      <c r="CF44" s="230">
        <v>14305500</v>
      </c>
      <c r="CG44" s="230">
        <v>10435500</v>
      </c>
      <c r="CH44" s="230">
        <v>3870000</v>
      </c>
      <c r="CI44" s="229">
        <v>0.37080000000000002</v>
      </c>
      <c r="CJ44" s="230">
        <v>116250</v>
      </c>
      <c r="CK44" s="230">
        <v>105375</v>
      </c>
      <c r="CL44" s="230">
        <v>10875</v>
      </c>
      <c r="CM44" s="229">
        <v>0.1032</v>
      </c>
      <c r="CN44" s="230">
        <v>10969500</v>
      </c>
      <c r="CO44" s="230">
        <v>11562375</v>
      </c>
      <c r="CP44" s="230">
        <v>-592875</v>
      </c>
      <c r="CQ44" s="229">
        <v>-5.1299999999999998E-2</v>
      </c>
      <c r="CR44" s="230">
        <v>5338500</v>
      </c>
      <c r="CS44" s="230">
        <v>5421375</v>
      </c>
      <c r="CT44" s="230">
        <v>-82875</v>
      </c>
      <c r="CU44" s="229">
        <v>-1.5299999999999999E-2</v>
      </c>
      <c r="CV44" s="230">
        <v>32928375</v>
      </c>
      <c r="CW44" s="230">
        <v>33934125</v>
      </c>
      <c r="CX44" s="230">
        <v>-1005750</v>
      </c>
      <c r="CY44" s="229">
        <v>-2.9600000000000001E-2</v>
      </c>
      <c r="CZ44" s="228">
        <v>25.79</v>
      </c>
      <c r="DA44" s="228">
        <v>27.75</v>
      </c>
      <c r="DB44" s="228">
        <v>-1.96</v>
      </c>
      <c r="DC44" s="228">
        <v>-1.96</v>
      </c>
      <c r="DD44" s="228">
        <v>27.01</v>
      </c>
      <c r="DE44" s="228">
        <v>27.08</v>
      </c>
      <c r="DF44" s="228">
        <v>-1.22</v>
      </c>
      <c r="DG44" s="228">
        <v>-7.0000000000000007E-2</v>
      </c>
      <c r="DH44" s="228">
        <v>25.84</v>
      </c>
      <c r="DI44" s="228">
        <v>28.06</v>
      </c>
      <c r="DJ44" s="228">
        <v>-2.2200000000000002</v>
      </c>
      <c r="DK44" s="228">
        <v>-2.2200000000000002</v>
      </c>
      <c r="DL44" s="228">
        <v>25.69</v>
      </c>
      <c r="DM44" s="228">
        <v>27.27</v>
      </c>
      <c r="DN44" s="228">
        <v>-1.58</v>
      </c>
      <c r="DO44" s="228">
        <v>-1.58</v>
      </c>
      <c r="DP44" s="228">
        <v>0.49</v>
      </c>
      <c r="DQ44" s="228">
        <v>0.47</v>
      </c>
      <c r="DR44" s="228">
        <v>0.02</v>
      </c>
      <c r="DS44" s="229">
        <v>4.2599999999999999E-2</v>
      </c>
      <c r="DT44" s="231">
        <v>1600</v>
      </c>
      <c r="DU44" s="231">
        <v>1580</v>
      </c>
      <c r="DV44" s="228">
        <v>0.5</v>
      </c>
      <c r="DW44" s="228">
        <v>0.56999999999999995</v>
      </c>
      <c r="DX44" s="228">
        <v>-7.0000000000000007E-2</v>
      </c>
      <c r="DY44" s="229">
        <v>-0.12280000000000001</v>
      </c>
      <c r="DZ44" s="229">
        <v>0.86770000000000003</v>
      </c>
      <c r="EA44" s="230">
        <v>10540875</v>
      </c>
      <c r="EB44" s="229">
        <v>5.1999999999999998E-3</v>
      </c>
      <c r="EC44" s="229">
        <v>0.86770000000000003</v>
      </c>
      <c r="ED44" s="228">
        <v>8.6199999999999992</v>
      </c>
      <c r="EE44" s="229">
        <v>5.4999999999999997E-3</v>
      </c>
      <c r="EF44" s="230">
        <v>651295</v>
      </c>
      <c r="EG44" s="230">
        <v>1079748</v>
      </c>
      <c r="EH44" s="229">
        <v>-0.39679999999999999</v>
      </c>
      <c r="EI44" s="229">
        <v>0.52769999999999995</v>
      </c>
      <c r="EJ44" s="231">
        <v>390740.42</v>
      </c>
      <c r="EK44" s="231">
        <v>190952.05</v>
      </c>
      <c r="EL44" s="231">
        <v>163809.64000000001</v>
      </c>
      <c r="EM44" s="231">
        <v>22769</v>
      </c>
      <c r="EN44" s="231">
        <v>745502.11</v>
      </c>
      <c r="EO44" s="231">
        <v>1420276.63</v>
      </c>
      <c r="EP44" s="231">
        <v>-674774.52</v>
      </c>
      <c r="EQ44" s="229">
        <v>-0.47510000000000002</v>
      </c>
      <c r="ER44" s="231">
        <v>181539</v>
      </c>
      <c r="ES44" s="231">
        <v>82381</v>
      </c>
      <c r="ET44" s="231">
        <v>264262</v>
      </c>
      <c r="EU44" s="231">
        <v>57073940</v>
      </c>
      <c r="EV44" s="231">
        <v>528183</v>
      </c>
      <c r="EW44" s="231">
        <v>544685</v>
      </c>
      <c r="EX44" s="231">
        <v>-16502</v>
      </c>
      <c r="EY44" s="229">
        <v>-3.0300000000000001E-2</v>
      </c>
      <c r="EZ44" s="229">
        <v>0.57689999999999997</v>
      </c>
      <c r="FA44" s="227" t="s">
        <v>568</v>
      </c>
      <c r="FB44" s="161">
        <f t="shared" si="0"/>
        <v>14421750</v>
      </c>
    </row>
    <row r="45" spans="1:158" ht="17.25" hidden="1" thickBot="1" x14ac:dyDescent="0.3">
      <c r="A45" s="226">
        <v>45957</v>
      </c>
      <c r="B45" s="227" t="s">
        <v>227</v>
      </c>
      <c r="C45" s="227" t="s">
        <v>200</v>
      </c>
      <c r="D45" s="228">
        <v>1350</v>
      </c>
      <c r="E45" s="228">
        <v>396.55</v>
      </c>
      <c r="F45" s="228">
        <v>393.95</v>
      </c>
      <c r="G45" s="228">
        <v>2.6</v>
      </c>
      <c r="H45" s="229">
        <v>6.6E-3</v>
      </c>
      <c r="I45" s="228">
        <v>396.7</v>
      </c>
      <c r="J45" s="228">
        <v>394.05</v>
      </c>
      <c r="K45" s="228">
        <v>2.65</v>
      </c>
      <c r="L45" s="229">
        <v>6.7000000000000002E-3</v>
      </c>
      <c r="M45" s="228">
        <v>396.55</v>
      </c>
      <c r="N45" s="228">
        <v>393.95</v>
      </c>
      <c r="O45" s="228">
        <v>2.6</v>
      </c>
      <c r="P45" s="229">
        <v>6.6E-3</v>
      </c>
      <c r="Q45" s="228">
        <v>394.05</v>
      </c>
      <c r="R45" s="228">
        <v>391.35</v>
      </c>
      <c r="S45" s="228">
        <v>2.7</v>
      </c>
      <c r="T45" s="229">
        <v>6.8999999999999999E-3</v>
      </c>
      <c r="U45" s="228">
        <v>396.6</v>
      </c>
      <c r="V45" s="228">
        <v>393.95</v>
      </c>
      <c r="W45" s="228">
        <v>2.65</v>
      </c>
      <c r="X45" s="229">
        <v>6.7000000000000002E-3</v>
      </c>
      <c r="Y45" s="228">
        <v>-0.15</v>
      </c>
      <c r="Z45" s="228">
        <v>-0.1</v>
      </c>
      <c r="AA45" s="228">
        <v>-0.05</v>
      </c>
      <c r="AB45" s="229">
        <v>-4.0000000000000002E-4</v>
      </c>
      <c r="AC45" s="228">
        <v>-0.15</v>
      </c>
      <c r="AD45" s="228">
        <v>-0.1</v>
      </c>
      <c r="AE45" s="228">
        <v>-0.05</v>
      </c>
      <c r="AF45" s="229">
        <v>-4.0000000000000002E-4</v>
      </c>
      <c r="AG45" s="228">
        <v>-2.65</v>
      </c>
      <c r="AH45" s="228">
        <v>-2.7</v>
      </c>
      <c r="AI45" s="228">
        <v>0.05</v>
      </c>
      <c r="AJ45" s="229">
        <v>-6.7000000000000002E-3</v>
      </c>
      <c r="AK45" s="228">
        <v>-0.1</v>
      </c>
      <c r="AL45" s="228">
        <v>-0.1</v>
      </c>
      <c r="AM45" s="228">
        <v>0</v>
      </c>
      <c r="AN45" s="229">
        <v>-2.9999999999999997E-4</v>
      </c>
      <c r="AO45" s="228">
        <v>396.9</v>
      </c>
      <c r="AP45" s="228">
        <v>394.34</v>
      </c>
      <c r="AQ45" s="228">
        <v>0</v>
      </c>
      <c r="AR45" s="230">
        <v>46329300</v>
      </c>
      <c r="AS45" s="230">
        <v>26703000</v>
      </c>
      <c r="AT45" s="230">
        <v>19626300</v>
      </c>
      <c r="AU45" s="229">
        <v>0.73499999999999999</v>
      </c>
      <c r="AV45" s="230">
        <v>22950000</v>
      </c>
      <c r="AW45" s="230">
        <v>13378500</v>
      </c>
      <c r="AX45" s="230">
        <v>9571500</v>
      </c>
      <c r="AY45" s="229">
        <v>0.71540000000000004</v>
      </c>
      <c r="AZ45" s="230">
        <v>23076900</v>
      </c>
      <c r="BA45" s="230">
        <v>13111200</v>
      </c>
      <c r="BB45" s="230">
        <v>9965700</v>
      </c>
      <c r="BC45" s="229">
        <v>0.7601</v>
      </c>
      <c r="BD45" s="230">
        <v>302400</v>
      </c>
      <c r="BE45" s="230">
        <v>213300</v>
      </c>
      <c r="BF45" s="230">
        <v>89100</v>
      </c>
      <c r="BG45" s="229">
        <v>0.41770000000000002</v>
      </c>
      <c r="BH45" s="230">
        <v>35611650</v>
      </c>
      <c r="BI45" s="230">
        <v>31668300</v>
      </c>
      <c r="BJ45" s="230">
        <v>3943350</v>
      </c>
      <c r="BK45" s="229">
        <v>0.1245</v>
      </c>
      <c r="BL45" s="230">
        <v>19672200</v>
      </c>
      <c r="BM45" s="230">
        <v>20200050</v>
      </c>
      <c r="BN45" s="230">
        <v>-527850</v>
      </c>
      <c r="BO45" s="229">
        <v>-2.6100000000000002E-2</v>
      </c>
      <c r="BP45" s="230">
        <v>101613150</v>
      </c>
      <c r="BQ45" s="230">
        <v>78571350</v>
      </c>
      <c r="BR45" s="230">
        <v>23041800</v>
      </c>
      <c r="BS45" s="229">
        <v>0.29330000000000001</v>
      </c>
      <c r="BT45" s="230">
        <v>5785602</v>
      </c>
      <c r="BU45" s="230">
        <v>4187394</v>
      </c>
      <c r="BV45" s="230">
        <v>1598208</v>
      </c>
      <c r="BW45" s="229">
        <v>0.38169999999999998</v>
      </c>
      <c r="BX45" s="230">
        <v>68561100</v>
      </c>
      <c r="BY45" s="230">
        <v>69940800</v>
      </c>
      <c r="BZ45" s="230">
        <v>-1379700</v>
      </c>
      <c r="CA45" s="229">
        <v>-1.9699999999999999E-2</v>
      </c>
      <c r="CB45" s="230">
        <v>30318300</v>
      </c>
      <c r="CC45" s="230">
        <v>47677950</v>
      </c>
      <c r="CD45" s="230">
        <v>-17359650</v>
      </c>
      <c r="CE45" s="229">
        <v>-0.36409999999999998</v>
      </c>
      <c r="CF45" s="230">
        <v>37299150</v>
      </c>
      <c r="CG45" s="230">
        <v>21450150</v>
      </c>
      <c r="CH45" s="230">
        <v>15849000</v>
      </c>
      <c r="CI45" s="229">
        <v>0.7389</v>
      </c>
      <c r="CJ45" s="230">
        <v>943650</v>
      </c>
      <c r="CK45" s="230">
        <v>812700</v>
      </c>
      <c r="CL45" s="230">
        <v>130950</v>
      </c>
      <c r="CM45" s="229">
        <v>0.16109999999999999</v>
      </c>
      <c r="CN45" s="230">
        <v>26106300</v>
      </c>
      <c r="CO45" s="230">
        <v>27098550</v>
      </c>
      <c r="CP45" s="230">
        <v>-992250</v>
      </c>
      <c r="CQ45" s="229">
        <v>-3.6600000000000001E-2</v>
      </c>
      <c r="CR45" s="230">
        <v>21787650</v>
      </c>
      <c r="CS45" s="230">
        <v>19961100</v>
      </c>
      <c r="CT45" s="230">
        <v>1826550</v>
      </c>
      <c r="CU45" s="229">
        <v>9.1499999999999998E-2</v>
      </c>
      <c r="CV45" s="230">
        <v>116455050</v>
      </c>
      <c r="CW45" s="230">
        <v>117000450</v>
      </c>
      <c r="CX45" s="230">
        <v>-545400</v>
      </c>
      <c r="CY45" s="229">
        <v>-4.7000000000000002E-3</v>
      </c>
      <c r="CZ45" s="228">
        <v>20.149999999999999</v>
      </c>
      <c r="DA45" s="228">
        <v>19</v>
      </c>
      <c r="DB45" s="228">
        <v>1.1499999999999999</v>
      </c>
      <c r="DC45" s="228">
        <v>1.1499999999999999</v>
      </c>
      <c r="DD45" s="228">
        <v>28.42</v>
      </c>
      <c r="DE45" s="228">
        <v>28.48</v>
      </c>
      <c r="DF45" s="228">
        <v>-8.27</v>
      </c>
      <c r="DG45" s="228">
        <v>-0.06</v>
      </c>
      <c r="DH45" s="228">
        <v>20.37</v>
      </c>
      <c r="DI45" s="228">
        <v>19.32</v>
      </c>
      <c r="DJ45" s="228">
        <v>1.05</v>
      </c>
      <c r="DK45" s="228">
        <v>1.05</v>
      </c>
      <c r="DL45" s="228">
        <v>19.760000000000002</v>
      </c>
      <c r="DM45" s="228">
        <v>18.61</v>
      </c>
      <c r="DN45" s="228">
        <v>1.1499999999999999</v>
      </c>
      <c r="DO45" s="228">
        <v>1.1499999999999999</v>
      </c>
      <c r="DP45" s="228">
        <v>0.83</v>
      </c>
      <c r="DQ45" s="228">
        <v>0.74</v>
      </c>
      <c r="DR45" s="228">
        <v>0.09</v>
      </c>
      <c r="DS45" s="229">
        <v>0.1216</v>
      </c>
      <c r="DT45" s="228">
        <v>400</v>
      </c>
      <c r="DU45" s="228">
        <v>450</v>
      </c>
      <c r="DV45" s="228">
        <v>0.55000000000000004</v>
      </c>
      <c r="DW45" s="228">
        <v>0.64</v>
      </c>
      <c r="DX45" s="228">
        <v>-0.09</v>
      </c>
      <c r="DY45" s="229">
        <v>-0.1406</v>
      </c>
      <c r="DZ45" s="229">
        <v>0.55779999999999996</v>
      </c>
      <c r="EA45" s="230">
        <v>22262850</v>
      </c>
      <c r="EB45" s="229">
        <v>-6.3E-3</v>
      </c>
      <c r="EC45" s="229">
        <v>0.55779999999999996</v>
      </c>
      <c r="ED45" s="228">
        <v>-2.56</v>
      </c>
      <c r="EE45" s="229">
        <v>-6.4000000000000003E-3</v>
      </c>
      <c r="EF45" s="230">
        <v>3713866</v>
      </c>
      <c r="EG45" s="230">
        <v>2329577</v>
      </c>
      <c r="EH45" s="229">
        <v>0.59419999999999995</v>
      </c>
      <c r="EI45" s="229">
        <v>0.64190000000000003</v>
      </c>
      <c r="EJ45" s="231">
        <v>144144.28</v>
      </c>
      <c r="EK45" s="231">
        <v>77897.08</v>
      </c>
      <c r="EL45" s="231">
        <v>183290.47</v>
      </c>
      <c r="EM45" s="231">
        <v>12504</v>
      </c>
      <c r="EN45" s="231">
        <v>405331.83</v>
      </c>
      <c r="EO45" s="231">
        <v>313365.61</v>
      </c>
      <c r="EP45" s="231">
        <v>91966.22</v>
      </c>
      <c r="EQ45" s="229">
        <v>0.29349999999999998</v>
      </c>
      <c r="ER45" s="231">
        <v>105859</v>
      </c>
      <c r="ES45" s="231">
        <v>85405</v>
      </c>
      <c r="ET45" s="231">
        <v>270947</v>
      </c>
      <c r="EU45" s="231">
        <v>227199238</v>
      </c>
      <c r="EV45" s="231">
        <v>462211</v>
      </c>
      <c r="EW45" s="231">
        <v>462843</v>
      </c>
      <c r="EX45" s="228">
        <v>-632</v>
      </c>
      <c r="EY45" s="229">
        <v>-1.4E-3</v>
      </c>
      <c r="EZ45" s="229">
        <v>0.51259999999999994</v>
      </c>
      <c r="FA45" s="227" t="s">
        <v>556</v>
      </c>
      <c r="FB45" s="161">
        <f t="shared" si="0"/>
        <v>38242800</v>
      </c>
    </row>
    <row r="46" spans="1:158" ht="17.25" hidden="1" thickBot="1" x14ac:dyDescent="0.3">
      <c r="A46" s="226">
        <v>45957</v>
      </c>
      <c r="B46" s="227" t="s">
        <v>221</v>
      </c>
      <c r="C46" s="227" t="s">
        <v>470</v>
      </c>
      <c r="D46" s="228">
        <v>375</v>
      </c>
      <c r="E46" s="231">
        <v>1830.5</v>
      </c>
      <c r="F46" s="231">
        <v>1759.4</v>
      </c>
      <c r="G46" s="228">
        <v>71.099999999999994</v>
      </c>
      <c r="H46" s="229">
        <v>4.0399999999999998E-2</v>
      </c>
      <c r="I46" s="231">
        <v>1830.6</v>
      </c>
      <c r="J46" s="231">
        <v>1760</v>
      </c>
      <c r="K46" s="228">
        <v>70.599999999999994</v>
      </c>
      <c r="L46" s="229">
        <v>4.0099999999999997E-2</v>
      </c>
      <c r="M46" s="231">
        <v>1830.5</v>
      </c>
      <c r="N46" s="231">
        <v>1759.4</v>
      </c>
      <c r="O46" s="228">
        <v>71.099999999999994</v>
      </c>
      <c r="P46" s="229">
        <v>4.0399999999999998E-2</v>
      </c>
      <c r="Q46" s="231">
        <v>1837.7</v>
      </c>
      <c r="R46" s="231">
        <v>1765.6</v>
      </c>
      <c r="S46" s="228">
        <v>72.099999999999994</v>
      </c>
      <c r="T46" s="229">
        <v>4.0800000000000003E-2</v>
      </c>
      <c r="U46" s="231">
        <v>1847.1</v>
      </c>
      <c r="V46" s="231">
        <v>1772.8</v>
      </c>
      <c r="W46" s="228">
        <v>74.3</v>
      </c>
      <c r="X46" s="229">
        <v>4.19E-2</v>
      </c>
      <c r="Y46" s="228">
        <v>-0.1</v>
      </c>
      <c r="Z46" s="228">
        <v>-0.6</v>
      </c>
      <c r="AA46" s="228">
        <v>0.5</v>
      </c>
      <c r="AB46" s="229">
        <v>-1E-4</v>
      </c>
      <c r="AC46" s="228">
        <v>-0.1</v>
      </c>
      <c r="AD46" s="228">
        <v>-0.6</v>
      </c>
      <c r="AE46" s="228">
        <v>0.5</v>
      </c>
      <c r="AF46" s="229">
        <v>-1E-4</v>
      </c>
      <c r="AG46" s="228">
        <v>7.1</v>
      </c>
      <c r="AH46" s="228">
        <v>5.6</v>
      </c>
      <c r="AI46" s="228">
        <v>1.5</v>
      </c>
      <c r="AJ46" s="229">
        <v>3.8999999999999998E-3</v>
      </c>
      <c r="AK46" s="228">
        <v>16.5</v>
      </c>
      <c r="AL46" s="228">
        <v>12.8</v>
      </c>
      <c r="AM46" s="228">
        <v>3.7</v>
      </c>
      <c r="AN46" s="229">
        <v>8.9999999999999993E-3</v>
      </c>
      <c r="AO46" s="231">
        <v>1836.88</v>
      </c>
      <c r="AP46" s="231">
        <v>1843.9</v>
      </c>
      <c r="AQ46" s="228">
        <v>0</v>
      </c>
      <c r="AR46" s="230">
        <v>13706625</v>
      </c>
      <c r="AS46" s="230">
        <v>13688250</v>
      </c>
      <c r="AT46" s="230">
        <v>18375</v>
      </c>
      <c r="AU46" s="229">
        <v>1.2999999999999999E-3</v>
      </c>
      <c r="AV46" s="230">
        <v>6231750</v>
      </c>
      <c r="AW46" s="230">
        <v>6846750</v>
      </c>
      <c r="AX46" s="230">
        <v>-615000</v>
      </c>
      <c r="AY46" s="229">
        <v>-8.9800000000000005E-2</v>
      </c>
      <c r="AZ46" s="230">
        <v>7344375</v>
      </c>
      <c r="BA46" s="230">
        <v>6813750</v>
      </c>
      <c r="BB46" s="230">
        <v>530625</v>
      </c>
      <c r="BC46" s="229">
        <v>7.7899999999999997E-2</v>
      </c>
      <c r="BD46" s="230">
        <v>130500</v>
      </c>
      <c r="BE46" s="230">
        <v>27750</v>
      </c>
      <c r="BF46" s="230">
        <v>102750</v>
      </c>
      <c r="BG46" s="229">
        <v>3.7027000000000001</v>
      </c>
      <c r="BH46" s="230">
        <v>61365000</v>
      </c>
      <c r="BI46" s="230">
        <v>14559750</v>
      </c>
      <c r="BJ46" s="230">
        <v>46805250</v>
      </c>
      <c r="BK46" s="229">
        <v>3.2147000000000001</v>
      </c>
      <c r="BL46" s="230">
        <v>35277000</v>
      </c>
      <c r="BM46" s="230">
        <v>6180000</v>
      </c>
      <c r="BN46" s="230">
        <v>29097000</v>
      </c>
      <c r="BO46" s="229">
        <v>4.7083000000000004</v>
      </c>
      <c r="BP46" s="230">
        <v>110348625</v>
      </c>
      <c r="BQ46" s="230">
        <v>34428000</v>
      </c>
      <c r="BR46" s="230">
        <v>75920625</v>
      </c>
      <c r="BS46" s="229">
        <v>2.2052</v>
      </c>
      <c r="BT46" s="230">
        <v>7203491</v>
      </c>
      <c r="BU46" s="230">
        <v>1643110</v>
      </c>
      <c r="BV46" s="230">
        <v>5560381</v>
      </c>
      <c r="BW46" s="229">
        <v>3.3841000000000001</v>
      </c>
      <c r="BX46" s="230">
        <v>13630875</v>
      </c>
      <c r="BY46" s="230">
        <v>13227750</v>
      </c>
      <c r="BZ46" s="230">
        <v>403125</v>
      </c>
      <c r="CA46" s="229">
        <v>3.0499999999999999E-2</v>
      </c>
      <c r="CB46" s="230">
        <v>1191750</v>
      </c>
      <c r="CC46" s="230">
        <v>3528375</v>
      </c>
      <c r="CD46" s="230">
        <v>-2336625</v>
      </c>
      <c r="CE46" s="229">
        <v>-0.66220000000000001</v>
      </c>
      <c r="CF46" s="230">
        <v>12351750</v>
      </c>
      <c r="CG46" s="230">
        <v>9655500</v>
      </c>
      <c r="CH46" s="230">
        <v>2696250</v>
      </c>
      <c r="CI46" s="229">
        <v>0.2792</v>
      </c>
      <c r="CJ46" s="230">
        <v>87375</v>
      </c>
      <c r="CK46" s="230">
        <v>43875</v>
      </c>
      <c r="CL46" s="230">
        <v>43500</v>
      </c>
      <c r="CM46" s="229">
        <v>0.99150000000000005</v>
      </c>
      <c r="CN46" s="230">
        <v>6734250</v>
      </c>
      <c r="CO46" s="230">
        <v>7534875</v>
      </c>
      <c r="CP46" s="230">
        <v>-800625</v>
      </c>
      <c r="CQ46" s="229">
        <v>-0.10630000000000001</v>
      </c>
      <c r="CR46" s="230">
        <v>4595625</v>
      </c>
      <c r="CS46" s="230">
        <v>4254000</v>
      </c>
      <c r="CT46" s="230">
        <v>341625</v>
      </c>
      <c r="CU46" s="229">
        <v>8.0299999999999996E-2</v>
      </c>
      <c r="CV46" s="230">
        <v>24960750</v>
      </c>
      <c r="CW46" s="230">
        <v>25016625</v>
      </c>
      <c r="CX46" s="230">
        <v>-55875</v>
      </c>
      <c r="CY46" s="229">
        <v>-2.2000000000000001E-3</v>
      </c>
      <c r="CZ46" s="228">
        <v>30.86</v>
      </c>
      <c r="DA46" s="228">
        <v>37.44</v>
      </c>
      <c r="DB46" s="228">
        <v>-6.58</v>
      </c>
      <c r="DC46" s="228">
        <v>-6.58</v>
      </c>
      <c r="DD46" s="228">
        <v>42.82</v>
      </c>
      <c r="DE46" s="228">
        <v>42.59</v>
      </c>
      <c r="DF46" s="228">
        <v>-11.96</v>
      </c>
      <c r="DG46" s="228">
        <v>0.23</v>
      </c>
      <c r="DH46" s="228">
        <v>30.67</v>
      </c>
      <c r="DI46" s="228">
        <v>37.44</v>
      </c>
      <c r="DJ46" s="228">
        <v>-6.77</v>
      </c>
      <c r="DK46" s="228">
        <v>-6.77</v>
      </c>
      <c r="DL46" s="228">
        <v>31.28</v>
      </c>
      <c r="DM46" s="228">
        <v>37.450000000000003</v>
      </c>
      <c r="DN46" s="228">
        <v>-6.17</v>
      </c>
      <c r="DO46" s="228">
        <v>-6.17</v>
      </c>
      <c r="DP46" s="228">
        <v>0.68</v>
      </c>
      <c r="DQ46" s="228">
        <v>0.56000000000000005</v>
      </c>
      <c r="DR46" s="228">
        <v>0.12</v>
      </c>
      <c r="DS46" s="229">
        <v>0.21429999999999999</v>
      </c>
      <c r="DT46" s="231">
        <v>1900</v>
      </c>
      <c r="DU46" s="231">
        <v>1800</v>
      </c>
      <c r="DV46" s="228">
        <v>0.56999999999999995</v>
      </c>
      <c r="DW46" s="228">
        <v>0.42</v>
      </c>
      <c r="DX46" s="228">
        <v>0.15</v>
      </c>
      <c r="DY46" s="229">
        <v>0.35709999999999997</v>
      </c>
      <c r="DZ46" s="229">
        <v>0.91259999999999997</v>
      </c>
      <c r="EA46" s="230">
        <v>9699375</v>
      </c>
      <c r="EB46" s="229">
        <v>3.8999999999999998E-3</v>
      </c>
      <c r="EC46" s="229">
        <v>0.91259999999999997</v>
      </c>
      <c r="ED46" s="228">
        <v>7.02</v>
      </c>
      <c r="EE46" s="229">
        <v>3.8E-3</v>
      </c>
      <c r="EF46" s="230">
        <v>2666579</v>
      </c>
      <c r="EG46" s="230">
        <v>934431</v>
      </c>
      <c r="EH46" s="229">
        <v>1.8536999999999999</v>
      </c>
      <c r="EI46" s="229">
        <v>0.37019999999999997</v>
      </c>
      <c r="EJ46" s="231">
        <v>1162433.05</v>
      </c>
      <c r="EK46" s="231">
        <v>625619.29</v>
      </c>
      <c r="EL46" s="231">
        <v>252309.56</v>
      </c>
      <c r="EM46" s="231">
        <v>16889</v>
      </c>
      <c r="EN46" s="231">
        <v>2040361.9</v>
      </c>
      <c r="EO46" s="231">
        <v>618782.19999999995</v>
      </c>
      <c r="EP46" s="231">
        <v>1421579.7</v>
      </c>
      <c r="EQ46" s="229">
        <v>2.2974000000000001</v>
      </c>
      <c r="ER46" s="231">
        <v>124563</v>
      </c>
      <c r="ES46" s="231">
        <v>78424</v>
      </c>
      <c r="ET46" s="231">
        <v>250417</v>
      </c>
      <c r="EU46" s="231">
        <v>50163899</v>
      </c>
      <c r="EV46" s="231">
        <v>453404</v>
      </c>
      <c r="EW46" s="231">
        <v>440603</v>
      </c>
      <c r="EX46" s="231">
        <v>12801</v>
      </c>
      <c r="EY46" s="229">
        <v>2.9100000000000001E-2</v>
      </c>
      <c r="EZ46" s="229">
        <v>0.49759999999999999</v>
      </c>
      <c r="FA46" s="227" t="s">
        <v>555</v>
      </c>
      <c r="FB46" s="161">
        <f t="shared" si="0"/>
        <v>12439125</v>
      </c>
    </row>
    <row r="47" spans="1:158" ht="17.25" hidden="1" thickBot="1" x14ac:dyDescent="0.3">
      <c r="A47" s="226">
        <v>45957</v>
      </c>
      <c r="B47" s="227" t="s">
        <v>168</v>
      </c>
      <c r="C47" s="227" t="s">
        <v>201</v>
      </c>
      <c r="D47" s="228">
        <v>225</v>
      </c>
      <c r="E47" s="231">
        <v>2221.5</v>
      </c>
      <c r="F47" s="231">
        <v>2235.1</v>
      </c>
      <c r="G47" s="228">
        <v>-13.6</v>
      </c>
      <c r="H47" s="229">
        <v>-6.1000000000000004E-3</v>
      </c>
      <c r="I47" s="231">
        <v>2216.5</v>
      </c>
      <c r="J47" s="231">
        <v>2239.4</v>
      </c>
      <c r="K47" s="228">
        <v>-22.9</v>
      </c>
      <c r="L47" s="229">
        <v>-1.0200000000000001E-2</v>
      </c>
      <c r="M47" s="231">
        <v>2221.5</v>
      </c>
      <c r="N47" s="231">
        <v>2235.1</v>
      </c>
      <c r="O47" s="228">
        <v>-13.6</v>
      </c>
      <c r="P47" s="229">
        <v>-6.1000000000000004E-3</v>
      </c>
      <c r="Q47" s="231">
        <v>2200.9</v>
      </c>
      <c r="R47" s="231">
        <v>2215.8000000000002</v>
      </c>
      <c r="S47" s="228">
        <v>-14.9</v>
      </c>
      <c r="T47" s="229">
        <v>-6.7000000000000002E-3</v>
      </c>
      <c r="U47" s="231">
        <v>2214</v>
      </c>
      <c r="V47" s="231">
        <v>2226</v>
      </c>
      <c r="W47" s="228">
        <v>-12</v>
      </c>
      <c r="X47" s="229">
        <v>-5.4000000000000003E-3</v>
      </c>
      <c r="Y47" s="228">
        <v>5</v>
      </c>
      <c r="Z47" s="228">
        <v>-4.3</v>
      </c>
      <c r="AA47" s="228">
        <v>9.3000000000000007</v>
      </c>
      <c r="AB47" s="229">
        <v>2.3E-3</v>
      </c>
      <c r="AC47" s="228">
        <v>5</v>
      </c>
      <c r="AD47" s="228">
        <v>-4.3</v>
      </c>
      <c r="AE47" s="228">
        <v>9.3000000000000007</v>
      </c>
      <c r="AF47" s="229">
        <v>2.3E-3</v>
      </c>
      <c r="AG47" s="228">
        <v>-15.6</v>
      </c>
      <c r="AH47" s="228">
        <v>-23.6</v>
      </c>
      <c r="AI47" s="228">
        <v>8</v>
      </c>
      <c r="AJ47" s="229">
        <v>-7.0000000000000001E-3</v>
      </c>
      <c r="AK47" s="228">
        <v>-2.5</v>
      </c>
      <c r="AL47" s="228">
        <v>-13.4</v>
      </c>
      <c r="AM47" s="228">
        <v>10.9</v>
      </c>
      <c r="AN47" s="229">
        <v>-1.1000000000000001E-3</v>
      </c>
      <c r="AO47" s="231">
        <v>2225.86</v>
      </c>
      <c r="AP47" s="231">
        <v>2206.27</v>
      </c>
      <c r="AQ47" s="228">
        <v>0</v>
      </c>
      <c r="AR47" s="230">
        <v>3460275</v>
      </c>
      <c r="AS47" s="230">
        <v>7122825</v>
      </c>
      <c r="AT47" s="230">
        <v>-3662550</v>
      </c>
      <c r="AU47" s="229">
        <v>-0.51419999999999999</v>
      </c>
      <c r="AV47" s="230">
        <v>1520550</v>
      </c>
      <c r="AW47" s="230">
        <v>3228075</v>
      </c>
      <c r="AX47" s="230">
        <v>-1707525</v>
      </c>
      <c r="AY47" s="229">
        <v>-0.52900000000000003</v>
      </c>
      <c r="AZ47" s="230">
        <v>1883025</v>
      </c>
      <c r="BA47" s="230">
        <v>3765150</v>
      </c>
      <c r="BB47" s="230">
        <v>-1882125</v>
      </c>
      <c r="BC47" s="229">
        <v>-0.49990000000000001</v>
      </c>
      <c r="BD47" s="230">
        <v>56700</v>
      </c>
      <c r="BE47" s="230">
        <v>129600</v>
      </c>
      <c r="BF47" s="230">
        <v>-72900</v>
      </c>
      <c r="BG47" s="229">
        <v>-0.5625</v>
      </c>
      <c r="BH47" s="230">
        <v>4979475</v>
      </c>
      <c r="BI47" s="230">
        <v>18037350</v>
      </c>
      <c r="BJ47" s="230">
        <v>-13057875</v>
      </c>
      <c r="BK47" s="229">
        <v>-0.72389999999999999</v>
      </c>
      <c r="BL47" s="230">
        <v>2764800</v>
      </c>
      <c r="BM47" s="230">
        <v>9618525</v>
      </c>
      <c r="BN47" s="230">
        <v>-6853725</v>
      </c>
      <c r="BO47" s="229">
        <v>-0.71260000000000001</v>
      </c>
      <c r="BP47" s="230">
        <v>11204550</v>
      </c>
      <c r="BQ47" s="230">
        <v>34778700</v>
      </c>
      <c r="BR47" s="230">
        <v>-23574150</v>
      </c>
      <c r="BS47" s="229">
        <v>-0.67779999999999996</v>
      </c>
      <c r="BT47" s="230">
        <v>1148396</v>
      </c>
      <c r="BU47" s="230">
        <v>1945399</v>
      </c>
      <c r="BV47" s="230">
        <v>-797003</v>
      </c>
      <c r="BW47" s="229">
        <v>-0.40970000000000001</v>
      </c>
      <c r="BX47" s="230">
        <v>5897475</v>
      </c>
      <c r="BY47" s="230">
        <v>5670675</v>
      </c>
      <c r="BZ47" s="230">
        <v>226800</v>
      </c>
      <c r="CA47" s="229">
        <v>0.04</v>
      </c>
      <c r="CB47" s="230">
        <v>536175</v>
      </c>
      <c r="CC47" s="230">
        <v>1436850</v>
      </c>
      <c r="CD47" s="230">
        <v>-900675</v>
      </c>
      <c r="CE47" s="229">
        <v>-0.62680000000000002</v>
      </c>
      <c r="CF47" s="230">
        <v>5231025</v>
      </c>
      <c r="CG47" s="230">
        <v>4128300</v>
      </c>
      <c r="CH47" s="230">
        <v>1102725</v>
      </c>
      <c r="CI47" s="229">
        <v>0.2671</v>
      </c>
      <c r="CJ47" s="230">
        <v>130275</v>
      </c>
      <c r="CK47" s="230">
        <v>105525</v>
      </c>
      <c r="CL47" s="230">
        <v>24750</v>
      </c>
      <c r="CM47" s="229">
        <v>0.23449999999999999</v>
      </c>
      <c r="CN47" s="230">
        <v>3042000</v>
      </c>
      <c r="CO47" s="230">
        <v>3005325</v>
      </c>
      <c r="CP47" s="230">
        <v>36675</v>
      </c>
      <c r="CQ47" s="229">
        <v>1.2200000000000001E-2</v>
      </c>
      <c r="CR47" s="230">
        <v>2031750</v>
      </c>
      <c r="CS47" s="230">
        <v>2160675</v>
      </c>
      <c r="CT47" s="230">
        <v>-128925</v>
      </c>
      <c r="CU47" s="229">
        <v>-5.9700000000000003E-2</v>
      </c>
      <c r="CV47" s="230">
        <v>10971225</v>
      </c>
      <c r="CW47" s="230">
        <v>10836675</v>
      </c>
      <c r="CX47" s="230">
        <v>134550</v>
      </c>
      <c r="CY47" s="229">
        <v>1.24E-2</v>
      </c>
      <c r="CZ47" s="228">
        <v>21.5</v>
      </c>
      <c r="DA47" s="228">
        <v>21.69</v>
      </c>
      <c r="DB47" s="228">
        <v>-0.19</v>
      </c>
      <c r="DC47" s="228">
        <v>-0.19</v>
      </c>
      <c r="DD47" s="228">
        <v>28.34</v>
      </c>
      <c r="DE47" s="228">
        <v>28.4</v>
      </c>
      <c r="DF47" s="228">
        <v>-6.84</v>
      </c>
      <c r="DG47" s="228">
        <v>-0.06</v>
      </c>
      <c r="DH47" s="228">
        <v>21.76</v>
      </c>
      <c r="DI47" s="228">
        <v>21.98</v>
      </c>
      <c r="DJ47" s="228">
        <v>-0.22</v>
      </c>
      <c r="DK47" s="228">
        <v>-0.22</v>
      </c>
      <c r="DL47" s="228">
        <v>20.99</v>
      </c>
      <c r="DM47" s="228">
        <v>20.99</v>
      </c>
      <c r="DN47" s="228">
        <v>0</v>
      </c>
      <c r="DO47" s="228">
        <v>0</v>
      </c>
      <c r="DP47" s="228">
        <v>0.67</v>
      </c>
      <c r="DQ47" s="228">
        <v>0.72</v>
      </c>
      <c r="DR47" s="228">
        <v>-0.05</v>
      </c>
      <c r="DS47" s="229">
        <v>-6.9400000000000003E-2</v>
      </c>
      <c r="DT47" s="231">
        <v>2300</v>
      </c>
      <c r="DU47" s="231">
        <v>2200</v>
      </c>
      <c r="DV47" s="228">
        <v>0.56000000000000005</v>
      </c>
      <c r="DW47" s="228">
        <v>0.53</v>
      </c>
      <c r="DX47" s="228">
        <v>0.03</v>
      </c>
      <c r="DY47" s="229">
        <v>5.6599999999999998E-2</v>
      </c>
      <c r="DZ47" s="229">
        <v>0.90910000000000002</v>
      </c>
      <c r="EA47" s="230">
        <v>4233825</v>
      </c>
      <c r="EB47" s="229">
        <v>-9.2999999999999992E-3</v>
      </c>
      <c r="EC47" s="229">
        <v>0.90910000000000002</v>
      </c>
      <c r="ED47" s="228">
        <v>-19.59</v>
      </c>
      <c r="EE47" s="229">
        <v>-8.8000000000000005E-3</v>
      </c>
      <c r="EF47" s="230">
        <v>825608</v>
      </c>
      <c r="EG47" s="230">
        <v>959041</v>
      </c>
      <c r="EH47" s="229">
        <v>-0.1391</v>
      </c>
      <c r="EI47" s="229">
        <v>0.71889999999999998</v>
      </c>
      <c r="EJ47" s="231">
        <v>114373.35</v>
      </c>
      <c r="EK47" s="231">
        <v>61751.85</v>
      </c>
      <c r="EL47" s="231">
        <v>76648.13</v>
      </c>
      <c r="EM47" s="231">
        <v>16293</v>
      </c>
      <c r="EN47" s="231">
        <v>252773.33</v>
      </c>
      <c r="EO47" s="231">
        <v>786178.67</v>
      </c>
      <c r="EP47" s="231">
        <v>-533405.34</v>
      </c>
      <c r="EQ47" s="229">
        <v>-0.67849999999999999</v>
      </c>
      <c r="ER47" s="231">
        <v>70739</v>
      </c>
      <c r="ES47" s="231">
        <v>44840</v>
      </c>
      <c r="ET47" s="231">
        <v>129925</v>
      </c>
      <c r="EU47" s="231">
        <v>19990944</v>
      </c>
      <c r="EV47" s="231">
        <v>245504</v>
      </c>
      <c r="EW47" s="231">
        <v>243735</v>
      </c>
      <c r="EX47" s="231">
        <v>1769</v>
      </c>
      <c r="EY47" s="229">
        <v>7.3000000000000001E-3</v>
      </c>
      <c r="EZ47" s="229">
        <v>0.54879999999999995</v>
      </c>
      <c r="FA47" s="227" t="s">
        <v>567</v>
      </c>
      <c r="FB47" s="161">
        <f t="shared" si="0"/>
        <v>5361300</v>
      </c>
    </row>
    <row r="48" spans="1:158" ht="17.25" hidden="1" thickBot="1" x14ac:dyDescent="0.3">
      <c r="A48" s="226">
        <v>45957</v>
      </c>
      <c r="B48" s="227" t="s">
        <v>215</v>
      </c>
      <c r="C48" s="227" t="s">
        <v>202</v>
      </c>
      <c r="D48" s="228">
        <v>1250</v>
      </c>
      <c r="E48" s="228">
        <v>541</v>
      </c>
      <c r="F48" s="228">
        <v>538.5</v>
      </c>
      <c r="G48" s="228">
        <v>2.5</v>
      </c>
      <c r="H48" s="229">
        <v>4.5999999999999999E-3</v>
      </c>
      <c r="I48" s="228">
        <v>540.75</v>
      </c>
      <c r="J48" s="228">
        <v>536.9</v>
      </c>
      <c r="K48" s="228">
        <v>3.85</v>
      </c>
      <c r="L48" s="229">
        <v>7.1999999999999998E-3</v>
      </c>
      <c r="M48" s="228">
        <v>541</v>
      </c>
      <c r="N48" s="228">
        <v>538.5</v>
      </c>
      <c r="O48" s="228">
        <v>2.5</v>
      </c>
      <c r="P48" s="229">
        <v>4.5999999999999999E-3</v>
      </c>
      <c r="Q48" s="228">
        <v>541.5</v>
      </c>
      <c r="R48" s="228">
        <v>537.65</v>
      </c>
      <c r="S48" s="228">
        <v>3.85</v>
      </c>
      <c r="T48" s="229">
        <v>7.1999999999999998E-3</v>
      </c>
      <c r="U48" s="228">
        <v>545.15</v>
      </c>
      <c r="V48" s="228">
        <v>541.35</v>
      </c>
      <c r="W48" s="228">
        <v>3.8</v>
      </c>
      <c r="X48" s="229">
        <v>7.0000000000000001E-3</v>
      </c>
      <c r="Y48" s="228">
        <v>0.25</v>
      </c>
      <c r="Z48" s="228">
        <v>1.6</v>
      </c>
      <c r="AA48" s="228">
        <v>-1.35</v>
      </c>
      <c r="AB48" s="229">
        <v>5.0000000000000001E-4</v>
      </c>
      <c r="AC48" s="228">
        <v>0.25</v>
      </c>
      <c r="AD48" s="228">
        <v>1.6</v>
      </c>
      <c r="AE48" s="228">
        <v>-1.35</v>
      </c>
      <c r="AF48" s="229">
        <v>5.0000000000000001E-4</v>
      </c>
      <c r="AG48" s="228">
        <v>0.75</v>
      </c>
      <c r="AH48" s="228">
        <v>0.75</v>
      </c>
      <c r="AI48" s="228">
        <v>0</v>
      </c>
      <c r="AJ48" s="229">
        <v>1.4E-3</v>
      </c>
      <c r="AK48" s="228">
        <v>4.4000000000000004</v>
      </c>
      <c r="AL48" s="228">
        <v>4.45</v>
      </c>
      <c r="AM48" s="228">
        <v>-0.05</v>
      </c>
      <c r="AN48" s="229">
        <v>8.0999999999999996E-3</v>
      </c>
      <c r="AO48" s="228">
        <v>541.52</v>
      </c>
      <c r="AP48" s="228">
        <v>541.98</v>
      </c>
      <c r="AQ48" s="228">
        <v>0</v>
      </c>
      <c r="AR48" s="230">
        <v>13262500</v>
      </c>
      <c r="AS48" s="230">
        <v>22878750</v>
      </c>
      <c r="AT48" s="230">
        <v>-9616250</v>
      </c>
      <c r="AU48" s="229">
        <v>-0.42030000000000001</v>
      </c>
      <c r="AV48" s="230">
        <v>6442500</v>
      </c>
      <c r="AW48" s="230">
        <v>11307500</v>
      </c>
      <c r="AX48" s="230">
        <v>-4865000</v>
      </c>
      <c r="AY48" s="229">
        <v>-0.43020000000000003</v>
      </c>
      <c r="AZ48" s="230">
        <v>6597500</v>
      </c>
      <c r="BA48" s="230">
        <v>11333750</v>
      </c>
      <c r="BB48" s="230">
        <v>-4736250</v>
      </c>
      <c r="BC48" s="229">
        <v>-0.41789999999999999</v>
      </c>
      <c r="BD48" s="230">
        <v>222500</v>
      </c>
      <c r="BE48" s="230">
        <v>237500</v>
      </c>
      <c r="BF48" s="230">
        <v>-15000</v>
      </c>
      <c r="BG48" s="229">
        <v>-6.3200000000000006E-2</v>
      </c>
      <c r="BH48" s="230">
        <v>11540000</v>
      </c>
      <c r="BI48" s="230">
        <v>16357500</v>
      </c>
      <c r="BJ48" s="230">
        <v>-4817500</v>
      </c>
      <c r="BK48" s="229">
        <v>-0.29449999999999998</v>
      </c>
      <c r="BL48" s="230">
        <v>5430000</v>
      </c>
      <c r="BM48" s="230">
        <v>7956250</v>
      </c>
      <c r="BN48" s="230">
        <v>-2526250</v>
      </c>
      <c r="BO48" s="229">
        <v>-0.3175</v>
      </c>
      <c r="BP48" s="230">
        <v>30232500</v>
      </c>
      <c r="BQ48" s="230">
        <v>47192500</v>
      </c>
      <c r="BR48" s="230">
        <v>-16960000</v>
      </c>
      <c r="BS48" s="229">
        <v>-0.3594</v>
      </c>
      <c r="BT48" s="230">
        <v>684103</v>
      </c>
      <c r="BU48" s="230">
        <v>1191546</v>
      </c>
      <c r="BV48" s="230">
        <v>-507443</v>
      </c>
      <c r="BW48" s="229">
        <v>-0.4259</v>
      </c>
      <c r="BX48" s="230">
        <v>27176250</v>
      </c>
      <c r="BY48" s="230">
        <v>27418750</v>
      </c>
      <c r="BZ48" s="230">
        <v>-242500</v>
      </c>
      <c r="CA48" s="229">
        <v>-8.8000000000000005E-3</v>
      </c>
      <c r="CB48" s="230">
        <v>5208750</v>
      </c>
      <c r="CC48" s="230">
        <v>10038750</v>
      </c>
      <c r="CD48" s="230">
        <v>-4830000</v>
      </c>
      <c r="CE48" s="229">
        <v>-0.48110000000000003</v>
      </c>
      <c r="CF48" s="230">
        <v>21407500</v>
      </c>
      <c r="CG48" s="230">
        <v>16973750</v>
      </c>
      <c r="CH48" s="230">
        <v>4433750</v>
      </c>
      <c r="CI48" s="229">
        <v>0.26119999999999999</v>
      </c>
      <c r="CJ48" s="230">
        <v>560000</v>
      </c>
      <c r="CK48" s="230">
        <v>406250</v>
      </c>
      <c r="CL48" s="230">
        <v>153750</v>
      </c>
      <c r="CM48" s="229">
        <v>0.3785</v>
      </c>
      <c r="CN48" s="230">
        <v>10120000</v>
      </c>
      <c r="CO48" s="230">
        <v>10356250</v>
      </c>
      <c r="CP48" s="230">
        <v>-236250</v>
      </c>
      <c r="CQ48" s="229">
        <v>-2.2800000000000001E-2</v>
      </c>
      <c r="CR48" s="230">
        <v>7977500</v>
      </c>
      <c r="CS48" s="230">
        <v>8326250</v>
      </c>
      <c r="CT48" s="230">
        <v>-348750</v>
      </c>
      <c r="CU48" s="229">
        <v>-4.19E-2</v>
      </c>
      <c r="CV48" s="230">
        <v>45273750</v>
      </c>
      <c r="CW48" s="230">
        <v>46101250</v>
      </c>
      <c r="CX48" s="230">
        <v>-827500</v>
      </c>
      <c r="CY48" s="229">
        <v>-1.7899999999999999E-2</v>
      </c>
      <c r="CZ48" s="228">
        <v>25.1</v>
      </c>
      <c r="DA48" s="228">
        <v>23.76</v>
      </c>
      <c r="DB48" s="228">
        <v>1.34</v>
      </c>
      <c r="DC48" s="228">
        <v>1.34</v>
      </c>
      <c r="DD48" s="228">
        <v>35.86</v>
      </c>
      <c r="DE48" s="228">
        <v>35.94</v>
      </c>
      <c r="DF48" s="228">
        <v>-10.76</v>
      </c>
      <c r="DG48" s="228">
        <v>-0.08</v>
      </c>
      <c r="DH48" s="228">
        <v>25.07</v>
      </c>
      <c r="DI48" s="228">
        <v>24.17</v>
      </c>
      <c r="DJ48" s="228">
        <v>0.9</v>
      </c>
      <c r="DK48" s="228">
        <v>0.9</v>
      </c>
      <c r="DL48" s="228">
        <v>25.18</v>
      </c>
      <c r="DM48" s="228">
        <v>23.01</v>
      </c>
      <c r="DN48" s="228">
        <v>2.17</v>
      </c>
      <c r="DO48" s="228">
        <v>2.17</v>
      </c>
      <c r="DP48" s="228">
        <v>0.79</v>
      </c>
      <c r="DQ48" s="228">
        <v>0.8</v>
      </c>
      <c r="DR48" s="228">
        <v>-0.01</v>
      </c>
      <c r="DS48" s="229">
        <v>-1.2500000000000001E-2</v>
      </c>
      <c r="DT48" s="228">
        <v>550</v>
      </c>
      <c r="DU48" s="228">
        <v>540</v>
      </c>
      <c r="DV48" s="228">
        <v>0.47</v>
      </c>
      <c r="DW48" s="228">
        <v>0.49</v>
      </c>
      <c r="DX48" s="228">
        <v>-0.02</v>
      </c>
      <c r="DY48" s="229">
        <v>-4.0800000000000003E-2</v>
      </c>
      <c r="DZ48" s="229">
        <v>0.80830000000000002</v>
      </c>
      <c r="EA48" s="230">
        <v>17380000</v>
      </c>
      <c r="EB48" s="229">
        <v>8.9999999999999998E-4</v>
      </c>
      <c r="EC48" s="229">
        <v>0.80830000000000002</v>
      </c>
      <c r="ED48" s="228">
        <v>0.46</v>
      </c>
      <c r="EE48" s="229">
        <v>8.0000000000000004E-4</v>
      </c>
      <c r="EF48" s="230">
        <v>325179</v>
      </c>
      <c r="EG48" s="230">
        <v>567728</v>
      </c>
      <c r="EH48" s="229">
        <v>-0.42720000000000002</v>
      </c>
      <c r="EI48" s="229">
        <v>0.4753</v>
      </c>
      <c r="EJ48" s="231">
        <v>64693.57</v>
      </c>
      <c r="EK48" s="231">
        <v>30111.52</v>
      </c>
      <c r="EL48" s="231">
        <v>71858.210000000006</v>
      </c>
      <c r="EM48" s="231">
        <v>8898</v>
      </c>
      <c r="EN48" s="231">
        <v>166663.29999999999</v>
      </c>
      <c r="EO48" s="231">
        <v>258298.54</v>
      </c>
      <c r="EP48" s="231">
        <v>-91635.24</v>
      </c>
      <c r="EQ48" s="229">
        <v>-0.3548</v>
      </c>
      <c r="ER48" s="231">
        <v>56694</v>
      </c>
      <c r="ES48" s="231">
        <v>42752</v>
      </c>
      <c r="ET48" s="231">
        <v>147154</v>
      </c>
      <c r="EU48" s="231">
        <v>48077012</v>
      </c>
      <c r="EV48" s="231">
        <v>246600</v>
      </c>
      <c r="EW48" s="231">
        <v>249969</v>
      </c>
      <c r="EX48" s="231">
        <v>-3369</v>
      </c>
      <c r="EY48" s="229">
        <v>-1.35E-2</v>
      </c>
      <c r="EZ48" s="229">
        <v>0.94169999999999998</v>
      </c>
      <c r="FA48" s="227" t="s">
        <v>556</v>
      </c>
      <c r="FB48" s="161">
        <f t="shared" si="0"/>
        <v>21967500</v>
      </c>
    </row>
    <row r="49" spans="1:158" ht="17.25" hidden="1" thickBot="1" x14ac:dyDescent="0.3">
      <c r="A49" s="226">
        <v>45957</v>
      </c>
      <c r="B49" s="227" t="s">
        <v>184</v>
      </c>
      <c r="C49" s="227" t="s">
        <v>523</v>
      </c>
      <c r="D49" s="228">
        <v>1800</v>
      </c>
      <c r="E49" s="228">
        <v>292.25</v>
      </c>
      <c r="F49" s="228">
        <v>293.55</v>
      </c>
      <c r="G49" s="228">
        <v>-1.3</v>
      </c>
      <c r="H49" s="229">
        <v>-4.4000000000000003E-3</v>
      </c>
      <c r="I49" s="228">
        <v>292.05</v>
      </c>
      <c r="J49" s="228">
        <v>293.35000000000002</v>
      </c>
      <c r="K49" s="228">
        <v>-1.3</v>
      </c>
      <c r="L49" s="229">
        <v>-4.4000000000000003E-3</v>
      </c>
      <c r="M49" s="228">
        <v>292.25</v>
      </c>
      <c r="N49" s="228">
        <v>293.55</v>
      </c>
      <c r="O49" s="228">
        <v>-1.3</v>
      </c>
      <c r="P49" s="229">
        <v>-4.4000000000000003E-3</v>
      </c>
      <c r="Q49" s="228">
        <v>294</v>
      </c>
      <c r="R49" s="228">
        <v>295.35000000000002</v>
      </c>
      <c r="S49" s="228">
        <v>-1.35</v>
      </c>
      <c r="T49" s="229">
        <v>-4.5999999999999999E-3</v>
      </c>
      <c r="U49" s="228">
        <v>296</v>
      </c>
      <c r="V49" s="228">
        <v>297.35000000000002</v>
      </c>
      <c r="W49" s="228">
        <v>-1.35</v>
      </c>
      <c r="X49" s="229">
        <v>-4.4999999999999997E-3</v>
      </c>
      <c r="Y49" s="228">
        <v>0.2</v>
      </c>
      <c r="Z49" s="228">
        <v>0.2</v>
      </c>
      <c r="AA49" s="228">
        <v>0</v>
      </c>
      <c r="AB49" s="229">
        <v>6.9999999999999999E-4</v>
      </c>
      <c r="AC49" s="228">
        <v>0.2</v>
      </c>
      <c r="AD49" s="228">
        <v>0.2</v>
      </c>
      <c r="AE49" s="228">
        <v>0</v>
      </c>
      <c r="AF49" s="229">
        <v>6.9999999999999999E-4</v>
      </c>
      <c r="AG49" s="228">
        <v>1.95</v>
      </c>
      <c r="AH49" s="228">
        <v>2</v>
      </c>
      <c r="AI49" s="228">
        <v>-0.05</v>
      </c>
      <c r="AJ49" s="229">
        <v>6.7000000000000002E-3</v>
      </c>
      <c r="AK49" s="228">
        <v>3.95</v>
      </c>
      <c r="AL49" s="228">
        <v>4</v>
      </c>
      <c r="AM49" s="228">
        <v>-0.05</v>
      </c>
      <c r="AN49" s="229">
        <v>1.35E-2</v>
      </c>
      <c r="AO49" s="228">
        <v>293.04000000000002</v>
      </c>
      <c r="AP49" s="228">
        <v>294.76</v>
      </c>
      <c r="AQ49" s="228">
        <v>0</v>
      </c>
      <c r="AR49" s="230">
        <v>29793600</v>
      </c>
      <c r="AS49" s="230">
        <v>46323000</v>
      </c>
      <c r="AT49" s="230">
        <v>-16529400</v>
      </c>
      <c r="AU49" s="229">
        <v>-0.35680000000000001</v>
      </c>
      <c r="AV49" s="230">
        <v>13521600</v>
      </c>
      <c r="AW49" s="230">
        <v>22042800</v>
      </c>
      <c r="AX49" s="230">
        <v>-8521200</v>
      </c>
      <c r="AY49" s="229">
        <v>-0.3866</v>
      </c>
      <c r="AZ49" s="230">
        <v>15874200</v>
      </c>
      <c r="BA49" s="230">
        <v>23999400</v>
      </c>
      <c r="BB49" s="230">
        <v>-8125200</v>
      </c>
      <c r="BC49" s="229">
        <v>-0.33860000000000001</v>
      </c>
      <c r="BD49" s="230">
        <v>397800</v>
      </c>
      <c r="BE49" s="230">
        <v>280800</v>
      </c>
      <c r="BF49" s="230">
        <v>117000</v>
      </c>
      <c r="BG49" s="229">
        <v>0.41670000000000001</v>
      </c>
      <c r="BH49" s="230">
        <v>25684200</v>
      </c>
      <c r="BI49" s="230">
        <v>17692200</v>
      </c>
      <c r="BJ49" s="230">
        <v>7992000</v>
      </c>
      <c r="BK49" s="229">
        <v>0.45169999999999999</v>
      </c>
      <c r="BL49" s="230">
        <v>9052200</v>
      </c>
      <c r="BM49" s="230">
        <v>6120000</v>
      </c>
      <c r="BN49" s="230">
        <v>2932200</v>
      </c>
      <c r="BO49" s="229">
        <v>0.47910000000000003</v>
      </c>
      <c r="BP49" s="230">
        <v>64530000</v>
      </c>
      <c r="BQ49" s="230">
        <v>70135200</v>
      </c>
      <c r="BR49" s="230">
        <v>-5605200</v>
      </c>
      <c r="BS49" s="229">
        <v>-7.9899999999999999E-2</v>
      </c>
      <c r="BT49" s="230">
        <v>3236071</v>
      </c>
      <c r="BU49" s="230">
        <v>3288293</v>
      </c>
      <c r="BV49" s="230">
        <v>-52222</v>
      </c>
      <c r="BW49" s="229">
        <v>-1.5900000000000001E-2</v>
      </c>
      <c r="BX49" s="230">
        <v>57526200</v>
      </c>
      <c r="BY49" s="230">
        <v>55825200</v>
      </c>
      <c r="BZ49" s="230">
        <v>1701000</v>
      </c>
      <c r="CA49" s="229">
        <v>3.0499999999999999E-2</v>
      </c>
      <c r="CB49" s="230">
        <v>8319600</v>
      </c>
      <c r="CC49" s="230">
        <v>19751400</v>
      </c>
      <c r="CD49" s="230">
        <v>-11431800</v>
      </c>
      <c r="CE49" s="229">
        <v>-0.57879999999999998</v>
      </c>
      <c r="CF49" s="230">
        <v>48259800</v>
      </c>
      <c r="CG49" s="230">
        <v>35388000</v>
      </c>
      <c r="CH49" s="230">
        <v>12871800</v>
      </c>
      <c r="CI49" s="229">
        <v>0.36370000000000002</v>
      </c>
      <c r="CJ49" s="230">
        <v>946800</v>
      </c>
      <c r="CK49" s="230">
        <v>685800</v>
      </c>
      <c r="CL49" s="230">
        <v>261000</v>
      </c>
      <c r="CM49" s="229">
        <v>0.38059999999999999</v>
      </c>
      <c r="CN49" s="230">
        <v>20680200</v>
      </c>
      <c r="CO49" s="230">
        <v>17389800</v>
      </c>
      <c r="CP49" s="230">
        <v>3290400</v>
      </c>
      <c r="CQ49" s="229">
        <v>0.18920000000000001</v>
      </c>
      <c r="CR49" s="230">
        <v>12468600</v>
      </c>
      <c r="CS49" s="230">
        <v>10936800</v>
      </c>
      <c r="CT49" s="230">
        <v>1531800</v>
      </c>
      <c r="CU49" s="229">
        <v>0.1401</v>
      </c>
      <c r="CV49" s="230">
        <v>90675000</v>
      </c>
      <c r="CW49" s="230">
        <v>84151800</v>
      </c>
      <c r="CX49" s="230">
        <v>6523200</v>
      </c>
      <c r="CY49" s="229">
        <v>7.7499999999999999E-2</v>
      </c>
      <c r="CZ49" s="228">
        <v>32.33</v>
      </c>
      <c r="DA49" s="228">
        <v>30.14</v>
      </c>
      <c r="DB49" s="228">
        <v>2.19</v>
      </c>
      <c r="DC49" s="228">
        <v>2.19</v>
      </c>
      <c r="DD49" s="228">
        <v>32.29</v>
      </c>
      <c r="DE49" s="228">
        <v>32.369999999999997</v>
      </c>
      <c r="DF49" s="228">
        <v>0.04</v>
      </c>
      <c r="DG49" s="228">
        <v>-0.08</v>
      </c>
      <c r="DH49" s="228">
        <v>32.64</v>
      </c>
      <c r="DI49" s="228">
        <v>30.05</v>
      </c>
      <c r="DJ49" s="228">
        <v>2.59</v>
      </c>
      <c r="DK49" s="228">
        <v>2.59</v>
      </c>
      <c r="DL49" s="228">
        <v>31.28</v>
      </c>
      <c r="DM49" s="228">
        <v>30.35</v>
      </c>
      <c r="DN49" s="228">
        <v>0.93</v>
      </c>
      <c r="DO49" s="228">
        <v>0.93</v>
      </c>
      <c r="DP49" s="228">
        <v>0.6</v>
      </c>
      <c r="DQ49" s="228">
        <v>0.63</v>
      </c>
      <c r="DR49" s="228">
        <v>-0.03</v>
      </c>
      <c r="DS49" s="229">
        <v>-4.7600000000000003E-2</v>
      </c>
      <c r="DT49" s="228">
        <v>300</v>
      </c>
      <c r="DU49" s="228">
        <v>300</v>
      </c>
      <c r="DV49" s="228">
        <v>0.35</v>
      </c>
      <c r="DW49" s="228">
        <v>0.35</v>
      </c>
      <c r="DX49" s="228">
        <v>0</v>
      </c>
      <c r="DY49" s="229">
        <v>0</v>
      </c>
      <c r="DZ49" s="229">
        <v>0.85540000000000005</v>
      </c>
      <c r="EA49" s="230">
        <v>36073800</v>
      </c>
      <c r="EB49" s="229">
        <v>6.0000000000000001E-3</v>
      </c>
      <c r="EC49" s="229">
        <v>0.85540000000000005</v>
      </c>
      <c r="ED49" s="228">
        <v>1.72</v>
      </c>
      <c r="EE49" s="229">
        <v>5.8999999999999999E-3</v>
      </c>
      <c r="EF49" s="230">
        <v>1682231</v>
      </c>
      <c r="EG49" s="230">
        <v>1334124</v>
      </c>
      <c r="EH49" s="229">
        <v>0.26090000000000002</v>
      </c>
      <c r="EI49" s="229">
        <v>0.51980000000000004</v>
      </c>
      <c r="EJ49" s="231">
        <v>79203.3</v>
      </c>
      <c r="EK49" s="231">
        <v>27809.53</v>
      </c>
      <c r="EL49" s="231">
        <v>87595.45</v>
      </c>
      <c r="EM49" s="231">
        <v>10344</v>
      </c>
      <c r="EN49" s="231">
        <v>194608.28</v>
      </c>
      <c r="EO49" s="231">
        <v>207617.41</v>
      </c>
      <c r="EP49" s="231">
        <v>-13009.13</v>
      </c>
      <c r="EQ49" s="229">
        <v>-6.2700000000000006E-2</v>
      </c>
      <c r="ER49" s="231">
        <v>63325</v>
      </c>
      <c r="ES49" s="231">
        <v>36401</v>
      </c>
      <c r="ET49" s="231">
        <v>169000</v>
      </c>
      <c r="EU49" s="231">
        <v>81400589</v>
      </c>
      <c r="EV49" s="231">
        <v>268726</v>
      </c>
      <c r="EW49" s="231">
        <v>249872</v>
      </c>
      <c r="EX49" s="231">
        <v>18854</v>
      </c>
      <c r="EY49" s="229">
        <v>7.5499999999999998E-2</v>
      </c>
      <c r="EZ49" s="229">
        <v>1.1138999999999999</v>
      </c>
      <c r="FA49" s="227" t="s">
        <v>567</v>
      </c>
      <c r="FB49" s="161">
        <f t="shared" si="0"/>
        <v>49206600</v>
      </c>
    </row>
    <row r="50" spans="1:158" ht="17.25" hidden="1" thickBot="1" x14ac:dyDescent="0.3">
      <c r="A50" s="226">
        <v>45957</v>
      </c>
      <c r="B50" s="227" t="s">
        <v>184</v>
      </c>
      <c r="C50" s="227" t="s">
        <v>203</v>
      </c>
      <c r="D50" s="228">
        <v>200</v>
      </c>
      <c r="E50" s="231">
        <v>4310.8999999999996</v>
      </c>
      <c r="F50" s="231">
        <v>4192.3</v>
      </c>
      <c r="G50" s="228">
        <v>118.6</v>
      </c>
      <c r="H50" s="229">
        <v>2.8299999999999999E-2</v>
      </c>
      <c r="I50" s="231">
        <v>4311.5</v>
      </c>
      <c r="J50" s="231">
        <v>4183.2</v>
      </c>
      <c r="K50" s="228">
        <v>128.30000000000001</v>
      </c>
      <c r="L50" s="229">
        <v>3.0700000000000002E-2</v>
      </c>
      <c r="M50" s="231">
        <v>4310.8999999999996</v>
      </c>
      <c r="N50" s="231">
        <v>4192.3</v>
      </c>
      <c r="O50" s="228">
        <v>118.6</v>
      </c>
      <c r="P50" s="229">
        <v>2.8299999999999999E-2</v>
      </c>
      <c r="Q50" s="231">
        <v>4333.7</v>
      </c>
      <c r="R50" s="231">
        <v>4211.7</v>
      </c>
      <c r="S50" s="228">
        <v>122</v>
      </c>
      <c r="T50" s="229">
        <v>2.9000000000000001E-2</v>
      </c>
      <c r="U50" s="231">
        <v>4342.2</v>
      </c>
      <c r="V50" s="231">
        <v>4224.8</v>
      </c>
      <c r="W50" s="228">
        <v>117.4</v>
      </c>
      <c r="X50" s="229">
        <v>2.7799999999999998E-2</v>
      </c>
      <c r="Y50" s="228">
        <v>-0.6</v>
      </c>
      <c r="Z50" s="228">
        <v>9.1</v>
      </c>
      <c r="AA50" s="228">
        <v>-9.6999999999999993</v>
      </c>
      <c r="AB50" s="229">
        <v>-1E-4</v>
      </c>
      <c r="AC50" s="228">
        <v>-0.6</v>
      </c>
      <c r="AD50" s="228">
        <v>9.1</v>
      </c>
      <c r="AE50" s="228">
        <v>-9.6999999999999993</v>
      </c>
      <c r="AF50" s="229">
        <v>-1E-4</v>
      </c>
      <c r="AG50" s="228">
        <v>22.2</v>
      </c>
      <c r="AH50" s="228">
        <v>28.5</v>
      </c>
      <c r="AI50" s="228">
        <v>-6.3</v>
      </c>
      <c r="AJ50" s="229">
        <v>5.1000000000000004E-3</v>
      </c>
      <c r="AK50" s="228">
        <v>30.7</v>
      </c>
      <c r="AL50" s="228">
        <v>41.6</v>
      </c>
      <c r="AM50" s="228">
        <v>-10.9</v>
      </c>
      <c r="AN50" s="229">
        <v>7.1000000000000004E-3</v>
      </c>
      <c r="AO50" s="231">
        <v>4277.8100000000004</v>
      </c>
      <c r="AP50" s="231">
        <v>4295.4399999999996</v>
      </c>
      <c r="AQ50" s="228">
        <v>0</v>
      </c>
      <c r="AR50" s="230">
        <v>2903200</v>
      </c>
      <c r="AS50" s="230">
        <v>3371800</v>
      </c>
      <c r="AT50" s="230">
        <v>-468600</v>
      </c>
      <c r="AU50" s="229">
        <v>-0.13900000000000001</v>
      </c>
      <c r="AV50" s="230">
        <v>1225400</v>
      </c>
      <c r="AW50" s="230">
        <v>1709800</v>
      </c>
      <c r="AX50" s="230">
        <v>-484400</v>
      </c>
      <c r="AY50" s="229">
        <v>-0.2833</v>
      </c>
      <c r="AZ50" s="230">
        <v>1646400</v>
      </c>
      <c r="BA50" s="230">
        <v>1648800</v>
      </c>
      <c r="BB50" s="230">
        <v>-2400</v>
      </c>
      <c r="BC50" s="229">
        <v>-1.5E-3</v>
      </c>
      <c r="BD50" s="230">
        <v>31400</v>
      </c>
      <c r="BE50" s="230">
        <v>13200</v>
      </c>
      <c r="BF50" s="230">
        <v>18200</v>
      </c>
      <c r="BG50" s="229">
        <v>1.3788</v>
      </c>
      <c r="BH50" s="230">
        <v>8645200</v>
      </c>
      <c r="BI50" s="230">
        <v>11395400</v>
      </c>
      <c r="BJ50" s="230">
        <v>-2750200</v>
      </c>
      <c r="BK50" s="229">
        <v>-0.24129999999999999</v>
      </c>
      <c r="BL50" s="230">
        <v>4024200</v>
      </c>
      <c r="BM50" s="230">
        <v>3686000</v>
      </c>
      <c r="BN50" s="230">
        <v>338200</v>
      </c>
      <c r="BO50" s="229">
        <v>9.1800000000000007E-2</v>
      </c>
      <c r="BP50" s="230">
        <v>15572600</v>
      </c>
      <c r="BQ50" s="230">
        <v>18453200</v>
      </c>
      <c r="BR50" s="230">
        <v>-2880600</v>
      </c>
      <c r="BS50" s="229">
        <v>-0.15609999999999999</v>
      </c>
      <c r="BT50" s="230">
        <v>810008</v>
      </c>
      <c r="BU50" s="230">
        <v>972372</v>
      </c>
      <c r="BV50" s="230">
        <v>-162364</v>
      </c>
      <c r="BW50" s="229">
        <v>-0.16700000000000001</v>
      </c>
      <c r="BX50" s="230">
        <v>3107800</v>
      </c>
      <c r="BY50" s="230">
        <v>2938000</v>
      </c>
      <c r="BZ50" s="230">
        <v>169800</v>
      </c>
      <c r="CA50" s="229">
        <v>5.7799999999999997E-2</v>
      </c>
      <c r="CB50" s="230">
        <v>380800</v>
      </c>
      <c r="CC50" s="230">
        <v>1036000</v>
      </c>
      <c r="CD50" s="230">
        <v>-655200</v>
      </c>
      <c r="CE50" s="229">
        <v>-0.63239999999999996</v>
      </c>
      <c r="CF50" s="230">
        <v>2708800</v>
      </c>
      <c r="CG50" s="230">
        <v>1892800</v>
      </c>
      <c r="CH50" s="230">
        <v>816000</v>
      </c>
      <c r="CI50" s="229">
        <v>0.43109999999999998</v>
      </c>
      <c r="CJ50" s="230">
        <v>18200</v>
      </c>
      <c r="CK50" s="230">
        <v>9200</v>
      </c>
      <c r="CL50" s="230">
        <v>9000</v>
      </c>
      <c r="CM50" s="229">
        <v>0.97829999999999995</v>
      </c>
      <c r="CN50" s="230">
        <v>1078600</v>
      </c>
      <c r="CO50" s="230">
        <v>1082600</v>
      </c>
      <c r="CP50" s="230">
        <v>-4000</v>
      </c>
      <c r="CQ50" s="229">
        <v>-3.7000000000000002E-3</v>
      </c>
      <c r="CR50" s="230">
        <v>1214000</v>
      </c>
      <c r="CS50" s="230">
        <v>850200</v>
      </c>
      <c r="CT50" s="230">
        <v>363800</v>
      </c>
      <c r="CU50" s="229">
        <v>0.4279</v>
      </c>
      <c r="CV50" s="230">
        <v>5400400</v>
      </c>
      <c r="CW50" s="230">
        <v>4870800</v>
      </c>
      <c r="CX50" s="230">
        <v>529600</v>
      </c>
      <c r="CY50" s="229">
        <v>0.1087</v>
      </c>
      <c r="CZ50" s="228">
        <v>30.99</v>
      </c>
      <c r="DA50" s="228">
        <v>30.74</v>
      </c>
      <c r="DB50" s="228">
        <v>0.25</v>
      </c>
      <c r="DC50" s="228">
        <v>0.25</v>
      </c>
      <c r="DD50" s="228">
        <v>35.090000000000003</v>
      </c>
      <c r="DE50" s="228">
        <v>34.94</v>
      </c>
      <c r="DF50" s="228">
        <v>-4.0999999999999996</v>
      </c>
      <c r="DG50" s="228">
        <v>0.15</v>
      </c>
      <c r="DH50" s="228">
        <v>30.9</v>
      </c>
      <c r="DI50" s="228">
        <v>30.8</v>
      </c>
      <c r="DJ50" s="228">
        <v>0.1</v>
      </c>
      <c r="DK50" s="228">
        <v>0.1</v>
      </c>
      <c r="DL50" s="228">
        <v>31.23</v>
      </c>
      <c r="DM50" s="228">
        <v>30.51</v>
      </c>
      <c r="DN50" s="228">
        <v>0.72</v>
      </c>
      <c r="DO50" s="228">
        <v>0.72</v>
      </c>
      <c r="DP50" s="228">
        <v>1.1299999999999999</v>
      </c>
      <c r="DQ50" s="228">
        <v>0.79</v>
      </c>
      <c r="DR50" s="228">
        <v>0.34</v>
      </c>
      <c r="DS50" s="229">
        <v>0.4304</v>
      </c>
      <c r="DT50" s="231">
        <v>4400</v>
      </c>
      <c r="DU50" s="231">
        <v>4100</v>
      </c>
      <c r="DV50" s="228">
        <v>0.47</v>
      </c>
      <c r="DW50" s="228">
        <v>0.32</v>
      </c>
      <c r="DX50" s="228">
        <v>0.15</v>
      </c>
      <c r="DY50" s="229">
        <v>0.46870000000000001</v>
      </c>
      <c r="DZ50" s="229">
        <v>0.87749999999999995</v>
      </c>
      <c r="EA50" s="230">
        <v>1902000</v>
      </c>
      <c r="EB50" s="229">
        <v>5.3E-3</v>
      </c>
      <c r="EC50" s="229">
        <v>0.87749999999999995</v>
      </c>
      <c r="ED50" s="228">
        <v>17.63</v>
      </c>
      <c r="EE50" s="229">
        <v>4.1000000000000003E-3</v>
      </c>
      <c r="EF50" s="230">
        <v>397364</v>
      </c>
      <c r="EG50" s="230">
        <v>539661</v>
      </c>
      <c r="EH50" s="229">
        <v>-0.26369999999999999</v>
      </c>
      <c r="EI50" s="229">
        <v>0.49059999999999998</v>
      </c>
      <c r="EJ50" s="231">
        <v>378865.45</v>
      </c>
      <c r="EK50" s="231">
        <v>167354.72</v>
      </c>
      <c r="EL50" s="231">
        <v>124493.18</v>
      </c>
      <c r="EM50" s="231">
        <v>7790</v>
      </c>
      <c r="EN50" s="231">
        <v>670713.35</v>
      </c>
      <c r="EO50" s="231">
        <v>777657.07</v>
      </c>
      <c r="EP50" s="231">
        <v>-106943.72</v>
      </c>
      <c r="EQ50" s="229">
        <v>-0.13750000000000001</v>
      </c>
      <c r="ER50" s="231">
        <v>46151</v>
      </c>
      <c r="ES50" s="231">
        <v>49090</v>
      </c>
      <c r="ET50" s="231">
        <v>134597</v>
      </c>
      <c r="EU50" s="231">
        <v>20374200</v>
      </c>
      <c r="EV50" s="231">
        <v>229839</v>
      </c>
      <c r="EW50" s="231">
        <v>202717</v>
      </c>
      <c r="EX50" s="231">
        <v>27122</v>
      </c>
      <c r="EY50" s="229">
        <v>0.1338</v>
      </c>
      <c r="EZ50" s="229">
        <v>0.2651</v>
      </c>
      <c r="FA50" s="227" t="s">
        <v>555</v>
      </c>
      <c r="FB50" s="161">
        <f t="shared" si="0"/>
        <v>2727000</v>
      </c>
    </row>
    <row r="51" spans="1:158" ht="17.25" hidden="1" thickBot="1" x14ac:dyDescent="0.3">
      <c r="A51" s="226">
        <v>45957</v>
      </c>
      <c r="B51" s="227" t="s">
        <v>221</v>
      </c>
      <c r="C51" s="227" t="s">
        <v>572</v>
      </c>
      <c r="D51" s="228">
        <v>425</v>
      </c>
      <c r="E51" s="231">
        <v>1209.2</v>
      </c>
      <c r="F51" s="231">
        <v>1187.5</v>
      </c>
      <c r="G51" s="228">
        <v>21.7</v>
      </c>
      <c r="H51" s="229">
        <v>1.83E-2</v>
      </c>
      <c r="I51" s="231">
        <v>1208.0999999999999</v>
      </c>
      <c r="J51" s="231">
        <v>1185.5999999999999</v>
      </c>
      <c r="K51" s="228">
        <v>22.5</v>
      </c>
      <c r="L51" s="229">
        <v>1.9E-2</v>
      </c>
      <c r="M51" s="231">
        <v>1209.2</v>
      </c>
      <c r="N51" s="231">
        <v>1187.5</v>
      </c>
      <c r="O51" s="228">
        <v>21.7</v>
      </c>
      <c r="P51" s="229">
        <v>1.83E-2</v>
      </c>
      <c r="Q51" s="231">
        <v>1216.2</v>
      </c>
      <c r="R51" s="231">
        <v>1194.5999999999999</v>
      </c>
      <c r="S51" s="228">
        <v>21.6</v>
      </c>
      <c r="T51" s="229">
        <v>1.8100000000000002E-2</v>
      </c>
      <c r="U51" s="231">
        <v>1223.8</v>
      </c>
      <c r="V51" s="231">
        <v>1200.0999999999999</v>
      </c>
      <c r="W51" s="228">
        <v>23.7</v>
      </c>
      <c r="X51" s="229">
        <v>1.9699999999999999E-2</v>
      </c>
      <c r="Y51" s="228">
        <v>1.1000000000000001</v>
      </c>
      <c r="Z51" s="228">
        <v>1.9</v>
      </c>
      <c r="AA51" s="228">
        <v>-0.8</v>
      </c>
      <c r="AB51" s="229">
        <v>8.9999999999999998E-4</v>
      </c>
      <c r="AC51" s="228">
        <v>1.1000000000000001</v>
      </c>
      <c r="AD51" s="228">
        <v>1.9</v>
      </c>
      <c r="AE51" s="228">
        <v>-0.8</v>
      </c>
      <c r="AF51" s="229">
        <v>8.9999999999999998E-4</v>
      </c>
      <c r="AG51" s="228">
        <v>8.1</v>
      </c>
      <c r="AH51" s="228">
        <v>9</v>
      </c>
      <c r="AI51" s="228">
        <v>-0.9</v>
      </c>
      <c r="AJ51" s="229">
        <v>6.7000000000000002E-3</v>
      </c>
      <c r="AK51" s="228">
        <v>15.7</v>
      </c>
      <c r="AL51" s="228">
        <v>14.5</v>
      </c>
      <c r="AM51" s="228">
        <v>1.2</v>
      </c>
      <c r="AN51" s="229">
        <v>1.2999999999999999E-2</v>
      </c>
      <c r="AO51" s="231">
        <v>1207.17</v>
      </c>
      <c r="AP51" s="231">
        <v>1214.1099999999999</v>
      </c>
      <c r="AQ51" s="228">
        <v>0</v>
      </c>
      <c r="AR51" s="230">
        <v>3126725</v>
      </c>
      <c r="AS51" s="230">
        <v>3804175</v>
      </c>
      <c r="AT51" s="230">
        <v>-677450</v>
      </c>
      <c r="AU51" s="229">
        <v>-0.17810000000000001</v>
      </c>
      <c r="AV51" s="230">
        <v>1392725</v>
      </c>
      <c r="AW51" s="230">
        <v>1841100</v>
      </c>
      <c r="AX51" s="230">
        <v>-448375</v>
      </c>
      <c r="AY51" s="229">
        <v>-0.24349999999999999</v>
      </c>
      <c r="AZ51" s="230">
        <v>1692350</v>
      </c>
      <c r="BA51" s="230">
        <v>1894650</v>
      </c>
      <c r="BB51" s="230">
        <v>-202300</v>
      </c>
      <c r="BC51" s="229">
        <v>-0.10680000000000001</v>
      </c>
      <c r="BD51" s="230">
        <v>41650</v>
      </c>
      <c r="BE51" s="230">
        <v>68425</v>
      </c>
      <c r="BF51" s="230">
        <v>-26775</v>
      </c>
      <c r="BG51" s="229">
        <v>-0.39129999999999998</v>
      </c>
      <c r="BH51" s="230">
        <v>2841975</v>
      </c>
      <c r="BI51" s="230">
        <v>2756550</v>
      </c>
      <c r="BJ51" s="230">
        <v>85425</v>
      </c>
      <c r="BK51" s="229">
        <v>3.1E-2</v>
      </c>
      <c r="BL51" s="230">
        <v>1390600</v>
      </c>
      <c r="BM51" s="230">
        <v>1558050</v>
      </c>
      <c r="BN51" s="230">
        <v>-167450</v>
      </c>
      <c r="BO51" s="229">
        <v>-0.1075</v>
      </c>
      <c r="BP51" s="230">
        <v>7359300</v>
      </c>
      <c r="BQ51" s="230">
        <v>8118775</v>
      </c>
      <c r="BR51" s="230">
        <v>-759475</v>
      </c>
      <c r="BS51" s="229">
        <v>-9.35E-2</v>
      </c>
      <c r="BT51" s="230">
        <v>311973</v>
      </c>
      <c r="BU51" s="230">
        <v>338312</v>
      </c>
      <c r="BV51" s="230">
        <v>-26339</v>
      </c>
      <c r="BW51" s="229">
        <v>-7.7899999999999997E-2</v>
      </c>
      <c r="BX51" s="230">
        <v>4283575</v>
      </c>
      <c r="BY51" s="230">
        <v>4583200</v>
      </c>
      <c r="BZ51" s="230">
        <v>-299625</v>
      </c>
      <c r="CA51" s="229">
        <v>-6.54E-2</v>
      </c>
      <c r="CB51" s="230">
        <v>676175</v>
      </c>
      <c r="CC51" s="230">
        <v>1703825</v>
      </c>
      <c r="CD51" s="230">
        <v>-1027650</v>
      </c>
      <c r="CE51" s="229">
        <v>-0.60309999999999997</v>
      </c>
      <c r="CF51" s="230">
        <v>3492650</v>
      </c>
      <c r="CG51" s="230">
        <v>2781200</v>
      </c>
      <c r="CH51" s="230">
        <v>711450</v>
      </c>
      <c r="CI51" s="229">
        <v>0.25580000000000003</v>
      </c>
      <c r="CJ51" s="230">
        <v>114750</v>
      </c>
      <c r="CK51" s="230">
        <v>98175</v>
      </c>
      <c r="CL51" s="230">
        <v>16575</v>
      </c>
      <c r="CM51" s="229">
        <v>0.16880000000000001</v>
      </c>
      <c r="CN51" s="230">
        <v>1814750</v>
      </c>
      <c r="CO51" s="230">
        <v>2246550</v>
      </c>
      <c r="CP51" s="230">
        <v>-431800</v>
      </c>
      <c r="CQ51" s="229">
        <v>-0.19220000000000001</v>
      </c>
      <c r="CR51" s="230">
        <v>1610750</v>
      </c>
      <c r="CS51" s="230">
        <v>1784575</v>
      </c>
      <c r="CT51" s="230">
        <v>-173825</v>
      </c>
      <c r="CU51" s="229">
        <v>-9.74E-2</v>
      </c>
      <c r="CV51" s="230">
        <v>7709075</v>
      </c>
      <c r="CW51" s="230">
        <v>8614325</v>
      </c>
      <c r="CX51" s="230">
        <v>-905250</v>
      </c>
      <c r="CY51" s="229">
        <v>-0.1051</v>
      </c>
      <c r="CZ51" s="228">
        <v>30.03</v>
      </c>
      <c r="DA51" s="228">
        <v>29.72</v>
      </c>
      <c r="DB51" s="228">
        <v>0.31</v>
      </c>
      <c r="DC51" s="228">
        <v>0.31</v>
      </c>
      <c r="DD51" s="228">
        <v>44.21</v>
      </c>
      <c r="DE51" s="228">
        <v>44.25</v>
      </c>
      <c r="DF51" s="228">
        <v>-14.18</v>
      </c>
      <c r="DG51" s="228">
        <v>-0.04</v>
      </c>
      <c r="DH51" s="228">
        <v>30.16</v>
      </c>
      <c r="DI51" s="228">
        <v>29.75</v>
      </c>
      <c r="DJ51" s="228">
        <v>0.41</v>
      </c>
      <c r="DK51" s="228">
        <v>0.41</v>
      </c>
      <c r="DL51" s="228">
        <v>29.78</v>
      </c>
      <c r="DM51" s="228">
        <v>29.68</v>
      </c>
      <c r="DN51" s="228">
        <v>0.1</v>
      </c>
      <c r="DO51" s="228">
        <v>0.1</v>
      </c>
      <c r="DP51" s="228">
        <v>0.89</v>
      </c>
      <c r="DQ51" s="228">
        <v>0.79</v>
      </c>
      <c r="DR51" s="228">
        <v>0.1</v>
      </c>
      <c r="DS51" s="229">
        <v>0.12659999999999999</v>
      </c>
      <c r="DT51" s="231">
        <v>1240</v>
      </c>
      <c r="DU51" s="231">
        <v>1000</v>
      </c>
      <c r="DV51" s="228">
        <v>0.49</v>
      </c>
      <c r="DW51" s="228">
        <v>0.56999999999999995</v>
      </c>
      <c r="DX51" s="228">
        <v>-0.08</v>
      </c>
      <c r="DY51" s="229">
        <v>-0.1404</v>
      </c>
      <c r="DZ51" s="229">
        <v>0.84209999999999996</v>
      </c>
      <c r="EA51" s="230">
        <v>2879375</v>
      </c>
      <c r="EB51" s="229">
        <v>5.7999999999999996E-3</v>
      </c>
      <c r="EC51" s="229">
        <v>0.84209999999999996</v>
      </c>
      <c r="ED51" s="228">
        <v>6.94</v>
      </c>
      <c r="EE51" s="229">
        <v>5.7000000000000002E-3</v>
      </c>
      <c r="EF51" s="230">
        <v>137169</v>
      </c>
      <c r="EG51" s="230">
        <v>106388</v>
      </c>
      <c r="EH51" s="229">
        <v>0.2893</v>
      </c>
      <c r="EI51" s="229">
        <v>0.43969999999999998</v>
      </c>
      <c r="EJ51" s="231">
        <v>35422.07</v>
      </c>
      <c r="EK51" s="231">
        <v>16219.72</v>
      </c>
      <c r="EL51" s="231">
        <v>37867.410000000003</v>
      </c>
      <c r="EM51" s="231">
        <v>5087</v>
      </c>
      <c r="EN51" s="231">
        <v>89509.2</v>
      </c>
      <c r="EO51" s="231">
        <v>97836.66</v>
      </c>
      <c r="EP51" s="231">
        <v>-8327.4599999999991</v>
      </c>
      <c r="EQ51" s="229">
        <v>-8.5099999999999995E-2</v>
      </c>
      <c r="ER51" s="231">
        <v>22480</v>
      </c>
      <c r="ES51" s="231">
        <v>18193</v>
      </c>
      <c r="ET51" s="231">
        <v>52058</v>
      </c>
      <c r="EU51" s="231">
        <v>12039544</v>
      </c>
      <c r="EV51" s="231">
        <v>92731</v>
      </c>
      <c r="EW51" s="231">
        <v>102616</v>
      </c>
      <c r="EX51" s="231">
        <v>-9885</v>
      </c>
      <c r="EY51" s="229">
        <v>-9.6299999999999997E-2</v>
      </c>
      <c r="EZ51" s="229">
        <v>0.64029999999999998</v>
      </c>
      <c r="FA51" s="227" t="s">
        <v>556</v>
      </c>
      <c r="FB51" s="161">
        <f t="shared" si="0"/>
        <v>3607400</v>
      </c>
    </row>
    <row r="52" spans="1:158" ht="17.25" hidden="1" thickBot="1" x14ac:dyDescent="0.3">
      <c r="A52" s="226">
        <v>45957</v>
      </c>
      <c r="B52" s="227" t="s">
        <v>168</v>
      </c>
      <c r="C52" s="227" t="s">
        <v>204</v>
      </c>
      <c r="D52" s="228">
        <v>1250</v>
      </c>
      <c r="E52" s="228">
        <v>506.45</v>
      </c>
      <c r="F52" s="228">
        <v>507.75</v>
      </c>
      <c r="G52" s="228">
        <v>-1.3</v>
      </c>
      <c r="H52" s="229">
        <v>-2.5999999999999999E-3</v>
      </c>
      <c r="I52" s="228">
        <v>507.05</v>
      </c>
      <c r="J52" s="228">
        <v>508.45</v>
      </c>
      <c r="K52" s="228">
        <v>-1.4</v>
      </c>
      <c r="L52" s="229">
        <v>-2.8E-3</v>
      </c>
      <c r="M52" s="228">
        <v>506.45</v>
      </c>
      <c r="N52" s="228">
        <v>507.75</v>
      </c>
      <c r="O52" s="228">
        <v>-1.3</v>
      </c>
      <c r="P52" s="229">
        <v>-2.5999999999999999E-3</v>
      </c>
      <c r="Q52" s="228">
        <v>505.25</v>
      </c>
      <c r="R52" s="228">
        <v>507.2</v>
      </c>
      <c r="S52" s="228">
        <v>-1.95</v>
      </c>
      <c r="T52" s="229">
        <v>-3.8E-3</v>
      </c>
      <c r="U52" s="228">
        <v>508.65</v>
      </c>
      <c r="V52" s="228">
        <v>510.05</v>
      </c>
      <c r="W52" s="228">
        <v>-1.4</v>
      </c>
      <c r="X52" s="229">
        <v>-2.7000000000000001E-3</v>
      </c>
      <c r="Y52" s="228">
        <v>-0.6</v>
      </c>
      <c r="Z52" s="228">
        <v>-0.7</v>
      </c>
      <c r="AA52" s="228">
        <v>0.1</v>
      </c>
      <c r="AB52" s="229">
        <v>-1.1999999999999999E-3</v>
      </c>
      <c r="AC52" s="228">
        <v>-0.6</v>
      </c>
      <c r="AD52" s="228">
        <v>-0.7</v>
      </c>
      <c r="AE52" s="228">
        <v>0.1</v>
      </c>
      <c r="AF52" s="229">
        <v>-1.1999999999999999E-3</v>
      </c>
      <c r="AG52" s="228">
        <v>-1.8</v>
      </c>
      <c r="AH52" s="228">
        <v>-1.25</v>
      </c>
      <c r="AI52" s="228">
        <v>-0.55000000000000004</v>
      </c>
      <c r="AJ52" s="229">
        <v>-3.5000000000000001E-3</v>
      </c>
      <c r="AK52" s="228">
        <v>1.6</v>
      </c>
      <c r="AL52" s="228">
        <v>1.6</v>
      </c>
      <c r="AM52" s="228">
        <v>0</v>
      </c>
      <c r="AN52" s="229">
        <v>3.2000000000000002E-3</v>
      </c>
      <c r="AO52" s="228">
        <v>506.76</v>
      </c>
      <c r="AP52" s="228">
        <v>506.37</v>
      </c>
      <c r="AQ52" s="228">
        <v>0</v>
      </c>
      <c r="AR52" s="230">
        <v>16651250</v>
      </c>
      <c r="AS52" s="230">
        <v>17721250</v>
      </c>
      <c r="AT52" s="230">
        <v>-1070000</v>
      </c>
      <c r="AU52" s="229">
        <v>-6.0400000000000002E-2</v>
      </c>
      <c r="AV52" s="230">
        <v>7852500</v>
      </c>
      <c r="AW52" s="230">
        <v>8951250</v>
      </c>
      <c r="AX52" s="230">
        <v>-1098750</v>
      </c>
      <c r="AY52" s="229">
        <v>-0.1227</v>
      </c>
      <c r="AZ52" s="230">
        <v>8676250</v>
      </c>
      <c r="BA52" s="230">
        <v>8655000</v>
      </c>
      <c r="BB52" s="230">
        <v>21250</v>
      </c>
      <c r="BC52" s="229">
        <v>2.5000000000000001E-3</v>
      </c>
      <c r="BD52" s="230">
        <v>122500</v>
      </c>
      <c r="BE52" s="230">
        <v>115000</v>
      </c>
      <c r="BF52" s="230">
        <v>7500</v>
      </c>
      <c r="BG52" s="229">
        <v>6.5199999999999994E-2</v>
      </c>
      <c r="BH52" s="230">
        <v>12283750</v>
      </c>
      <c r="BI52" s="230">
        <v>16907500</v>
      </c>
      <c r="BJ52" s="230">
        <v>-4623750</v>
      </c>
      <c r="BK52" s="229">
        <v>-0.27350000000000002</v>
      </c>
      <c r="BL52" s="230">
        <v>6456250</v>
      </c>
      <c r="BM52" s="230">
        <v>14210000</v>
      </c>
      <c r="BN52" s="230">
        <v>-7753750</v>
      </c>
      <c r="BO52" s="229">
        <v>-0.54569999999999996</v>
      </c>
      <c r="BP52" s="230">
        <v>35391250</v>
      </c>
      <c r="BQ52" s="230">
        <v>48838750</v>
      </c>
      <c r="BR52" s="230">
        <v>-13447500</v>
      </c>
      <c r="BS52" s="229">
        <v>-0.27529999999999999</v>
      </c>
      <c r="BT52" s="230">
        <v>3818426</v>
      </c>
      <c r="BU52" s="230">
        <v>4211445</v>
      </c>
      <c r="BV52" s="230">
        <v>-393019</v>
      </c>
      <c r="BW52" s="229">
        <v>-9.3299999999999994E-2</v>
      </c>
      <c r="BX52" s="230">
        <v>22627500</v>
      </c>
      <c r="BY52" s="230">
        <v>23043750</v>
      </c>
      <c r="BZ52" s="230">
        <v>-416250</v>
      </c>
      <c r="CA52" s="229">
        <v>-1.8100000000000002E-2</v>
      </c>
      <c r="CB52" s="230">
        <v>5428750</v>
      </c>
      <c r="CC52" s="230">
        <v>10642500</v>
      </c>
      <c r="CD52" s="230">
        <v>-5213750</v>
      </c>
      <c r="CE52" s="229">
        <v>-0.4899</v>
      </c>
      <c r="CF52" s="230">
        <v>16971250</v>
      </c>
      <c r="CG52" s="230">
        <v>12217500</v>
      </c>
      <c r="CH52" s="230">
        <v>4753750</v>
      </c>
      <c r="CI52" s="229">
        <v>0.3891</v>
      </c>
      <c r="CJ52" s="230">
        <v>227500</v>
      </c>
      <c r="CK52" s="230">
        <v>183750</v>
      </c>
      <c r="CL52" s="230">
        <v>43750</v>
      </c>
      <c r="CM52" s="229">
        <v>0.23810000000000001</v>
      </c>
      <c r="CN52" s="230">
        <v>10450000</v>
      </c>
      <c r="CO52" s="230">
        <v>11130000</v>
      </c>
      <c r="CP52" s="230">
        <v>-680000</v>
      </c>
      <c r="CQ52" s="229">
        <v>-6.1100000000000002E-2</v>
      </c>
      <c r="CR52" s="230">
        <v>6931250</v>
      </c>
      <c r="CS52" s="230">
        <v>7161250</v>
      </c>
      <c r="CT52" s="230">
        <v>-230000</v>
      </c>
      <c r="CU52" s="229">
        <v>-3.2099999999999997E-2</v>
      </c>
      <c r="CV52" s="230">
        <v>40008750</v>
      </c>
      <c r="CW52" s="230">
        <v>41335000</v>
      </c>
      <c r="CX52" s="230">
        <v>-1326250</v>
      </c>
      <c r="CY52" s="229">
        <v>-3.2099999999999997E-2</v>
      </c>
      <c r="CZ52" s="228">
        <v>22.67</v>
      </c>
      <c r="DA52" s="228">
        <v>23.21</v>
      </c>
      <c r="DB52" s="228">
        <v>-0.54</v>
      </c>
      <c r="DC52" s="228">
        <v>-0.54</v>
      </c>
      <c r="DD52" s="228">
        <v>25.28</v>
      </c>
      <c r="DE52" s="228">
        <v>25.34</v>
      </c>
      <c r="DF52" s="228">
        <v>-2.61</v>
      </c>
      <c r="DG52" s="228">
        <v>-0.06</v>
      </c>
      <c r="DH52" s="228">
        <v>23.08</v>
      </c>
      <c r="DI52" s="228">
        <v>23.18</v>
      </c>
      <c r="DJ52" s="228">
        <v>-0.1</v>
      </c>
      <c r="DK52" s="228">
        <v>-0.1</v>
      </c>
      <c r="DL52" s="228">
        <v>21.98</v>
      </c>
      <c r="DM52" s="228">
        <v>23.26</v>
      </c>
      <c r="DN52" s="228">
        <v>-1.28</v>
      </c>
      <c r="DO52" s="228">
        <v>-1.28</v>
      </c>
      <c r="DP52" s="228">
        <v>0.66</v>
      </c>
      <c r="DQ52" s="228">
        <v>0.64</v>
      </c>
      <c r="DR52" s="228">
        <v>0.02</v>
      </c>
      <c r="DS52" s="229">
        <v>3.1300000000000001E-2</v>
      </c>
      <c r="DT52" s="228">
        <v>550</v>
      </c>
      <c r="DU52" s="228">
        <v>490</v>
      </c>
      <c r="DV52" s="228">
        <v>0.53</v>
      </c>
      <c r="DW52" s="228">
        <v>0.84</v>
      </c>
      <c r="DX52" s="228">
        <v>-0.31</v>
      </c>
      <c r="DY52" s="229">
        <v>-0.36899999999999999</v>
      </c>
      <c r="DZ52" s="229">
        <v>0.7601</v>
      </c>
      <c r="EA52" s="230">
        <v>12401250</v>
      </c>
      <c r="EB52" s="229">
        <v>-2.3999999999999998E-3</v>
      </c>
      <c r="EC52" s="229">
        <v>0.7601</v>
      </c>
      <c r="ED52" s="228">
        <v>-0.39</v>
      </c>
      <c r="EE52" s="229">
        <v>-8.0000000000000004E-4</v>
      </c>
      <c r="EF52" s="230">
        <v>2502576</v>
      </c>
      <c r="EG52" s="230">
        <v>2590479</v>
      </c>
      <c r="EH52" s="229">
        <v>-3.39E-2</v>
      </c>
      <c r="EI52" s="229">
        <v>0.65539999999999998</v>
      </c>
      <c r="EJ52" s="231">
        <v>64149.33</v>
      </c>
      <c r="EK52" s="231">
        <v>32837.35</v>
      </c>
      <c r="EL52" s="231">
        <v>84351</v>
      </c>
      <c r="EM52" s="231">
        <v>7385</v>
      </c>
      <c r="EN52" s="231">
        <v>181337.68</v>
      </c>
      <c r="EO52" s="231">
        <v>247734.92</v>
      </c>
      <c r="EP52" s="231">
        <v>-66397.240000000005</v>
      </c>
      <c r="EQ52" s="229">
        <v>-0.26800000000000002</v>
      </c>
      <c r="ER52" s="231">
        <v>54974</v>
      </c>
      <c r="ES52" s="231">
        <v>33995</v>
      </c>
      <c r="ET52" s="231">
        <v>114398</v>
      </c>
      <c r="EU52" s="231">
        <v>89873278</v>
      </c>
      <c r="EV52" s="231">
        <v>203367</v>
      </c>
      <c r="EW52" s="231">
        <v>210768</v>
      </c>
      <c r="EX52" s="231">
        <v>-7401</v>
      </c>
      <c r="EY52" s="229">
        <v>-3.5099999999999999E-2</v>
      </c>
      <c r="EZ52" s="229">
        <v>0.44519999999999998</v>
      </c>
      <c r="FA52" s="227" t="s">
        <v>568</v>
      </c>
      <c r="FB52" s="161">
        <f t="shared" si="0"/>
        <v>17198750</v>
      </c>
    </row>
    <row r="53" spans="1:158" ht="17.25" hidden="1" thickBot="1" x14ac:dyDescent="0.3">
      <c r="A53" s="226">
        <v>45957</v>
      </c>
      <c r="B53" s="227" t="s">
        <v>157</v>
      </c>
      <c r="C53" s="227" t="s">
        <v>524</v>
      </c>
      <c r="D53" s="228">
        <v>325</v>
      </c>
      <c r="E53" s="231">
        <v>2096.9</v>
      </c>
      <c r="F53" s="231">
        <v>2101.4</v>
      </c>
      <c r="G53" s="228">
        <v>-4.5</v>
      </c>
      <c r="H53" s="229">
        <v>-2.0999999999999999E-3</v>
      </c>
      <c r="I53" s="231">
        <v>2093.1999999999998</v>
      </c>
      <c r="J53" s="231">
        <v>2098.4</v>
      </c>
      <c r="K53" s="228">
        <v>-5.2</v>
      </c>
      <c r="L53" s="229">
        <v>-2.5000000000000001E-3</v>
      </c>
      <c r="M53" s="231">
        <v>2096.9</v>
      </c>
      <c r="N53" s="231">
        <v>2101.4</v>
      </c>
      <c r="O53" s="228">
        <v>-4.5</v>
      </c>
      <c r="P53" s="229">
        <v>-2.0999999999999999E-3</v>
      </c>
      <c r="Q53" s="231">
        <v>2108.1999999999998</v>
      </c>
      <c r="R53" s="231">
        <v>2111.5</v>
      </c>
      <c r="S53" s="228">
        <v>-3.3</v>
      </c>
      <c r="T53" s="229">
        <v>-1.6000000000000001E-3</v>
      </c>
      <c r="U53" s="231">
        <v>2117.5</v>
      </c>
      <c r="V53" s="231">
        <v>2126.3000000000002</v>
      </c>
      <c r="W53" s="228">
        <v>-8.8000000000000007</v>
      </c>
      <c r="X53" s="229">
        <v>-4.1000000000000003E-3</v>
      </c>
      <c r="Y53" s="228">
        <v>3.7</v>
      </c>
      <c r="Z53" s="228">
        <v>3</v>
      </c>
      <c r="AA53" s="228">
        <v>0.7</v>
      </c>
      <c r="AB53" s="229">
        <v>1.8E-3</v>
      </c>
      <c r="AC53" s="228">
        <v>3.7</v>
      </c>
      <c r="AD53" s="228">
        <v>3</v>
      </c>
      <c r="AE53" s="228">
        <v>0.7</v>
      </c>
      <c r="AF53" s="229">
        <v>1.8E-3</v>
      </c>
      <c r="AG53" s="228">
        <v>15</v>
      </c>
      <c r="AH53" s="228">
        <v>13.1</v>
      </c>
      <c r="AI53" s="228">
        <v>1.9</v>
      </c>
      <c r="AJ53" s="229">
        <v>7.1999999999999998E-3</v>
      </c>
      <c r="AK53" s="228">
        <v>24.3</v>
      </c>
      <c r="AL53" s="228">
        <v>27.9</v>
      </c>
      <c r="AM53" s="228">
        <v>-3.6</v>
      </c>
      <c r="AN53" s="229">
        <v>1.1599999999999999E-2</v>
      </c>
      <c r="AO53" s="231">
        <v>2098.6999999999998</v>
      </c>
      <c r="AP53" s="231">
        <v>2110.33</v>
      </c>
      <c r="AQ53" s="228">
        <v>0</v>
      </c>
      <c r="AR53" s="230">
        <v>2172950</v>
      </c>
      <c r="AS53" s="230">
        <v>1957800</v>
      </c>
      <c r="AT53" s="230">
        <v>215150</v>
      </c>
      <c r="AU53" s="229">
        <v>0.1099</v>
      </c>
      <c r="AV53" s="230">
        <v>774800</v>
      </c>
      <c r="AW53" s="230">
        <v>1032850</v>
      </c>
      <c r="AX53" s="230">
        <v>-258050</v>
      </c>
      <c r="AY53" s="229">
        <v>-0.24979999999999999</v>
      </c>
      <c r="AZ53" s="230">
        <v>1387425</v>
      </c>
      <c r="BA53" s="230">
        <v>911950</v>
      </c>
      <c r="BB53" s="230">
        <v>475475</v>
      </c>
      <c r="BC53" s="229">
        <v>0.52139999999999997</v>
      </c>
      <c r="BD53" s="230">
        <v>10725</v>
      </c>
      <c r="BE53" s="230">
        <v>13000</v>
      </c>
      <c r="BF53" s="230">
        <v>-2275</v>
      </c>
      <c r="BG53" s="229">
        <v>-0.17499999999999999</v>
      </c>
      <c r="BH53" s="230">
        <v>1599650</v>
      </c>
      <c r="BI53" s="230">
        <v>3392025</v>
      </c>
      <c r="BJ53" s="230">
        <v>-1792375</v>
      </c>
      <c r="BK53" s="229">
        <v>-0.52839999999999998</v>
      </c>
      <c r="BL53" s="230">
        <v>580125</v>
      </c>
      <c r="BM53" s="230">
        <v>1258400</v>
      </c>
      <c r="BN53" s="230">
        <v>-678275</v>
      </c>
      <c r="BO53" s="229">
        <v>-0.53900000000000003</v>
      </c>
      <c r="BP53" s="230">
        <v>4352725</v>
      </c>
      <c r="BQ53" s="230">
        <v>6608225</v>
      </c>
      <c r="BR53" s="230">
        <v>-2255500</v>
      </c>
      <c r="BS53" s="229">
        <v>-0.34129999999999999</v>
      </c>
      <c r="BT53" s="230">
        <v>1000434</v>
      </c>
      <c r="BU53" s="230">
        <v>422974</v>
      </c>
      <c r="BV53" s="230">
        <v>577460</v>
      </c>
      <c r="BW53" s="229">
        <v>1.3652</v>
      </c>
      <c r="BX53" s="230">
        <v>2277600</v>
      </c>
      <c r="BY53" s="230">
        <v>2249325</v>
      </c>
      <c r="BZ53" s="230">
        <v>28275</v>
      </c>
      <c r="CA53" s="229">
        <v>1.26E-2</v>
      </c>
      <c r="CB53" s="230">
        <v>288600</v>
      </c>
      <c r="CC53" s="230">
        <v>800800</v>
      </c>
      <c r="CD53" s="230">
        <v>-512200</v>
      </c>
      <c r="CE53" s="229">
        <v>-0.63959999999999995</v>
      </c>
      <c r="CF53" s="230">
        <v>1966250</v>
      </c>
      <c r="CG53" s="230">
        <v>1432925</v>
      </c>
      <c r="CH53" s="230">
        <v>533325</v>
      </c>
      <c r="CI53" s="229">
        <v>0.37219999999999998</v>
      </c>
      <c r="CJ53" s="230">
        <v>22750</v>
      </c>
      <c r="CK53" s="230">
        <v>15600</v>
      </c>
      <c r="CL53" s="230">
        <v>7150</v>
      </c>
      <c r="CM53" s="229">
        <v>0.45829999999999999</v>
      </c>
      <c r="CN53" s="230">
        <v>1423500</v>
      </c>
      <c r="CO53" s="230">
        <v>1709500</v>
      </c>
      <c r="CP53" s="230">
        <v>-286000</v>
      </c>
      <c r="CQ53" s="229">
        <v>-0.1673</v>
      </c>
      <c r="CR53" s="230">
        <v>628875</v>
      </c>
      <c r="CS53" s="230">
        <v>725725</v>
      </c>
      <c r="CT53" s="230">
        <v>-96850</v>
      </c>
      <c r="CU53" s="229">
        <v>-0.13350000000000001</v>
      </c>
      <c r="CV53" s="230">
        <v>4329975</v>
      </c>
      <c r="CW53" s="230">
        <v>4684550</v>
      </c>
      <c r="CX53" s="230">
        <v>-354575</v>
      </c>
      <c r="CY53" s="229">
        <v>-7.5700000000000003E-2</v>
      </c>
      <c r="CZ53" s="228">
        <v>25.75</v>
      </c>
      <c r="DA53" s="228">
        <v>25.7</v>
      </c>
      <c r="DB53" s="228">
        <v>0.05</v>
      </c>
      <c r="DC53" s="228">
        <v>0.05</v>
      </c>
      <c r="DD53" s="228">
        <v>30.07</v>
      </c>
      <c r="DE53" s="228">
        <v>30.15</v>
      </c>
      <c r="DF53" s="228">
        <v>-4.32</v>
      </c>
      <c r="DG53" s="228">
        <v>-0.08</v>
      </c>
      <c r="DH53" s="228">
        <v>25.89</v>
      </c>
      <c r="DI53" s="228">
        <v>26.03</v>
      </c>
      <c r="DJ53" s="228">
        <v>-0.14000000000000001</v>
      </c>
      <c r="DK53" s="228">
        <v>-0.14000000000000001</v>
      </c>
      <c r="DL53" s="228">
        <v>25.32</v>
      </c>
      <c r="DM53" s="228">
        <v>24.94</v>
      </c>
      <c r="DN53" s="228">
        <v>0.38</v>
      </c>
      <c r="DO53" s="228">
        <v>0.38</v>
      </c>
      <c r="DP53" s="228">
        <v>0.44</v>
      </c>
      <c r="DQ53" s="228">
        <v>0.42</v>
      </c>
      <c r="DR53" s="228">
        <v>0.02</v>
      </c>
      <c r="DS53" s="229">
        <v>4.7600000000000003E-2</v>
      </c>
      <c r="DT53" s="231">
        <v>2300</v>
      </c>
      <c r="DU53" s="231">
        <v>2000</v>
      </c>
      <c r="DV53" s="228">
        <v>0.36</v>
      </c>
      <c r="DW53" s="228">
        <v>0.37</v>
      </c>
      <c r="DX53" s="228">
        <v>-0.01</v>
      </c>
      <c r="DY53" s="229">
        <v>-2.7E-2</v>
      </c>
      <c r="DZ53" s="229">
        <v>0.87329999999999997</v>
      </c>
      <c r="EA53" s="230">
        <v>1448525</v>
      </c>
      <c r="EB53" s="229">
        <v>5.4000000000000003E-3</v>
      </c>
      <c r="EC53" s="229">
        <v>0.87329999999999997</v>
      </c>
      <c r="ED53" s="228">
        <v>11.63</v>
      </c>
      <c r="EE53" s="229">
        <v>5.4999999999999997E-3</v>
      </c>
      <c r="EF53" s="230">
        <v>771883</v>
      </c>
      <c r="EG53" s="230">
        <v>277408</v>
      </c>
      <c r="EH53" s="229">
        <v>1.7825</v>
      </c>
      <c r="EI53" s="229">
        <v>0.77149999999999996</v>
      </c>
      <c r="EJ53" s="231">
        <v>35282.92</v>
      </c>
      <c r="EK53" s="231">
        <v>12304.28</v>
      </c>
      <c r="EL53" s="231">
        <v>45767.11</v>
      </c>
      <c r="EM53" s="231">
        <v>5287</v>
      </c>
      <c r="EN53" s="231">
        <v>93354.31</v>
      </c>
      <c r="EO53" s="231">
        <v>142459.01999999999</v>
      </c>
      <c r="EP53" s="231">
        <v>-49104.71</v>
      </c>
      <c r="EQ53" s="229">
        <v>-0.34470000000000001</v>
      </c>
      <c r="ER53" s="231">
        <v>32528</v>
      </c>
      <c r="ES53" s="231">
        <v>13455</v>
      </c>
      <c r="ET53" s="231">
        <v>47986</v>
      </c>
      <c r="EU53" s="231">
        <v>12425041</v>
      </c>
      <c r="EV53" s="231">
        <v>93969</v>
      </c>
      <c r="EW53" s="231">
        <v>101888</v>
      </c>
      <c r="EX53" s="231">
        <v>-7919</v>
      </c>
      <c r="EY53" s="229">
        <v>-7.7700000000000005E-2</v>
      </c>
      <c r="EZ53" s="229">
        <v>0.34849999999999998</v>
      </c>
      <c r="FA53" s="227" t="s">
        <v>567</v>
      </c>
      <c r="FB53" s="161">
        <f t="shared" si="0"/>
        <v>1989000</v>
      </c>
    </row>
    <row r="54" spans="1:158" ht="17.25" hidden="1" thickBot="1" x14ac:dyDescent="0.3">
      <c r="A54" s="226">
        <v>45957</v>
      </c>
      <c r="B54" s="227" t="s">
        <v>615</v>
      </c>
      <c r="C54" s="227" t="s">
        <v>600</v>
      </c>
      <c r="D54" s="228">
        <v>2075</v>
      </c>
      <c r="E54" s="228">
        <v>472.55</v>
      </c>
      <c r="F54" s="228">
        <v>466.4</v>
      </c>
      <c r="G54" s="228">
        <v>6.15</v>
      </c>
      <c r="H54" s="229">
        <v>1.32E-2</v>
      </c>
      <c r="I54" s="228">
        <v>473</v>
      </c>
      <c r="J54" s="228">
        <v>466.9</v>
      </c>
      <c r="K54" s="228">
        <v>6.1</v>
      </c>
      <c r="L54" s="229">
        <v>1.3100000000000001E-2</v>
      </c>
      <c r="M54" s="228">
        <v>472.55</v>
      </c>
      <c r="N54" s="228">
        <v>466.4</v>
      </c>
      <c r="O54" s="228">
        <v>6.15</v>
      </c>
      <c r="P54" s="229">
        <v>1.32E-2</v>
      </c>
      <c r="Q54" s="228">
        <v>475.5</v>
      </c>
      <c r="R54" s="228">
        <v>469.25</v>
      </c>
      <c r="S54" s="228">
        <v>6.25</v>
      </c>
      <c r="T54" s="229">
        <v>1.3299999999999999E-2</v>
      </c>
      <c r="U54" s="228">
        <v>478.5</v>
      </c>
      <c r="V54" s="228">
        <v>471.9</v>
      </c>
      <c r="W54" s="228">
        <v>6.6</v>
      </c>
      <c r="X54" s="229">
        <v>1.4E-2</v>
      </c>
      <c r="Y54" s="228">
        <v>-0.45</v>
      </c>
      <c r="Z54" s="228">
        <v>-0.5</v>
      </c>
      <c r="AA54" s="228">
        <v>0.05</v>
      </c>
      <c r="AB54" s="229">
        <v>-1E-3</v>
      </c>
      <c r="AC54" s="228">
        <v>-0.45</v>
      </c>
      <c r="AD54" s="228">
        <v>-0.5</v>
      </c>
      <c r="AE54" s="228">
        <v>0.05</v>
      </c>
      <c r="AF54" s="229">
        <v>-1E-3</v>
      </c>
      <c r="AG54" s="228">
        <v>2.5</v>
      </c>
      <c r="AH54" s="228">
        <v>2.35</v>
      </c>
      <c r="AI54" s="228">
        <v>0.15</v>
      </c>
      <c r="AJ54" s="229">
        <v>5.3E-3</v>
      </c>
      <c r="AK54" s="228">
        <v>5.5</v>
      </c>
      <c r="AL54" s="228">
        <v>5</v>
      </c>
      <c r="AM54" s="228">
        <v>0.5</v>
      </c>
      <c r="AN54" s="229">
        <v>1.1599999999999999E-2</v>
      </c>
      <c r="AO54" s="228">
        <v>470.58</v>
      </c>
      <c r="AP54" s="228">
        <v>473.43</v>
      </c>
      <c r="AQ54" s="228">
        <v>0</v>
      </c>
      <c r="AR54" s="230">
        <v>15608150</v>
      </c>
      <c r="AS54" s="230">
        <v>16929925</v>
      </c>
      <c r="AT54" s="230">
        <v>-1321775</v>
      </c>
      <c r="AU54" s="229">
        <v>-7.8100000000000003E-2</v>
      </c>
      <c r="AV54" s="230">
        <v>7376625</v>
      </c>
      <c r="AW54" s="230">
        <v>8391300</v>
      </c>
      <c r="AX54" s="230">
        <v>-1014675</v>
      </c>
      <c r="AY54" s="229">
        <v>-0.12089999999999999</v>
      </c>
      <c r="AZ54" s="230">
        <v>8104950</v>
      </c>
      <c r="BA54" s="230">
        <v>8505425</v>
      </c>
      <c r="BB54" s="230">
        <v>-400475</v>
      </c>
      <c r="BC54" s="229">
        <v>-4.7100000000000003E-2</v>
      </c>
      <c r="BD54" s="230">
        <v>126575</v>
      </c>
      <c r="BE54" s="230">
        <v>33200</v>
      </c>
      <c r="BF54" s="230">
        <v>93375</v>
      </c>
      <c r="BG54" s="229">
        <v>2.8125</v>
      </c>
      <c r="BH54" s="230">
        <v>9246200</v>
      </c>
      <c r="BI54" s="230">
        <v>14487650</v>
      </c>
      <c r="BJ54" s="230">
        <v>-5241450</v>
      </c>
      <c r="BK54" s="229">
        <v>-0.36180000000000001</v>
      </c>
      <c r="BL54" s="230">
        <v>4994525</v>
      </c>
      <c r="BM54" s="230">
        <v>12163650</v>
      </c>
      <c r="BN54" s="230">
        <v>-7169125</v>
      </c>
      <c r="BO54" s="229">
        <v>-0.58940000000000003</v>
      </c>
      <c r="BP54" s="230">
        <v>29848875</v>
      </c>
      <c r="BQ54" s="230">
        <v>43581225</v>
      </c>
      <c r="BR54" s="230">
        <v>-13732350</v>
      </c>
      <c r="BS54" s="229">
        <v>-0.31509999999999999</v>
      </c>
      <c r="BT54" s="230">
        <v>1166218</v>
      </c>
      <c r="BU54" s="230">
        <v>2915408</v>
      </c>
      <c r="BV54" s="230">
        <v>-1749190</v>
      </c>
      <c r="BW54" s="229">
        <v>-0.6</v>
      </c>
      <c r="BX54" s="230">
        <v>18843075</v>
      </c>
      <c r="BY54" s="230">
        <v>19013225</v>
      </c>
      <c r="BZ54" s="230">
        <v>-170150</v>
      </c>
      <c r="CA54" s="229">
        <v>-8.8999999999999999E-3</v>
      </c>
      <c r="CB54" s="230">
        <v>2373800</v>
      </c>
      <c r="CC54" s="230">
        <v>7982525</v>
      </c>
      <c r="CD54" s="230">
        <v>-5608725</v>
      </c>
      <c r="CE54" s="229">
        <v>-0.7026</v>
      </c>
      <c r="CF54" s="230">
        <v>16321950</v>
      </c>
      <c r="CG54" s="230">
        <v>10908275</v>
      </c>
      <c r="CH54" s="230">
        <v>5413675</v>
      </c>
      <c r="CI54" s="229">
        <v>0.49630000000000002</v>
      </c>
      <c r="CJ54" s="230">
        <v>147325</v>
      </c>
      <c r="CK54" s="230">
        <v>122425</v>
      </c>
      <c r="CL54" s="230">
        <v>24900</v>
      </c>
      <c r="CM54" s="229">
        <v>0.2034</v>
      </c>
      <c r="CN54" s="230">
        <v>9366550</v>
      </c>
      <c r="CO54" s="230">
        <v>11007875</v>
      </c>
      <c r="CP54" s="230">
        <v>-1641325</v>
      </c>
      <c r="CQ54" s="229">
        <v>-0.14910000000000001</v>
      </c>
      <c r="CR54" s="230">
        <v>5946950</v>
      </c>
      <c r="CS54" s="230">
        <v>5787175</v>
      </c>
      <c r="CT54" s="230">
        <v>159775</v>
      </c>
      <c r="CU54" s="229">
        <v>2.76E-2</v>
      </c>
      <c r="CV54" s="230">
        <v>34156575</v>
      </c>
      <c r="CW54" s="230">
        <v>35808275</v>
      </c>
      <c r="CX54" s="230">
        <v>-1651700</v>
      </c>
      <c r="CY54" s="229">
        <v>-4.6100000000000002E-2</v>
      </c>
      <c r="CZ54" s="228">
        <v>33.07</v>
      </c>
      <c r="DA54" s="228">
        <v>32.42</v>
      </c>
      <c r="DB54" s="228">
        <v>0.65</v>
      </c>
      <c r="DC54" s="228">
        <v>0.65</v>
      </c>
      <c r="DD54" s="228">
        <v>40.659999999999997</v>
      </c>
      <c r="DE54" s="228">
        <v>40.72</v>
      </c>
      <c r="DF54" s="228">
        <v>-7.59</v>
      </c>
      <c r="DG54" s="228">
        <v>-0.06</v>
      </c>
      <c r="DH54" s="228">
        <v>33.159999999999997</v>
      </c>
      <c r="DI54" s="228">
        <v>32.56</v>
      </c>
      <c r="DJ54" s="228">
        <v>0.6</v>
      </c>
      <c r="DK54" s="228">
        <v>0.6</v>
      </c>
      <c r="DL54" s="228">
        <v>32.950000000000003</v>
      </c>
      <c r="DM54" s="228">
        <v>32.07</v>
      </c>
      <c r="DN54" s="228">
        <v>0.88</v>
      </c>
      <c r="DO54" s="228">
        <v>0.88</v>
      </c>
      <c r="DP54" s="228">
        <v>0.63</v>
      </c>
      <c r="DQ54" s="228">
        <v>0.53</v>
      </c>
      <c r="DR54" s="228">
        <v>0.1</v>
      </c>
      <c r="DS54" s="229">
        <v>0.18870000000000001</v>
      </c>
      <c r="DT54" s="228">
        <v>500</v>
      </c>
      <c r="DU54" s="228">
        <v>470</v>
      </c>
      <c r="DV54" s="228">
        <v>0.54</v>
      </c>
      <c r="DW54" s="228">
        <v>0.84</v>
      </c>
      <c r="DX54" s="228">
        <v>-0.3</v>
      </c>
      <c r="DY54" s="229">
        <v>-0.35709999999999997</v>
      </c>
      <c r="DZ54" s="229">
        <v>0.874</v>
      </c>
      <c r="EA54" s="230">
        <v>11030700</v>
      </c>
      <c r="EB54" s="229">
        <v>6.1999999999999998E-3</v>
      </c>
      <c r="EC54" s="229">
        <v>0.874</v>
      </c>
      <c r="ED54" s="228">
        <v>2.85</v>
      </c>
      <c r="EE54" s="229">
        <v>6.1000000000000004E-3</v>
      </c>
      <c r="EF54" s="230">
        <v>488156</v>
      </c>
      <c r="EG54" s="230">
        <v>1885574</v>
      </c>
      <c r="EH54" s="229">
        <v>-0.74109999999999998</v>
      </c>
      <c r="EI54" s="229">
        <v>0.41860000000000003</v>
      </c>
      <c r="EJ54" s="231">
        <v>45004.46</v>
      </c>
      <c r="EK54" s="231">
        <v>23116.42</v>
      </c>
      <c r="EL54" s="231">
        <v>73686.62</v>
      </c>
      <c r="EM54" s="231">
        <v>4090</v>
      </c>
      <c r="EN54" s="231">
        <v>141807.5</v>
      </c>
      <c r="EO54" s="231">
        <v>206044.53</v>
      </c>
      <c r="EP54" s="231">
        <v>-64237.03</v>
      </c>
      <c r="EQ54" s="229">
        <v>-0.31180000000000002</v>
      </c>
      <c r="ER54" s="231">
        <v>45900</v>
      </c>
      <c r="ES54" s="231">
        <v>26698</v>
      </c>
      <c r="ET54" s="231">
        <v>89533</v>
      </c>
      <c r="EU54" s="231">
        <v>94196226</v>
      </c>
      <c r="EV54" s="231">
        <v>162131</v>
      </c>
      <c r="EW54" s="231">
        <v>168759</v>
      </c>
      <c r="EX54" s="231">
        <v>-6628</v>
      </c>
      <c r="EY54" s="229">
        <v>-3.9300000000000002E-2</v>
      </c>
      <c r="EZ54" s="229">
        <v>0.36259999999999998</v>
      </c>
      <c r="FA54" s="227" t="s">
        <v>556</v>
      </c>
      <c r="FB54" s="161">
        <f t="shared" si="0"/>
        <v>16469275</v>
      </c>
    </row>
    <row r="55" spans="1:158" ht="17.25" hidden="1" thickBot="1" x14ac:dyDescent="0.3">
      <c r="A55" s="226">
        <v>45957</v>
      </c>
      <c r="B55" s="227" t="s">
        <v>170</v>
      </c>
      <c r="C55" s="227" t="s">
        <v>205</v>
      </c>
      <c r="D55" s="228">
        <v>100</v>
      </c>
      <c r="E55" s="231">
        <v>6485</v>
      </c>
      <c r="F55" s="231">
        <v>6587.5</v>
      </c>
      <c r="G55" s="228">
        <v>-102.5</v>
      </c>
      <c r="H55" s="229">
        <v>-1.5599999999999999E-2</v>
      </c>
      <c r="I55" s="231">
        <v>6490</v>
      </c>
      <c r="J55" s="231">
        <v>6593</v>
      </c>
      <c r="K55" s="228">
        <v>-103</v>
      </c>
      <c r="L55" s="229">
        <v>-1.5599999999999999E-2</v>
      </c>
      <c r="M55" s="231">
        <v>6485</v>
      </c>
      <c r="N55" s="231">
        <v>6587.5</v>
      </c>
      <c r="O55" s="228">
        <v>-102.5</v>
      </c>
      <c r="P55" s="229">
        <v>-1.5599999999999999E-2</v>
      </c>
      <c r="Q55" s="231">
        <v>6521.5</v>
      </c>
      <c r="R55" s="231">
        <v>6620</v>
      </c>
      <c r="S55" s="228">
        <v>-98.5</v>
      </c>
      <c r="T55" s="229">
        <v>-1.49E-2</v>
      </c>
      <c r="U55" s="231">
        <v>6565.5</v>
      </c>
      <c r="V55" s="231">
        <v>6654</v>
      </c>
      <c r="W55" s="228">
        <v>-88.5</v>
      </c>
      <c r="X55" s="229">
        <v>-1.3299999999999999E-2</v>
      </c>
      <c r="Y55" s="228">
        <v>-5</v>
      </c>
      <c r="Z55" s="228">
        <v>-5.5</v>
      </c>
      <c r="AA55" s="228">
        <v>0.5</v>
      </c>
      <c r="AB55" s="229">
        <v>-8.0000000000000004E-4</v>
      </c>
      <c r="AC55" s="228">
        <v>-5</v>
      </c>
      <c r="AD55" s="228">
        <v>-5.5</v>
      </c>
      <c r="AE55" s="228">
        <v>0.5</v>
      </c>
      <c r="AF55" s="229">
        <v>-8.0000000000000004E-4</v>
      </c>
      <c r="AG55" s="228">
        <v>31.5</v>
      </c>
      <c r="AH55" s="228">
        <v>27</v>
      </c>
      <c r="AI55" s="228">
        <v>4.5</v>
      </c>
      <c r="AJ55" s="229">
        <v>4.8999999999999998E-3</v>
      </c>
      <c r="AK55" s="228">
        <v>75.5</v>
      </c>
      <c r="AL55" s="228">
        <v>61</v>
      </c>
      <c r="AM55" s="228">
        <v>14.5</v>
      </c>
      <c r="AN55" s="229">
        <v>1.1599999999999999E-2</v>
      </c>
      <c r="AO55" s="231">
        <v>6496.3</v>
      </c>
      <c r="AP55" s="231">
        <v>6532.62</v>
      </c>
      <c r="AQ55" s="228">
        <v>0</v>
      </c>
      <c r="AR55" s="230">
        <v>1888600</v>
      </c>
      <c r="AS55" s="230">
        <v>2041000</v>
      </c>
      <c r="AT55" s="230">
        <v>-152400</v>
      </c>
      <c r="AU55" s="229">
        <v>-7.4700000000000003E-2</v>
      </c>
      <c r="AV55" s="230">
        <v>942400</v>
      </c>
      <c r="AW55" s="230">
        <v>1065000</v>
      </c>
      <c r="AX55" s="230">
        <v>-122600</v>
      </c>
      <c r="AY55" s="229">
        <v>-0.11509999999999999</v>
      </c>
      <c r="AZ55" s="230">
        <v>938300</v>
      </c>
      <c r="BA55" s="230">
        <v>973500</v>
      </c>
      <c r="BB55" s="230">
        <v>-35200</v>
      </c>
      <c r="BC55" s="229">
        <v>-3.6200000000000003E-2</v>
      </c>
      <c r="BD55" s="230">
        <v>7900</v>
      </c>
      <c r="BE55" s="230">
        <v>2500</v>
      </c>
      <c r="BF55" s="230">
        <v>5400</v>
      </c>
      <c r="BG55" s="229">
        <v>2.16</v>
      </c>
      <c r="BH55" s="230">
        <v>2494400</v>
      </c>
      <c r="BI55" s="230">
        <v>1375900</v>
      </c>
      <c r="BJ55" s="230">
        <v>1118500</v>
      </c>
      <c r="BK55" s="229">
        <v>0.81289999999999996</v>
      </c>
      <c r="BL55" s="230">
        <v>2041300</v>
      </c>
      <c r="BM55" s="230">
        <v>1154300</v>
      </c>
      <c r="BN55" s="230">
        <v>887000</v>
      </c>
      <c r="BO55" s="229">
        <v>0.76839999999999997</v>
      </c>
      <c r="BP55" s="230">
        <v>6424300</v>
      </c>
      <c r="BQ55" s="230">
        <v>4571200</v>
      </c>
      <c r="BR55" s="230">
        <v>1853100</v>
      </c>
      <c r="BS55" s="229">
        <v>0.40539999999999998</v>
      </c>
      <c r="BT55" s="230">
        <v>346154</v>
      </c>
      <c r="BU55" s="230">
        <v>252258</v>
      </c>
      <c r="BV55" s="230">
        <v>93896</v>
      </c>
      <c r="BW55" s="229">
        <v>0.37219999999999998</v>
      </c>
      <c r="BX55" s="230">
        <v>2594200</v>
      </c>
      <c r="BY55" s="230">
        <v>2657600</v>
      </c>
      <c r="BZ55" s="230">
        <v>-63400</v>
      </c>
      <c r="CA55" s="229">
        <v>-2.3900000000000001E-2</v>
      </c>
      <c r="CB55" s="230">
        <v>499700</v>
      </c>
      <c r="CC55" s="230">
        <v>1201000</v>
      </c>
      <c r="CD55" s="230">
        <v>-701300</v>
      </c>
      <c r="CE55" s="229">
        <v>-0.58389999999999997</v>
      </c>
      <c r="CF55" s="230">
        <v>2079000</v>
      </c>
      <c r="CG55" s="230">
        <v>1444100</v>
      </c>
      <c r="CH55" s="230">
        <v>634900</v>
      </c>
      <c r="CI55" s="229">
        <v>0.43969999999999998</v>
      </c>
      <c r="CJ55" s="230">
        <v>15500</v>
      </c>
      <c r="CK55" s="230">
        <v>12500</v>
      </c>
      <c r="CL55" s="230">
        <v>3000</v>
      </c>
      <c r="CM55" s="229">
        <v>0.24</v>
      </c>
      <c r="CN55" s="230">
        <v>1425800</v>
      </c>
      <c r="CO55" s="230">
        <v>1410300</v>
      </c>
      <c r="CP55" s="230">
        <v>15500</v>
      </c>
      <c r="CQ55" s="229">
        <v>1.0999999999999999E-2</v>
      </c>
      <c r="CR55" s="230">
        <v>1192000</v>
      </c>
      <c r="CS55" s="230">
        <v>1407500</v>
      </c>
      <c r="CT55" s="230">
        <v>-215500</v>
      </c>
      <c r="CU55" s="229">
        <v>-0.15310000000000001</v>
      </c>
      <c r="CV55" s="230">
        <v>5212000</v>
      </c>
      <c r="CW55" s="230">
        <v>5475400</v>
      </c>
      <c r="CX55" s="230">
        <v>-263400</v>
      </c>
      <c r="CY55" s="229">
        <v>-4.8099999999999997E-2</v>
      </c>
      <c r="CZ55" s="228">
        <v>29.36</v>
      </c>
      <c r="DA55" s="228">
        <v>28.39</v>
      </c>
      <c r="DB55" s="228">
        <v>0.97</v>
      </c>
      <c r="DC55" s="228">
        <v>0.97</v>
      </c>
      <c r="DD55" s="228">
        <v>31.78</v>
      </c>
      <c r="DE55" s="228">
        <v>31.79</v>
      </c>
      <c r="DF55" s="228">
        <v>-2.42</v>
      </c>
      <c r="DG55" s="228">
        <v>-0.01</v>
      </c>
      <c r="DH55" s="228">
        <v>29.38</v>
      </c>
      <c r="DI55" s="228">
        <v>28.16</v>
      </c>
      <c r="DJ55" s="228">
        <v>1.22</v>
      </c>
      <c r="DK55" s="228">
        <v>1.22</v>
      </c>
      <c r="DL55" s="228">
        <v>29.33</v>
      </c>
      <c r="DM55" s="228">
        <v>28.75</v>
      </c>
      <c r="DN55" s="228">
        <v>0.57999999999999996</v>
      </c>
      <c r="DO55" s="228">
        <v>0.57999999999999996</v>
      </c>
      <c r="DP55" s="228">
        <v>0.84</v>
      </c>
      <c r="DQ55" s="228">
        <v>1</v>
      </c>
      <c r="DR55" s="228">
        <v>-0.16</v>
      </c>
      <c r="DS55" s="229">
        <v>-0.16</v>
      </c>
      <c r="DT55" s="231">
        <v>6500</v>
      </c>
      <c r="DU55" s="231">
        <v>6000</v>
      </c>
      <c r="DV55" s="228">
        <v>0.82</v>
      </c>
      <c r="DW55" s="228">
        <v>0.84</v>
      </c>
      <c r="DX55" s="228">
        <v>-0.02</v>
      </c>
      <c r="DY55" s="229">
        <v>-2.3800000000000002E-2</v>
      </c>
      <c r="DZ55" s="229">
        <v>0.80740000000000001</v>
      </c>
      <c r="EA55" s="230">
        <v>1456600</v>
      </c>
      <c r="EB55" s="229">
        <v>5.5999999999999999E-3</v>
      </c>
      <c r="EC55" s="229">
        <v>0.80740000000000001</v>
      </c>
      <c r="ED55" s="228">
        <v>36.32</v>
      </c>
      <c r="EE55" s="229">
        <v>5.5999999999999999E-3</v>
      </c>
      <c r="EF55" s="230">
        <v>231883</v>
      </c>
      <c r="EG55" s="230">
        <v>144095</v>
      </c>
      <c r="EH55" s="229">
        <v>0.60919999999999996</v>
      </c>
      <c r="EI55" s="229">
        <v>0.66990000000000005</v>
      </c>
      <c r="EJ55" s="231">
        <v>167174.07</v>
      </c>
      <c r="EK55" s="231">
        <v>130276.48</v>
      </c>
      <c r="EL55" s="231">
        <v>123036.37</v>
      </c>
      <c r="EM55" s="231">
        <v>9216</v>
      </c>
      <c r="EN55" s="231">
        <v>420486.92</v>
      </c>
      <c r="EO55" s="231">
        <v>301194.71000000002</v>
      </c>
      <c r="EP55" s="231">
        <v>119292.21</v>
      </c>
      <c r="EQ55" s="229">
        <v>0.39610000000000001</v>
      </c>
      <c r="ER55" s="231">
        <v>94679</v>
      </c>
      <c r="ES55" s="231">
        <v>72927</v>
      </c>
      <c r="ET55" s="231">
        <v>169005</v>
      </c>
      <c r="EU55" s="231">
        <v>16353614</v>
      </c>
      <c r="EV55" s="231">
        <v>336610</v>
      </c>
      <c r="EW55" s="231">
        <v>355750</v>
      </c>
      <c r="EX55" s="231">
        <v>-19140</v>
      </c>
      <c r="EY55" s="229">
        <v>-5.3800000000000001E-2</v>
      </c>
      <c r="EZ55" s="229">
        <v>0.31869999999999998</v>
      </c>
      <c r="FA55" s="227" t="s">
        <v>568</v>
      </c>
      <c r="FB55" s="161">
        <f t="shared" si="0"/>
        <v>2094500</v>
      </c>
    </row>
    <row r="56" spans="1:158" ht="17.25" hidden="1" thickBot="1" x14ac:dyDescent="0.3">
      <c r="A56" s="226">
        <v>45957</v>
      </c>
      <c r="B56" s="227" t="s">
        <v>184</v>
      </c>
      <c r="C56" s="227" t="s">
        <v>512</v>
      </c>
      <c r="D56" s="228">
        <v>50</v>
      </c>
      <c r="E56" s="231">
        <v>15528</v>
      </c>
      <c r="F56" s="231">
        <v>15523</v>
      </c>
      <c r="G56" s="228">
        <v>5</v>
      </c>
      <c r="H56" s="229">
        <v>2.9999999999999997E-4</v>
      </c>
      <c r="I56" s="231">
        <v>15505</v>
      </c>
      <c r="J56" s="231">
        <v>15490</v>
      </c>
      <c r="K56" s="228">
        <v>15</v>
      </c>
      <c r="L56" s="229">
        <v>1E-3</v>
      </c>
      <c r="M56" s="231">
        <v>15528</v>
      </c>
      <c r="N56" s="231">
        <v>15523</v>
      </c>
      <c r="O56" s="228">
        <v>5</v>
      </c>
      <c r="P56" s="229">
        <v>2.9999999999999997E-4</v>
      </c>
      <c r="Q56" s="231">
        <v>15614</v>
      </c>
      <c r="R56" s="231">
        <v>15600</v>
      </c>
      <c r="S56" s="228">
        <v>14</v>
      </c>
      <c r="T56" s="229">
        <v>8.9999999999999998E-4</v>
      </c>
      <c r="U56" s="231">
        <v>15718</v>
      </c>
      <c r="V56" s="231">
        <v>15697</v>
      </c>
      <c r="W56" s="228">
        <v>21</v>
      </c>
      <c r="X56" s="229">
        <v>1.2999999999999999E-3</v>
      </c>
      <c r="Y56" s="228">
        <v>23</v>
      </c>
      <c r="Z56" s="228">
        <v>33</v>
      </c>
      <c r="AA56" s="228">
        <v>-10</v>
      </c>
      <c r="AB56" s="229">
        <v>1.5E-3</v>
      </c>
      <c r="AC56" s="228">
        <v>23</v>
      </c>
      <c r="AD56" s="228">
        <v>33</v>
      </c>
      <c r="AE56" s="228">
        <v>-10</v>
      </c>
      <c r="AF56" s="229">
        <v>1.5E-3</v>
      </c>
      <c r="AG56" s="228">
        <v>109</v>
      </c>
      <c r="AH56" s="228">
        <v>110</v>
      </c>
      <c r="AI56" s="228">
        <v>-1</v>
      </c>
      <c r="AJ56" s="229">
        <v>7.0000000000000001E-3</v>
      </c>
      <c r="AK56" s="228">
        <v>213</v>
      </c>
      <c r="AL56" s="228">
        <v>207</v>
      </c>
      <c r="AM56" s="228">
        <v>6</v>
      </c>
      <c r="AN56" s="229">
        <v>1.37E-2</v>
      </c>
      <c r="AO56" s="231">
        <v>15529.54</v>
      </c>
      <c r="AP56" s="231">
        <v>15612.52</v>
      </c>
      <c r="AQ56" s="228">
        <v>0</v>
      </c>
      <c r="AR56" s="230">
        <v>1076750</v>
      </c>
      <c r="AS56" s="230">
        <v>1301700</v>
      </c>
      <c r="AT56" s="230">
        <v>-224950</v>
      </c>
      <c r="AU56" s="229">
        <v>-0.17280000000000001</v>
      </c>
      <c r="AV56" s="230">
        <v>498000</v>
      </c>
      <c r="AW56" s="230">
        <v>665400</v>
      </c>
      <c r="AX56" s="230">
        <v>-167400</v>
      </c>
      <c r="AY56" s="229">
        <v>-0.25159999999999999</v>
      </c>
      <c r="AZ56" s="230">
        <v>560850</v>
      </c>
      <c r="BA56" s="230">
        <v>620100</v>
      </c>
      <c r="BB56" s="230">
        <v>-59250</v>
      </c>
      <c r="BC56" s="229">
        <v>-9.5500000000000002E-2</v>
      </c>
      <c r="BD56" s="230">
        <v>17900</v>
      </c>
      <c r="BE56" s="230">
        <v>16200</v>
      </c>
      <c r="BF56" s="230">
        <v>1700</v>
      </c>
      <c r="BG56" s="229">
        <v>0.10489999999999999</v>
      </c>
      <c r="BH56" s="230">
        <v>6554750</v>
      </c>
      <c r="BI56" s="230">
        <v>7455550</v>
      </c>
      <c r="BJ56" s="230">
        <v>-900800</v>
      </c>
      <c r="BK56" s="229">
        <v>-0.1208</v>
      </c>
      <c r="BL56" s="230">
        <v>3073700</v>
      </c>
      <c r="BM56" s="230">
        <v>4735900</v>
      </c>
      <c r="BN56" s="230">
        <v>-1662200</v>
      </c>
      <c r="BO56" s="229">
        <v>-0.35099999999999998</v>
      </c>
      <c r="BP56" s="230">
        <v>10705200</v>
      </c>
      <c r="BQ56" s="230">
        <v>13493150</v>
      </c>
      <c r="BR56" s="230">
        <v>-2787950</v>
      </c>
      <c r="BS56" s="229">
        <v>-0.20660000000000001</v>
      </c>
      <c r="BT56" s="230">
        <v>310609</v>
      </c>
      <c r="BU56" s="230">
        <v>451775</v>
      </c>
      <c r="BV56" s="230">
        <v>-141166</v>
      </c>
      <c r="BW56" s="229">
        <v>-0.3125</v>
      </c>
      <c r="BX56" s="230">
        <v>1980050</v>
      </c>
      <c r="BY56" s="230">
        <v>1946300</v>
      </c>
      <c r="BZ56" s="230">
        <v>33750</v>
      </c>
      <c r="CA56" s="229">
        <v>1.7299999999999999E-2</v>
      </c>
      <c r="CB56" s="230">
        <v>450550</v>
      </c>
      <c r="CC56" s="230">
        <v>765100</v>
      </c>
      <c r="CD56" s="230">
        <v>-314550</v>
      </c>
      <c r="CE56" s="229">
        <v>-0.41110000000000002</v>
      </c>
      <c r="CF56" s="230">
        <v>1474200</v>
      </c>
      <c r="CG56" s="230">
        <v>1133850</v>
      </c>
      <c r="CH56" s="230">
        <v>340350</v>
      </c>
      <c r="CI56" s="229">
        <v>0.30020000000000002</v>
      </c>
      <c r="CJ56" s="230">
        <v>55300</v>
      </c>
      <c r="CK56" s="230">
        <v>47350</v>
      </c>
      <c r="CL56" s="230">
        <v>7950</v>
      </c>
      <c r="CM56" s="229">
        <v>0.16789999999999999</v>
      </c>
      <c r="CN56" s="230">
        <v>2752450</v>
      </c>
      <c r="CO56" s="230">
        <v>3143050</v>
      </c>
      <c r="CP56" s="230">
        <v>-390600</v>
      </c>
      <c r="CQ56" s="229">
        <v>-0.12429999999999999</v>
      </c>
      <c r="CR56" s="230">
        <v>1153100</v>
      </c>
      <c r="CS56" s="230">
        <v>1263400</v>
      </c>
      <c r="CT56" s="230">
        <v>-110300</v>
      </c>
      <c r="CU56" s="229">
        <v>-8.7300000000000003E-2</v>
      </c>
      <c r="CV56" s="230">
        <v>5885600</v>
      </c>
      <c r="CW56" s="230">
        <v>6352750</v>
      </c>
      <c r="CX56" s="230">
        <v>-467150</v>
      </c>
      <c r="CY56" s="229">
        <v>-7.3499999999999996E-2</v>
      </c>
      <c r="CZ56" s="228">
        <v>31.83</v>
      </c>
      <c r="DA56" s="228">
        <v>31.77</v>
      </c>
      <c r="DB56" s="228">
        <v>0.06</v>
      </c>
      <c r="DC56" s="228">
        <v>0.06</v>
      </c>
      <c r="DD56" s="228">
        <v>44.96</v>
      </c>
      <c r="DE56" s="228">
        <v>45.07</v>
      </c>
      <c r="DF56" s="228">
        <v>-13.13</v>
      </c>
      <c r="DG56" s="228">
        <v>-0.11</v>
      </c>
      <c r="DH56" s="228">
        <v>32.01</v>
      </c>
      <c r="DI56" s="228">
        <v>31.96</v>
      </c>
      <c r="DJ56" s="228">
        <v>0.05</v>
      </c>
      <c r="DK56" s="228">
        <v>0.05</v>
      </c>
      <c r="DL56" s="228">
        <v>31.38</v>
      </c>
      <c r="DM56" s="228">
        <v>31.34</v>
      </c>
      <c r="DN56" s="228">
        <v>0.04</v>
      </c>
      <c r="DO56" s="228">
        <v>0.04</v>
      </c>
      <c r="DP56" s="228">
        <v>0.42</v>
      </c>
      <c r="DQ56" s="228">
        <v>0.4</v>
      </c>
      <c r="DR56" s="228">
        <v>0.02</v>
      </c>
      <c r="DS56" s="229">
        <v>0.05</v>
      </c>
      <c r="DT56" s="231">
        <v>17000</v>
      </c>
      <c r="DU56" s="231">
        <v>15000</v>
      </c>
      <c r="DV56" s="228">
        <v>0.47</v>
      </c>
      <c r="DW56" s="228">
        <v>0.64</v>
      </c>
      <c r="DX56" s="228">
        <v>-0.17</v>
      </c>
      <c r="DY56" s="229">
        <v>-0.2656</v>
      </c>
      <c r="DZ56" s="229">
        <v>0.77249999999999996</v>
      </c>
      <c r="EA56" s="230">
        <v>1181200</v>
      </c>
      <c r="EB56" s="229">
        <v>5.4999999999999997E-3</v>
      </c>
      <c r="EC56" s="229">
        <v>0.77249999999999996</v>
      </c>
      <c r="ED56" s="228">
        <v>82.98</v>
      </c>
      <c r="EE56" s="229">
        <v>5.3E-3</v>
      </c>
      <c r="EF56" s="230">
        <v>165407</v>
      </c>
      <c r="EG56" s="230">
        <v>256326</v>
      </c>
      <c r="EH56" s="229">
        <v>-0.35470000000000002</v>
      </c>
      <c r="EI56" s="229">
        <v>0.53249999999999997</v>
      </c>
      <c r="EJ56" s="231">
        <v>1086076.97</v>
      </c>
      <c r="EK56" s="231">
        <v>464074.35</v>
      </c>
      <c r="EL56" s="231">
        <v>167711.64000000001</v>
      </c>
      <c r="EM56" s="231">
        <v>21676</v>
      </c>
      <c r="EN56" s="231">
        <v>1717862.96</v>
      </c>
      <c r="EO56" s="231">
        <v>2170154.3199999998</v>
      </c>
      <c r="EP56" s="231">
        <v>-452291.36</v>
      </c>
      <c r="EQ56" s="229">
        <v>-0.2084</v>
      </c>
      <c r="ER56" s="231">
        <v>470689</v>
      </c>
      <c r="ES56" s="231">
        <v>179371</v>
      </c>
      <c r="ET56" s="231">
        <v>308835</v>
      </c>
      <c r="EU56" s="231">
        <v>6445442</v>
      </c>
      <c r="EV56" s="231">
        <v>958895</v>
      </c>
      <c r="EW56" s="231">
        <v>1038657</v>
      </c>
      <c r="EX56" s="231">
        <v>-79762</v>
      </c>
      <c r="EY56" s="229">
        <v>-7.6799999999999993E-2</v>
      </c>
      <c r="EZ56" s="229">
        <v>0.91310000000000002</v>
      </c>
      <c r="FA56" s="227" t="s">
        <v>555</v>
      </c>
      <c r="FB56" s="161">
        <f t="shared" si="0"/>
        <v>1529500</v>
      </c>
    </row>
    <row r="57" spans="1:158" ht="17.25" hidden="1" thickBot="1" x14ac:dyDescent="0.3">
      <c r="A57" s="226">
        <v>45957</v>
      </c>
      <c r="B57" s="227" t="s">
        <v>206</v>
      </c>
      <c r="C57" s="227" t="s">
        <v>207</v>
      </c>
      <c r="D57" s="228">
        <v>825</v>
      </c>
      <c r="E57" s="228">
        <v>778.95</v>
      </c>
      <c r="F57" s="228">
        <v>773.4</v>
      </c>
      <c r="G57" s="228">
        <v>5.55</v>
      </c>
      <c r="H57" s="229">
        <v>7.1999999999999998E-3</v>
      </c>
      <c r="I57" s="228">
        <v>779.5</v>
      </c>
      <c r="J57" s="228">
        <v>772.45</v>
      </c>
      <c r="K57" s="228">
        <v>7.05</v>
      </c>
      <c r="L57" s="229">
        <v>9.1000000000000004E-3</v>
      </c>
      <c r="M57" s="228">
        <v>778.95</v>
      </c>
      <c r="N57" s="228">
        <v>773.4</v>
      </c>
      <c r="O57" s="228">
        <v>5.55</v>
      </c>
      <c r="P57" s="229">
        <v>7.1999999999999998E-3</v>
      </c>
      <c r="Q57" s="228">
        <v>783.25</v>
      </c>
      <c r="R57" s="228">
        <v>777.65</v>
      </c>
      <c r="S57" s="228">
        <v>5.6</v>
      </c>
      <c r="T57" s="229">
        <v>7.1999999999999998E-3</v>
      </c>
      <c r="U57" s="228">
        <v>788.7</v>
      </c>
      <c r="V57" s="228">
        <v>783.8</v>
      </c>
      <c r="W57" s="228">
        <v>4.9000000000000004</v>
      </c>
      <c r="X57" s="229">
        <v>6.3E-3</v>
      </c>
      <c r="Y57" s="228">
        <v>-0.55000000000000004</v>
      </c>
      <c r="Z57" s="228">
        <v>0.95</v>
      </c>
      <c r="AA57" s="228">
        <v>-1.5</v>
      </c>
      <c r="AB57" s="229">
        <v>-6.9999999999999999E-4</v>
      </c>
      <c r="AC57" s="228">
        <v>-0.55000000000000004</v>
      </c>
      <c r="AD57" s="228">
        <v>0.95</v>
      </c>
      <c r="AE57" s="228">
        <v>-1.5</v>
      </c>
      <c r="AF57" s="229">
        <v>-6.9999999999999999E-4</v>
      </c>
      <c r="AG57" s="228">
        <v>3.75</v>
      </c>
      <c r="AH57" s="228">
        <v>5.2</v>
      </c>
      <c r="AI57" s="228">
        <v>-1.45</v>
      </c>
      <c r="AJ57" s="229">
        <v>4.7999999999999996E-3</v>
      </c>
      <c r="AK57" s="228">
        <v>9.1999999999999993</v>
      </c>
      <c r="AL57" s="228">
        <v>11.35</v>
      </c>
      <c r="AM57" s="228">
        <v>-2.15</v>
      </c>
      <c r="AN57" s="229">
        <v>1.18E-2</v>
      </c>
      <c r="AO57" s="228">
        <v>780.89</v>
      </c>
      <c r="AP57" s="228">
        <v>785.18</v>
      </c>
      <c r="AQ57" s="228">
        <v>0</v>
      </c>
      <c r="AR57" s="230">
        <v>26341425</v>
      </c>
      <c r="AS57" s="230">
        <v>24241800</v>
      </c>
      <c r="AT57" s="230">
        <v>2099625</v>
      </c>
      <c r="AU57" s="229">
        <v>8.6599999999999996E-2</v>
      </c>
      <c r="AV57" s="230">
        <v>12971475</v>
      </c>
      <c r="AW57" s="230">
        <v>12738825</v>
      </c>
      <c r="AX57" s="230">
        <v>232650</v>
      </c>
      <c r="AY57" s="229">
        <v>1.83E-2</v>
      </c>
      <c r="AZ57" s="230">
        <v>13182675</v>
      </c>
      <c r="BA57" s="230">
        <v>11427075</v>
      </c>
      <c r="BB57" s="230">
        <v>1755600</v>
      </c>
      <c r="BC57" s="229">
        <v>0.15359999999999999</v>
      </c>
      <c r="BD57" s="230">
        <v>187275</v>
      </c>
      <c r="BE57" s="230">
        <v>75900</v>
      </c>
      <c r="BF57" s="230">
        <v>111375</v>
      </c>
      <c r="BG57" s="229">
        <v>1.4674</v>
      </c>
      <c r="BH57" s="230">
        <v>26899125</v>
      </c>
      <c r="BI57" s="230">
        <v>14416050</v>
      </c>
      <c r="BJ57" s="230">
        <v>12483075</v>
      </c>
      <c r="BK57" s="229">
        <v>0.8659</v>
      </c>
      <c r="BL57" s="230">
        <v>16990875</v>
      </c>
      <c r="BM57" s="230">
        <v>9037875</v>
      </c>
      <c r="BN57" s="230">
        <v>7953000</v>
      </c>
      <c r="BO57" s="229">
        <v>0.88</v>
      </c>
      <c r="BP57" s="230">
        <v>70231425</v>
      </c>
      <c r="BQ57" s="230">
        <v>47695725</v>
      </c>
      <c r="BR57" s="230">
        <v>22535700</v>
      </c>
      <c r="BS57" s="229">
        <v>0.47249999999999998</v>
      </c>
      <c r="BT57" s="230">
        <v>1794058</v>
      </c>
      <c r="BU57" s="230">
        <v>1874993</v>
      </c>
      <c r="BV57" s="230">
        <v>-80935</v>
      </c>
      <c r="BW57" s="229">
        <v>-4.3200000000000002E-2</v>
      </c>
      <c r="BX57" s="230">
        <v>35995575</v>
      </c>
      <c r="BY57" s="230">
        <v>35470875</v>
      </c>
      <c r="BZ57" s="230">
        <v>524700</v>
      </c>
      <c r="CA57" s="229">
        <v>1.4800000000000001E-2</v>
      </c>
      <c r="CB57" s="230">
        <v>7472025</v>
      </c>
      <c r="CC57" s="230">
        <v>16726050</v>
      </c>
      <c r="CD57" s="230">
        <v>-9254025</v>
      </c>
      <c r="CE57" s="229">
        <v>-0.55330000000000001</v>
      </c>
      <c r="CF57" s="230">
        <v>28246350</v>
      </c>
      <c r="CG57" s="230">
        <v>18584775</v>
      </c>
      <c r="CH57" s="230">
        <v>9661575</v>
      </c>
      <c r="CI57" s="229">
        <v>0.51990000000000003</v>
      </c>
      <c r="CJ57" s="230">
        <v>277200</v>
      </c>
      <c r="CK57" s="230">
        <v>160050</v>
      </c>
      <c r="CL57" s="230">
        <v>117150</v>
      </c>
      <c r="CM57" s="229">
        <v>0.73199999999999998</v>
      </c>
      <c r="CN57" s="230">
        <v>12585375</v>
      </c>
      <c r="CO57" s="230">
        <v>12568875</v>
      </c>
      <c r="CP57" s="230">
        <v>16500</v>
      </c>
      <c r="CQ57" s="229">
        <v>1.2999999999999999E-3</v>
      </c>
      <c r="CR57" s="230">
        <v>10385925</v>
      </c>
      <c r="CS57" s="230">
        <v>10659825</v>
      </c>
      <c r="CT57" s="230">
        <v>-273900</v>
      </c>
      <c r="CU57" s="229">
        <v>-2.5700000000000001E-2</v>
      </c>
      <c r="CV57" s="230">
        <v>58966875</v>
      </c>
      <c r="CW57" s="230">
        <v>58699575</v>
      </c>
      <c r="CX57" s="230">
        <v>267300</v>
      </c>
      <c r="CY57" s="229">
        <v>4.5999999999999999E-3</v>
      </c>
      <c r="CZ57" s="228">
        <v>27.79</v>
      </c>
      <c r="DA57" s="228">
        <v>27.5</v>
      </c>
      <c r="DB57" s="228">
        <v>0.28999999999999998</v>
      </c>
      <c r="DC57" s="228">
        <v>0.28999999999999998</v>
      </c>
      <c r="DD57" s="228">
        <v>36.479999999999997</v>
      </c>
      <c r="DE57" s="228">
        <v>36.549999999999997</v>
      </c>
      <c r="DF57" s="228">
        <v>-8.69</v>
      </c>
      <c r="DG57" s="228">
        <v>-7.0000000000000007E-2</v>
      </c>
      <c r="DH57" s="228">
        <v>27.77</v>
      </c>
      <c r="DI57" s="228">
        <v>27.6</v>
      </c>
      <c r="DJ57" s="228">
        <v>0.17</v>
      </c>
      <c r="DK57" s="228">
        <v>0.17</v>
      </c>
      <c r="DL57" s="228">
        <v>27.82</v>
      </c>
      <c r="DM57" s="228">
        <v>27.4</v>
      </c>
      <c r="DN57" s="228">
        <v>0.42</v>
      </c>
      <c r="DO57" s="228">
        <v>0.42</v>
      </c>
      <c r="DP57" s="228">
        <v>0.83</v>
      </c>
      <c r="DQ57" s="228">
        <v>0.85</v>
      </c>
      <c r="DR57" s="228">
        <v>-0.02</v>
      </c>
      <c r="DS57" s="229">
        <v>-2.35E-2</v>
      </c>
      <c r="DT57" s="228">
        <v>800</v>
      </c>
      <c r="DU57" s="228">
        <v>720</v>
      </c>
      <c r="DV57" s="228">
        <v>0.63</v>
      </c>
      <c r="DW57" s="228">
        <v>0.63</v>
      </c>
      <c r="DX57" s="228">
        <v>0</v>
      </c>
      <c r="DY57" s="229">
        <v>0</v>
      </c>
      <c r="DZ57" s="229">
        <v>0.79239999999999999</v>
      </c>
      <c r="EA57" s="230">
        <v>18744825</v>
      </c>
      <c r="EB57" s="229">
        <v>5.4999999999999997E-3</v>
      </c>
      <c r="EC57" s="229">
        <v>0.79239999999999999</v>
      </c>
      <c r="ED57" s="228">
        <v>4.29</v>
      </c>
      <c r="EE57" s="229">
        <v>5.4999999999999997E-3</v>
      </c>
      <c r="EF57" s="230">
        <v>868870</v>
      </c>
      <c r="EG57" s="230">
        <v>982067</v>
      </c>
      <c r="EH57" s="229">
        <v>-0.1153</v>
      </c>
      <c r="EI57" s="229">
        <v>0.48430000000000001</v>
      </c>
      <c r="EJ57" s="231">
        <v>215472.48</v>
      </c>
      <c r="EK57" s="231">
        <v>131880.57</v>
      </c>
      <c r="EL57" s="231">
        <v>206280.43</v>
      </c>
      <c r="EM57" s="231">
        <v>14399</v>
      </c>
      <c r="EN57" s="231">
        <v>553633.48</v>
      </c>
      <c r="EO57" s="231">
        <v>372223.48</v>
      </c>
      <c r="EP57" s="231">
        <v>181410</v>
      </c>
      <c r="EQ57" s="229">
        <v>0.4874</v>
      </c>
      <c r="ER57" s="231">
        <v>99113</v>
      </c>
      <c r="ES57" s="231">
        <v>77823</v>
      </c>
      <c r="ET57" s="231">
        <v>281629</v>
      </c>
      <c r="EU57" s="231">
        <v>83667734</v>
      </c>
      <c r="EV57" s="231">
        <v>458565</v>
      </c>
      <c r="EW57" s="231">
        <v>452606</v>
      </c>
      <c r="EX57" s="231">
        <v>5959</v>
      </c>
      <c r="EY57" s="229">
        <v>1.32E-2</v>
      </c>
      <c r="EZ57" s="229">
        <v>0.70479999999999998</v>
      </c>
      <c r="FA57" s="227" t="s">
        <v>555</v>
      </c>
      <c r="FB57" s="161">
        <f t="shared" si="0"/>
        <v>28523550</v>
      </c>
    </row>
    <row r="58" spans="1:158" ht="17.25" hidden="1" thickBot="1" x14ac:dyDescent="0.3">
      <c r="A58" s="226">
        <v>45957</v>
      </c>
      <c r="B58" s="227" t="s">
        <v>615</v>
      </c>
      <c r="C58" s="227" t="s">
        <v>583</v>
      </c>
      <c r="D58" s="228">
        <v>150</v>
      </c>
      <c r="E58" s="231">
        <v>4269</v>
      </c>
      <c r="F58" s="231">
        <v>4226.7</v>
      </c>
      <c r="G58" s="228">
        <v>42.3</v>
      </c>
      <c r="H58" s="229">
        <v>0.01</v>
      </c>
      <c r="I58" s="231">
        <v>4257.8999999999996</v>
      </c>
      <c r="J58" s="231">
        <v>4213.8999999999996</v>
      </c>
      <c r="K58" s="228">
        <v>44</v>
      </c>
      <c r="L58" s="229">
        <v>1.04E-2</v>
      </c>
      <c r="M58" s="231">
        <v>4269</v>
      </c>
      <c r="N58" s="231">
        <v>4226.7</v>
      </c>
      <c r="O58" s="228">
        <v>42.3</v>
      </c>
      <c r="P58" s="229">
        <v>0.01</v>
      </c>
      <c r="Q58" s="231">
        <v>4237.1000000000004</v>
      </c>
      <c r="R58" s="231">
        <v>4170.6000000000004</v>
      </c>
      <c r="S58" s="228">
        <v>66.5</v>
      </c>
      <c r="T58" s="229">
        <v>1.5900000000000001E-2</v>
      </c>
      <c r="U58" s="231">
        <v>4214.8</v>
      </c>
      <c r="V58" s="231">
        <v>4147.2</v>
      </c>
      <c r="W58" s="228">
        <v>67.599999999999994</v>
      </c>
      <c r="X58" s="229">
        <v>1.6299999999999999E-2</v>
      </c>
      <c r="Y58" s="228">
        <v>11.1</v>
      </c>
      <c r="Z58" s="228">
        <v>12.8</v>
      </c>
      <c r="AA58" s="228">
        <v>-1.7</v>
      </c>
      <c r="AB58" s="229">
        <v>2.5999999999999999E-3</v>
      </c>
      <c r="AC58" s="228">
        <v>11.1</v>
      </c>
      <c r="AD58" s="228">
        <v>12.8</v>
      </c>
      <c r="AE58" s="228">
        <v>-1.7</v>
      </c>
      <c r="AF58" s="229">
        <v>2.5999999999999999E-3</v>
      </c>
      <c r="AG58" s="228">
        <v>-20.8</v>
      </c>
      <c r="AH58" s="228">
        <v>-43.3</v>
      </c>
      <c r="AI58" s="228">
        <v>22.5</v>
      </c>
      <c r="AJ58" s="229">
        <v>-4.8999999999999998E-3</v>
      </c>
      <c r="AK58" s="228">
        <v>-43.1</v>
      </c>
      <c r="AL58" s="228">
        <v>-66.7</v>
      </c>
      <c r="AM58" s="228">
        <v>23.6</v>
      </c>
      <c r="AN58" s="229">
        <v>-1.01E-2</v>
      </c>
      <c r="AO58" s="231">
        <v>4256.3100000000004</v>
      </c>
      <c r="AP58" s="231">
        <v>4208</v>
      </c>
      <c r="AQ58" s="228">
        <v>0</v>
      </c>
      <c r="AR58" s="230">
        <v>4926600</v>
      </c>
      <c r="AS58" s="230">
        <v>5567850</v>
      </c>
      <c r="AT58" s="230">
        <v>-641250</v>
      </c>
      <c r="AU58" s="229">
        <v>-0.1152</v>
      </c>
      <c r="AV58" s="230">
        <v>2411550</v>
      </c>
      <c r="AW58" s="230">
        <v>2766450</v>
      </c>
      <c r="AX58" s="230">
        <v>-354900</v>
      </c>
      <c r="AY58" s="229">
        <v>-0.1283</v>
      </c>
      <c r="AZ58" s="230">
        <v>2490000</v>
      </c>
      <c r="BA58" s="230">
        <v>2770350</v>
      </c>
      <c r="BB58" s="230">
        <v>-280350</v>
      </c>
      <c r="BC58" s="229">
        <v>-0.1012</v>
      </c>
      <c r="BD58" s="230">
        <v>25050</v>
      </c>
      <c r="BE58" s="230">
        <v>31050</v>
      </c>
      <c r="BF58" s="230">
        <v>-6000</v>
      </c>
      <c r="BG58" s="229">
        <v>-0.19320000000000001</v>
      </c>
      <c r="BH58" s="230">
        <v>4092150</v>
      </c>
      <c r="BI58" s="230">
        <v>4316550</v>
      </c>
      <c r="BJ58" s="230">
        <v>-224400</v>
      </c>
      <c r="BK58" s="229">
        <v>-5.1999999999999998E-2</v>
      </c>
      <c r="BL58" s="230">
        <v>1455300</v>
      </c>
      <c r="BM58" s="230">
        <v>1301250</v>
      </c>
      <c r="BN58" s="230">
        <v>154050</v>
      </c>
      <c r="BO58" s="229">
        <v>0.11840000000000001</v>
      </c>
      <c r="BP58" s="230">
        <v>10474050</v>
      </c>
      <c r="BQ58" s="230">
        <v>11185650</v>
      </c>
      <c r="BR58" s="230">
        <v>-711600</v>
      </c>
      <c r="BS58" s="229">
        <v>-6.3600000000000004E-2</v>
      </c>
      <c r="BT58" s="230">
        <v>295998</v>
      </c>
      <c r="BU58" s="230">
        <v>255282</v>
      </c>
      <c r="BV58" s="230">
        <v>40716</v>
      </c>
      <c r="BW58" s="229">
        <v>0.1595</v>
      </c>
      <c r="BX58" s="230">
        <v>6685800</v>
      </c>
      <c r="BY58" s="230">
        <v>6840150</v>
      </c>
      <c r="BZ58" s="230">
        <v>-154350</v>
      </c>
      <c r="CA58" s="229">
        <v>-2.2599999999999999E-2</v>
      </c>
      <c r="CB58" s="230">
        <v>859800</v>
      </c>
      <c r="CC58" s="230">
        <v>2422500</v>
      </c>
      <c r="CD58" s="230">
        <v>-1562700</v>
      </c>
      <c r="CE58" s="229">
        <v>-0.64510000000000001</v>
      </c>
      <c r="CF58" s="230">
        <v>5750250</v>
      </c>
      <c r="CG58" s="230">
        <v>4339950</v>
      </c>
      <c r="CH58" s="230">
        <v>1410300</v>
      </c>
      <c r="CI58" s="229">
        <v>0.32500000000000001</v>
      </c>
      <c r="CJ58" s="230">
        <v>75750</v>
      </c>
      <c r="CK58" s="230">
        <v>77700</v>
      </c>
      <c r="CL58" s="230">
        <v>-1950</v>
      </c>
      <c r="CM58" s="229">
        <v>-2.5100000000000001E-2</v>
      </c>
      <c r="CN58" s="230">
        <v>2725650</v>
      </c>
      <c r="CO58" s="230">
        <v>3294900</v>
      </c>
      <c r="CP58" s="230">
        <v>-569250</v>
      </c>
      <c r="CQ58" s="229">
        <v>-0.17280000000000001</v>
      </c>
      <c r="CR58" s="230">
        <v>1102800</v>
      </c>
      <c r="CS58" s="230">
        <v>1231500</v>
      </c>
      <c r="CT58" s="230">
        <v>-128700</v>
      </c>
      <c r="CU58" s="229">
        <v>-0.1045</v>
      </c>
      <c r="CV58" s="230">
        <v>10514250</v>
      </c>
      <c r="CW58" s="230">
        <v>11366550</v>
      </c>
      <c r="CX58" s="230">
        <v>-852300</v>
      </c>
      <c r="CY58" s="229">
        <v>-7.4999999999999997E-2</v>
      </c>
      <c r="CZ58" s="228">
        <v>24.19</v>
      </c>
      <c r="DA58" s="228">
        <v>25.1</v>
      </c>
      <c r="DB58" s="228">
        <v>-0.91</v>
      </c>
      <c r="DC58" s="228">
        <v>-0.91</v>
      </c>
      <c r="DD58" s="228">
        <v>32.44</v>
      </c>
      <c r="DE58" s="228">
        <v>32.49</v>
      </c>
      <c r="DF58" s="228">
        <v>-8.25</v>
      </c>
      <c r="DG58" s="228">
        <v>-0.05</v>
      </c>
      <c r="DH58" s="228">
        <v>24.49</v>
      </c>
      <c r="DI58" s="228">
        <v>25.42</v>
      </c>
      <c r="DJ58" s="228">
        <v>-0.93</v>
      </c>
      <c r="DK58" s="228">
        <v>-0.93</v>
      </c>
      <c r="DL58" s="228">
        <v>23.49</v>
      </c>
      <c r="DM58" s="228">
        <v>24.34</v>
      </c>
      <c r="DN58" s="228">
        <v>-0.85</v>
      </c>
      <c r="DO58" s="228">
        <v>-0.85</v>
      </c>
      <c r="DP58" s="228">
        <v>0.4</v>
      </c>
      <c r="DQ58" s="228">
        <v>0.37</v>
      </c>
      <c r="DR58" s="228">
        <v>0.03</v>
      </c>
      <c r="DS58" s="229">
        <v>8.1100000000000005E-2</v>
      </c>
      <c r="DT58" s="231">
        <v>4400</v>
      </c>
      <c r="DU58" s="231">
        <v>4200</v>
      </c>
      <c r="DV58" s="228">
        <v>0.36</v>
      </c>
      <c r="DW58" s="228">
        <v>0.3</v>
      </c>
      <c r="DX58" s="228">
        <v>0.06</v>
      </c>
      <c r="DY58" s="229">
        <v>0.2</v>
      </c>
      <c r="DZ58" s="229">
        <v>0.87139999999999995</v>
      </c>
      <c r="EA58" s="230">
        <v>4417650</v>
      </c>
      <c r="EB58" s="229">
        <v>-7.4999999999999997E-3</v>
      </c>
      <c r="EC58" s="229">
        <v>0.87139999999999995</v>
      </c>
      <c r="ED58" s="228">
        <v>-48.31</v>
      </c>
      <c r="EE58" s="229">
        <v>-1.14E-2</v>
      </c>
      <c r="EF58" s="230">
        <v>170154</v>
      </c>
      <c r="EG58" s="230">
        <v>141502</v>
      </c>
      <c r="EH58" s="229">
        <v>0.20250000000000001</v>
      </c>
      <c r="EI58" s="229">
        <v>0.57479999999999998</v>
      </c>
      <c r="EJ58" s="231">
        <v>182384.54</v>
      </c>
      <c r="EK58" s="231">
        <v>61435.61</v>
      </c>
      <c r="EL58" s="231">
        <v>208471.5</v>
      </c>
      <c r="EM58" s="231">
        <v>19103</v>
      </c>
      <c r="EN58" s="231">
        <v>452291.65</v>
      </c>
      <c r="EO58" s="231">
        <v>481218.27</v>
      </c>
      <c r="EP58" s="231">
        <v>-28926.62</v>
      </c>
      <c r="EQ58" s="229">
        <v>-6.0100000000000001E-2</v>
      </c>
      <c r="ER58" s="231">
        <v>123455</v>
      </c>
      <c r="ES58" s="231">
        <v>45934</v>
      </c>
      <c r="ET58" s="231">
        <v>283541</v>
      </c>
      <c r="EU58" s="231">
        <v>22136392</v>
      </c>
      <c r="EV58" s="231">
        <v>452931</v>
      </c>
      <c r="EW58" s="231">
        <v>487065</v>
      </c>
      <c r="EX58" s="231">
        <v>-34134</v>
      </c>
      <c r="EY58" s="229">
        <v>-7.0099999999999996E-2</v>
      </c>
      <c r="EZ58" s="229">
        <v>0.47499999999999998</v>
      </c>
      <c r="FA58" s="227" t="s">
        <v>556</v>
      </c>
      <c r="FB58" s="161">
        <f t="shared" si="0"/>
        <v>5826000</v>
      </c>
    </row>
    <row r="59" spans="1:158" ht="17.25" hidden="1" thickBot="1" x14ac:dyDescent="0.3">
      <c r="A59" s="226">
        <v>45957</v>
      </c>
      <c r="B59" s="227" t="s">
        <v>170</v>
      </c>
      <c r="C59" s="227" t="s">
        <v>208</v>
      </c>
      <c r="D59" s="228">
        <v>625</v>
      </c>
      <c r="E59" s="231">
        <v>1286.7</v>
      </c>
      <c r="F59" s="231">
        <v>1282.5</v>
      </c>
      <c r="G59" s="228">
        <v>4.2</v>
      </c>
      <c r="H59" s="229">
        <v>3.3E-3</v>
      </c>
      <c r="I59" s="231">
        <v>1284.3</v>
      </c>
      <c r="J59" s="231">
        <v>1283.5999999999999</v>
      </c>
      <c r="K59" s="228">
        <v>0.7</v>
      </c>
      <c r="L59" s="229">
        <v>5.0000000000000001E-4</v>
      </c>
      <c r="M59" s="231">
        <v>1286.7</v>
      </c>
      <c r="N59" s="231">
        <v>1282.5</v>
      </c>
      <c r="O59" s="228">
        <v>4.2</v>
      </c>
      <c r="P59" s="229">
        <v>3.3E-3</v>
      </c>
      <c r="Q59" s="231">
        <v>1291.5999999999999</v>
      </c>
      <c r="R59" s="231">
        <v>1287.5</v>
      </c>
      <c r="S59" s="228">
        <v>4.0999999999999996</v>
      </c>
      <c r="T59" s="229">
        <v>3.2000000000000002E-3</v>
      </c>
      <c r="U59" s="231">
        <v>1297</v>
      </c>
      <c r="V59" s="231">
        <v>1290.9000000000001</v>
      </c>
      <c r="W59" s="228">
        <v>6.1</v>
      </c>
      <c r="X59" s="229">
        <v>4.7000000000000002E-3</v>
      </c>
      <c r="Y59" s="228">
        <v>2.4</v>
      </c>
      <c r="Z59" s="228">
        <v>-1.1000000000000001</v>
      </c>
      <c r="AA59" s="228">
        <v>3.5</v>
      </c>
      <c r="AB59" s="229">
        <v>1.9E-3</v>
      </c>
      <c r="AC59" s="228">
        <v>2.4</v>
      </c>
      <c r="AD59" s="228">
        <v>-1.1000000000000001</v>
      </c>
      <c r="AE59" s="228">
        <v>3.5</v>
      </c>
      <c r="AF59" s="229">
        <v>1.9E-3</v>
      </c>
      <c r="AG59" s="228">
        <v>7.3</v>
      </c>
      <c r="AH59" s="228">
        <v>3.9</v>
      </c>
      <c r="AI59" s="228">
        <v>3.4</v>
      </c>
      <c r="AJ59" s="229">
        <v>5.7000000000000002E-3</v>
      </c>
      <c r="AK59" s="228">
        <v>12.7</v>
      </c>
      <c r="AL59" s="228">
        <v>7.3</v>
      </c>
      <c r="AM59" s="228">
        <v>5.4</v>
      </c>
      <c r="AN59" s="229">
        <v>9.9000000000000008E-3</v>
      </c>
      <c r="AO59" s="231">
        <v>1286.94</v>
      </c>
      <c r="AP59" s="231">
        <v>1290.6400000000001</v>
      </c>
      <c r="AQ59" s="228">
        <v>0</v>
      </c>
      <c r="AR59" s="230">
        <v>12376875</v>
      </c>
      <c r="AS59" s="230">
        <v>10246875</v>
      </c>
      <c r="AT59" s="230">
        <v>2130000</v>
      </c>
      <c r="AU59" s="229">
        <v>0.2079</v>
      </c>
      <c r="AV59" s="230">
        <v>5624375</v>
      </c>
      <c r="AW59" s="230">
        <v>5290625</v>
      </c>
      <c r="AX59" s="230">
        <v>333750</v>
      </c>
      <c r="AY59" s="229">
        <v>6.3100000000000003E-2</v>
      </c>
      <c r="AZ59" s="230">
        <v>6706250</v>
      </c>
      <c r="BA59" s="230">
        <v>4935625</v>
      </c>
      <c r="BB59" s="230">
        <v>1770625</v>
      </c>
      <c r="BC59" s="229">
        <v>0.35870000000000002</v>
      </c>
      <c r="BD59" s="230">
        <v>46250</v>
      </c>
      <c r="BE59" s="230">
        <v>20625</v>
      </c>
      <c r="BF59" s="230">
        <v>25625</v>
      </c>
      <c r="BG59" s="229">
        <v>1.2423999999999999</v>
      </c>
      <c r="BH59" s="230">
        <v>23886250</v>
      </c>
      <c r="BI59" s="230">
        <v>15947500</v>
      </c>
      <c r="BJ59" s="230">
        <v>7938750</v>
      </c>
      <c r="BK59" s="229">
        <v>0.49780000000000002</v>
      </c>
      <c r="BL59" s="230">
        <v>14015625</v>
      </c>
      <c r="BM59" s="230">
        <v>8451250</v>
      </c>
      <c r="BN59" s="230">
        <v>5564375</v>
      </c>
      <c r="BO59" s="229">
        <v>0.65839999999999999</v>
      </c>
      <c r="BP59" s="230">
        <v>50278750</v>
      </c>
      <c r="BQ59" s="230">
        <v>34645625</v>
      </c>
      <c r="BR59" s="230">
        <v>15633125</v>
      </c>
      <c r="BS59" s="229">
        <v>0.45119999999999999</v>
      </c>
      <c r="BT59" s="230">
        <v>2050621</v>
      </c>
      <c r="BU59" s="230">
        <v>1215787</v>
      </c>
      <c r="BV59" s="230">
        <v>834834</v>
      </c>
      <c r="BW59" s="229">
        <v>0.68669999999999998</v>
      </c>
      <c r="BX59" s="230">
        <v>13928125</v>
      </c>
      <c r="BY59" s="230">
        <v>13855000</v>
      </c>
      <c r="BZ59" s="230">
        <v>73125</v>
      </c>
      <c r="CA59" s="229">
        <v>5.3E-3</v>
      </c>
      <c r="CB59" s="230">
        <v>2551250</v>
      </c>
      <c r="CC59" s="230">
        <v>5891250</v>
      </c>
      <c r="CD59" s="230">
        <v>-3340000</v>
      </c>
      <c r="CE59" s="229">
        <v>-0.56689999999999996</v>
      </c>
      <c r="CF59" s="230">
        <v>11311250</v>
      </c>
      <c r="CG59" s="230">
        <v>7906875</v>
      </c>
      <c r="CH59" s="230">
        <v>3404375</v>
      </c>
      <c r="CI59" s="229">
        <v>0.43059999999999998</v>
      </c>
      <c r="CJ59" s="230">
        <v>65625</v>
      </c>
      <c r="CK59" s="230">
        <v>56875</v>
      </c>
      <c r="CL59" s="230">
        <v>8750</v>
      </c>
      <c r="CM59" s="229">
        <v>0.15379999999999999</v>
      </c>
      <c r="CN59" s="230">
        <v>8733125</v>
      </c>
      <c r="CO59" s="230">
        <v>9162500</v>
      </c>
      <c r="CP59" s="230">
        <v>-429375</v>
      </c>
      <c r="CQ59" s="229">
        <v>-4.6899999999999997E-2</v>
      </c>
      <c r="CR59" s="230">
        <v>5075000</v>
      </c>
      <c r="CS59" s="230">
        <v>5321875</v>
      </c>
      <c r="CT59" s="230">
        <v>-246875</v>
      </c>
      <c r="CU59" s="229">
        <v>-4.6399999999999997E-2</v>
      </c>
      <c r="CV59" s="230">
        <v>27736250</v>
      </c>
      <c r="CW59" s="230">
        <v>28339375</v>
      </c>
      <c r="CX59" s="230">
        <v>-603125</v>
      </c>
      <c r="CY59" s="229">
        <v>-2.1299999999999999E-2</v>
      </c>
      <c r="CZ59" s="228">
        <v>20.91</v>
      </c>
      <c r="DA59" s="228">
        <v>24.44</v>
      </c>
      <c r="DB59" s="228">
        <v>-3.53</v>
      </c>
      <c r="DC59" s="228">
        <v>-3.53</v>
      </c>
      <c r="DD59" s="228">
        <v>24.64</v>
      </c>
      <c r="DE59" s="228">
        <v>24.71</v>
      </c>
      <c r="DF59" s="228">
        <v>-3.73</v>
      </c>
      <c r="DG59" s="228">
        <v>-7.0000000000000007E-2</v>
      </c>
      <c r="DH59" s="228">
        <v>20.95</v>
      </c>
      <c r="DI59" s="228">
        <v>24.49</v>
      </c>
      <c r="DJ59" s="228">
        <v>-3.54</v>
      </c>
      <c r="DK59" s="228">
        <v>-3.54</v>
      </c>
      <c r="DL59" s="228">
        <v>20.85</v>
      </c>
      <c r="DM59" s="228">
        <v>24.34</v>
      </c>
      <c r="DN59" s="228">
        <v>-3.49</v>
      </c>
      <c r="DO59" s="228">
        <v>-3.49</v>
      </c>
      <c r="DP59" s="228">
        <v>0.57999999999999996</v>
      </c>
      <c r="DQ59" s="228">
        <v>0.57999999999999996</v>
      </c>
      <c r="DR59" s="228">
        <v>0</v>
      </c>
      <c r="DS59" s="229">
        <v>0</v>
      </c>
      <c r="DT59" s="231">
        <v>1300</v>
      </c>
      <c r="DU59" s="231">
        <v>1280</v>
      </c>
      <c r="DV59" s="228">
        <v>0.59</v>
      </c>
      <c r="DW59" s="228">
        <v>0.53</v>
      </c>
      <c r="DX59" s="228">
        <v>0.06</v>
      </c>
      <c r="DY59" s="229">
        <v>0.1132</v>
      </c>
      <c r="DZ59" s="229">
        <v>0.81679999999999997</v>
      </c>
      <c r="EA59" s="230">
        <v>7963750</v>
      </c>
      <c r="EB59" s="229">
        <v>3.8E-3</v>
      </c>
      <c r="EC59" s="229">
        <v>0.81679999999999997</v>
      </c>
      <c r="ED59" s="228">
        <v>3.7</v>
      </c>
      <c r="EE59" s="229">
        <v>2.8999999999999998E-3</v>
      </c>
      <c r="EF59" s="230">
        <v>998307</v>
      </c>
      <c r="EG59" s="230">
        <v>621499</v>
      </c>
      <c r="EH59" s="229">
        <v>0.60629999999999995</v>
      </c>
      <c r="EI59" s="229">
        <v>0.48680000000000001</v>
      </c>
      <c r="EJ59" s="231">
        <v>314708.09000000003</v>
      </c>
      <c r="EK59" s="231">
        <v>177874.35</v>
      </c>
      <c r="EL59" s="231">
        <v>159534.6</v>
      </c>
      <c r="EM59" s="231">
        <v>10107</v>
      </c>
      <c r="EN59" s="231">
        <v>652117.04</v>
      </c>
      <c r="EO59" s="231">
        <v>449303.23</v>
      </c>
      <c r="EP59" s="231">
        <v>202813.81</v>
      </c>
      <c r="EQ59" s="229">
        <v>0.45140000000000002</v>
      </c>
      <c r="ER59" s="231">
        <v>114969</v>
      </c>
      <c r="ES59" s="231">
        <v>62812</v>
      </c>
      <c r="ET59" s="231">
        <v>179774</v>
      </c>
      <c r="EU59" s="231">
        <v>61006521</v>
      </c>
      <c r="EV59" s="231">
        <v>357555</v>
      </c>
      <c r="EW59" s="231">
        <v>364036</v>
      </c>
      <c r="EX59" s="231">
        <v>-6481</v>
      </c>
      <c r="EY59" s="229">
        <v>-1.78E-2</v>
      </c>
      <c r="EZ59" s="229">
        <v>0.4546</v>
      </c>
      <c r="FA59" s="227" t="s">
        <v>555</v>
      </c>
      <c r="FB59" s="161">
        <f t="shared" si="0"/>
        <v>11376875</v>
      </c>
    </row>
    <row r="60" spans="1:158" ht="17.25" hidden="1" thickBot="1" x14ac:dyDescent="0.3">
      <c r="A60" s="226">
        <v>45957</v>
      </c>
      <c r="B60" s="227" t="s">
        <v>162</v>
      </c>
      <c r="C60" s="227" t="s">
        <v>209</v>
      </c>
      <c r="D60" s="228">
        <v>175</v>
      </c>
      <c r="E60" s="231">
        <v>6911.5</v>
      </c>
      <c r="F60" s="231">
        <v>6846.5</v>
      </c>
      <c r="G60" s="228">
        <v>65</v>
      </c>
      <c r="H60" s="229">
        <v>9.4999999999999998E-3</v>
      </c>
      <c r="I60" s="231">
        <v>6906.5</v>
      </c>
      <c r="J60" s="231">
        <v>6840</v>
      </c>
      <c r="K60" s="228">
        <v>66.5</v>
      </c>
      <c r="L60" s="229">
        <v>9.7000000000000003E-3</v>
      </c>
      <c r="M60" s="231">
        <v>6911.5</v>
      </c>
      <c r="N60" s="231">
        <v>6846.5</v>
      </c>
      <c r="O60" s="228">
        <v>65</v>
      </c>
      <c r="P60" s="229">
        <v>9.4999999999999998E-3</v>
      </c>
      <c r="Q60" s="231">
        <v>6950</v>
      </c>
      <c r="R60" s="231">
        <v>6889</v>
      </c>
      <c r="S60" s="228">
        <v>61</v>
      </c>
      <c r="T60" s="229">
        <v>8.8999999999999999E-3</v>
      </c>
      <c r="U60" s="231">
        <v>6998.5</v>
      </c>
      <c r="V60" s="231">
        <v>6932.5</v>
      </c>
      <c r="W60" s="228">
        <v>66</v>
      </c>
      <c r="X60" s="229">
        <v>9.4999999999999998E-3</v>
      </c>
      <c r="Y60" s="228">
        <v>5</v>
      </c>
      <c r="Z60" s="228">
        <v>6.5</v>
      </c>
      <c r="AA60" s="228">
        <v>-1.5</v>
      </c>
      <c r="AB60" s="229">
        <v>6.9999999999999999E-4</v>
      </c>
      <c r="AC60" s="228">
        <v>5</v>
      </c>
      <c r="AD60" s="228">
        <v>6.5</v>
      </c>
      <c r="AE60" s="228">
        <v>-1.5</v>
      </c>
      <c r="AF60" s="229">
        <v>6.9999999999999999E-4</v>
      </c>
      <c r="AG60" s="228">
        <v>43.5</v>
      </c>
      <c r="AH60" s="228">
        <v>49</v>
      </c>
      <c r="AI60" s="228">
        <v>-5.5</v>
      </c>
      <c r="AJ60" s="229">
        <v>6.3E-3</v>
      </c>
      <c r="AK60" s="228">
        <v>92</v>
      </c>
      <c r="AL60" s="228">
        <v>92.5</v>
      </c>
      <c r="AM60" s="228">
        <v>-0.5</v>
      </c>
      <c r="AN60" s="229">
        <v>1.3299999999999999E-2</v>
      </c>
      <c r="AO60" s="231">
        <v>6888.05</v>
      </c>
      <c r="AP60" s="231">
        <v>6928.96</v>
      </c>
      <c r="AQ60" s="228">
        <v>0</v>
      </c>
      <c r="AR60" s="230">
        <v>2895900</v>
      </c>
      <c r="AS60" s="230">
        <v>2316650</v>
      </c>
      <c r="AT60" s="230">
        <v>579250</v>
      </c>
      <c r="AU60" s="229">
        <v>0.25</v>
      </c>
      <c r="AV60" s="230">
        <v>1388100</v>
      </c>
      <c r="AW60" s="230">
        <v>1130850</v>
      </c>
      <c r="AX60" s="230">
        <v>257250</v>
      </c>
      <c r="AY60" s="229">
        <v>0.22750000000000001</v>
      </c>
      <c r="AZ60" s="230">
        <v>1499050</v>
      </c>
      <c r="BA60" s="230">
        <v>1176700</v>
      </c>
      <c r="BB60" s="230">
        <v>322350</v>
      </c>
      <c r="BC60" s="229">
        <v>0.27389999999999998</v>
      </c>
      <c r="BD60" s="230">
        <v>8750</v>
      </c>
      <c r="BE60" s="230">
        <v>9100</v>
      </c>
      <c r="BF60" s="228">
        <v>-350</v>
      </c>
      <c r="BG60" s="229">
        <v>-3.85E-2</v>
      </c>
      <c r="BH60" s="230">
        <v>2286725</v>
      </c>
      <c r="BI60" s="230">
        <v>3599750</v>
      </c>
      <c r="BJ60" s="230">
        <v>-1313025</v>
      </c>
      <c r="BK60" s="229">
        <v>-0.36480000000000001</v>
      </c>
      <c r="BL60" s="230">
        <v>1029000</v>
      </c>
      <c r="BM60" s="230">
        <v>2477125</v>
      </c>
      <c r="BN60" s="230">
        <v>-1448125</v>
      </c>
      <c r="BO60" s="229">
        <v>-0.58460000000000001</v>
      </c>
      <c r="BP60" s="230">
        <v>6211625</v>
      </c>
      <c r="BQ60" s="230">
        <v>8393525</v>
      </c>
      <c r="BR60" s="230">
        <v>-2181900</v>
      </c>
      <c r="BS60" s="229">
        <v>-0.26</v>
      </c>
      <c r="BT60" s="230">
        <v>231646</v>
      </c>
      <c r="BU60" s="230">
        <v>302682</v>
      </c>
      <c r="BV60" s="230">
        <v>-71036</v>
      </c>
      <c r="BW60" s="229">
        <v>-0.23469999999999999</v>
      </c>
      <c r="BX60" s="230">
        <v>3682700</v>
      </c>
      <c r="BY60" s="230">
        <v>3602200</v>
      </c>
      <c r="BZ60" s="230">
        <v>80500</v>
      </c>
      <c r="CA60" s="229">
        <v>2.23E-2</v>
      </c>
      <c r="CB60" s="230">
        <v>623875</v>
      </c>
      <c r="CC60" s="230">
        <v>1751050</v>
      </c>
      <c r="CD60" s="230">
        <v>-1127175</v>
      </c>
      <c r="CE60" s="229">
        <v>-0.64370000000000005</v>
      </c>
      <c r="CF60" s="230">
        <v>3037300</v>
      </c>
      <c r="CG60" s="230">
        <v>1830500</v>
      </c>
      <c r="CH60" s="230">
        <v>1206800</v>
      </c>
      <c r="CI60" s="229">
        <v>0.6593</v>
      </c>
      <c r="CJ60" s="230">
        <v>21525</v>
      </c>
      <c r="CK60" s="230">
        <v>20650</v>
      </c>
      <c r="CL60" s="228">
        <v>875</v>
      </c>
      <c r="CM60" s="229">
        <v>4.24E-2</v>
      </c>
      <c r="CN60" s="230">
        <v>1676675</v>
      </c>
      <c r="CO60" s="230">
        <v>1990275</v>
      </c>
      <c r="CP60" s="230">
        <v>-313600</v>
      </c>
      <c r="CQ60" s="229">
        <v>-0.15759999999999999</v>
      </c>
      <c r="CR60" s="230">
        <v>1317925</v>
      </c>
      <c r="CS60" s="230">
        <v>1382325</v>
      </c>
      <c r="CT60" s="230">
        <v>-64400</v>
      </c>
      <c r="CU60" s="229">
        <v>-4.6600000000000003E-2</v>
      </c>
      <c r="CV60" s="230">
        <v>6677300</v>
      </c>
      <c r="CW60" s="230">
        <v>6974800</v>
      </c>
      <c r="CX60" s="230">
        <v>-297500</v>
      </c>
      <c r="CY60" s="229">
        <v>-4.2700000000000002E-2</v>
      </c>
      <c r="CZ60" s="228">
        <v>23.24</v>
      </c>
      <c r="DA60" s="228">
        <v>22.61</v>
      </c>
      <c r="DB60" s="228">
        <v>0.63</v>
      </c>
      <c r="DC60" s="228">
        <v>0.63</v>
      </c>
      <c r="DD60" s="228">
        <v>27.79</v>
      </c>
      <c r="DE60" s="228">
        <v>27.83</v>
      </c>
      <c r="DF60" s="228">
        <v>-4.55</v>
      </c>
      <c r="DG60" s="228">
        <v>-0.04</v>
      </c>
      <c r="DH60" s="228">
        <v>23.54</v>
      </c>
      <c r="DI60" s="228">
        <v>22.37</v>
      </c>
      <c r="DJ60" s="228">
        <v>1.17</v>
      </c>
      <c r="DK60" s="228">
        <v>1.17</v>
      </c>
      <c r="DL60" s="228">
        <v>22.64</v>
      </c>
      <c r="DM60" s="228">
        <v>22.81</v>
      </c>
      <c r="DN60" s="228">
        <v>-0.17</v>
      </c>
      <c r="DO60" s="228">
        <v>-0.17</v>
      </c>
      <c r="DP60" s="228">
        <v>0.79</v>
      </c>
      <c r="DQ60" s="228">
        <v>0.69</v>
      </c>
      <c r="DR60" s="228">
        <v>0.1</v>
      </c>
      <c r="DS60" s="229">
        <v>0.1449</v>
      </c>
      <c r="DT60" s="231">
        <v>7000</v>
      </c>
      <c r="DU60" s="231">
        <v>6200</v>
      </c>
      <c r="DV60" s="228">
        <v>0.45</v>
      </c>
      <c r="DW60" s="228">
        <v>0.69</v>
      </c>
      <c r="DX60" s="228">
        <v>-0.24</v>
      </c>
      <c r="DY60" s="229">
        <v>-0.3478</v>
      </c>
      <c r="DZ60" s="229">
        <v>0.8306</v>
      </c>
      <c r="EA60" s="230">
        <v>1851150</v>
      </c>
      <c r="EB60" s="229">
        <v>5.5999999999999999E-3</v>
      </c>
      <c r="EC60" s="229">
        <v>0.8306</v>
      </c>
      <c r="ED60" s="228">
        <v>40.909999999999997</v>
      </c>
      <c r="EE60" s="229">
        <v>5.8999999999999999E-3</v>
      </c>
      <c r="EF60" s="230">
        <v>149230</v>
      </c>
      <c r="EG60" s="230">
        <v>216406</v>
      </c>
      <c r="EH60" s="229">
        <v>-0.31040000000000001</v>
      </c>
      <c r="EI60" s="229">
        <v>0.64419999999999999</v>
      </c>
      <c r="EJ60" s="231">
        <v>163045.88</v>
      </c>
      <c r="EK60" s="231">
        <v>69569.62</v>
      </c>
      <c r="EL60" s="231">
        <v>200091.31</v>
      </c>
      <c r="EM60" s="231">
        <v>6744</v>
      </c>
      <c r="EN60" s="231">
        <v>432706.81</v>
      </c>
      <c r="EO60" s="231">
        <v>582327.49</v>
      </c>
      <c r="EP60" s="231">
        <v>-149620.68</v>
      </c>
      <c r="EQ60" s="229">
        <v>-0.25690000000000002</v>
      </c>
      <c r="ER60" s="231">
        <v>121280</v>
      </c>
      <c r="ES60" s="231">
        <v>86753</v>
      </c>
      <c r="ET60" s="231">
        <v>255718</v>
      </c>
      <c r="EU60" s="231">
        <v>20353850</v>
      </c>
      <c r="EV60" s="231">
        <v>463752</v>
      </c>
      <c r="EW60" s="231">
        <v>482017</v>
      </c>
      <c r="EX60" s="231">
        <v>-18265</v>
      </c>
      <c r="EY60" s="229">
        <v>-3.7900000000000003E-2</v>
      </c>
      <c r="EZ60" s="229">
        <v>0.3281</v>
      </c>
      <c r="FA60" s="227" t="s">
        <v>555</v>
      </c>
      <c r="FB60" s="161">
        <f t="shared" si="0"/>
        <v>3058825</v>
      </c>
    </row>
    <row r="61" spans="1:158" ht="17.25" hidden="1" thickBot="1" x14ac:dyDescent="0.3">
      <c r="A61" s="226">
        <v>45957</v>
      </c>
      <c r="B61" s="227" t="s">
        <v>615</v>
      </c>
      <c r="C61" s="227" t="s">
        <v>668</v>
      </c>
      <c r="D61" s="228">
        <v>2425</v>
      </c>
      <c r="E61" s="228">
        <v>334.15</v>
      </c>
      <c r="F61" s="228">
        <v>327.14999999999998</v>
      </c>
      <c r="G61" s="228">
        <v>7</v>
      </c>
      <c r="H61" s="229">
        <v>2.1399999999999999E-2</v>
      </c>
      <c r="I61" s="228">
        <v>333.7</v>
      </c>
      <c r="J61" s="228">
        <v>326.60000000000002</v>
      </c>
      <c r="K61" s="228">
        <v>7.1</v>
      </c>
      <c r="L61" s="229">
        <v>2.1700000000000001E-2</v>
      </c>
      <c r="M61" s="228">
        <v>334.15</v>
      </c>
      <c r="N61" s="228">
        <v>327.14999999999998</v>
      </c>
      <c r="O61" s="228">
        <v>7</v>
      </c>
      <c r="P61" s="229">
        <v>2.1399999999999999E-2</v>
      </c>
      <c r="Q61" s="228">
        <v>336.05</v>
      </c>
      <c r="R61" s="228">
        <v>328.95</v>
      </c>
      <c r="S61" s="228">
        <v>7.1</v>
      </c>
      <c r="T61" s="229">
        <v>2.1600000000000001E-2</v>
      </c>
      <c r="U61" s="228">
        <v>338.1</v>
      </c>
      <c r="V61" s="228">
        <v>331.15</v>
      </c>
      <c r="W61" s="228">
        <v>6.95</v>
      </c>
      <c r="X61" s="229">
        <v>2.1000000000000001E-2</v>
      </c>
      <c r="Y61" s="228">
        <v>0.45</v>
      </c>
      <c r="Z61" s="228">
        <v>0.55000000000000004</v>
      </c>
      <c r="AA61" s="228">
        <v>-0.1</v>
      </c>
      <c r="AB61" s="229">
        <v>1.2999999999999999E-3</v>
      </c>
      <c r="AC61" s="228">
        <v>0.45</v>
      </c>
      <c r="AD61" s="228">
        <v>0.55000000000000004</v>
      </c>
      <c r="AE61" s="228">
        <v>-0.1</v>
      </c>
      <c r="AF61" s="229">
        <v>1.2999999999999999E-3</v>
      </c>
      <c r="AG61" s="228">
        <v>2.35</v>
      </c>
      <c r="AH61" s="228">
        <v>2.35</v>
      </c>
      <c r="AI61" s="228">
        <v>0</v>
      </c>
      <c r="AJ61" s="229">
        <v>7.0000000000000001E-3</v>
      </c>
      <c r="AK61" s="228">
        <v>4.4000000000000004</v>
      </c>
      <c r="AL61" s="228">
        <v>4.55</v>
      </c>
      <c r="AM61" s="228">
        <v>-0.15</v>
      </c>
      <c r="AN61" s="229">
        <v>1.32E-2</v>
      </c>
      <c r="AO61" s="228">
        <v>330.63</v>
      </c>
      <c r="AP61" s="228">
        <v>332.79</v>
      </c>
      <c r="AQ61" s="228">
        <v>0</v>
      </c>
      <c r="AR61" s="230">
        <v>114021075</v>
      </c>
      <c r="AS61" s="230">
        <v>184661325</v>
      </c>
      <c r="AT61" s="230">
        <v>-70640250</v>
      </c>
      <c r="AU61" s="229">
        <v>-0.38250000000000001</v>
      </c>
      <c r="AV61" s="230">
        <v>50170825</v>
      </c>
      <c r="AW61" s="230">
        <v>92545275</v>
      </c>
      <c r="AX61" s="230">
        <v>-42374450</v>
      </c>
      <c r="AY61" s="229">
        <v>-0.45789999999999997</v>
      </c>
      <c r="AZ61" s="230">
        <v>63033025</v>
      </c>
      <c r="BA61" s="230">
        <v>91594675</v>
      </c>
      <c r="BB61" s="230">
        <v>-28561650</v>
      </c>
      <c r="BC61" s="229">
        <v>-0.31180000000000002</v>
      </c>
      <c r="BD61" s="230">
        <v>817225</v>
      </c>
      <c r="BE61" s="230">
        <v>521375</v>
      </c>
      <c r="BF61" s="230">
        <v>295850</v>
      </c>
      <c r="BG61" s="229">
        <v>0.56740000000000002</v>
      </c>
      <c r="BH61" s="230">
        <v>128287350</v>
      </c>
      <c r="BI61" s="230">
        <v>118070825</v>
      </c>
      <c r="BJ61" s="230">
        <v>10216525</v>
      </c>
      <c r="BK61" s="229">
        <v>8.6499999999999994E-2</v>
      </c>
      <c r="BL61" s="230">
        <v>61272475</v>
      </c>
      <c r="BM61" s="230">
        <v>59802925</v>
      </c>
      <c r="BN61" s="230">
        <v>1469550</v>
      </c>
      <c r="BO61" s="229">
        <v>2.46E-2</v>
      </c>
      <c r="BP61" s="230">
        <v>303580900</v>
      </c>
      <c r="BQ61" s="230">
        <v>362535075</v>
      </c>
      <c r="BR61" s="230">
        <v>-58954175</v>
      </c>
      <c r="BS61" s="229">
        <v>-0.16259999999999999</v>
      </c>
      <c r="BT61" s="230">
        <v>28849412</v>
      </c>
      <c r="BU61" s="230">
        <v>36267951</v>
      </c>
      <c r="BV61" s="230">
        <v>-7418539</v>
      </c>
      <c r="BW61" s="229">
        <v>-0.20449999999999999</v>
      </c>
      <c r="BX61" s="230">
        <v>247199650</v>
      </c>
      <c r="BY61" s="230">
        <v>241059550</v>
      </c>
      <c r="BZ61" s="230">
        <v>6140100</v>
      </c>
      <c r="CA61" s="229">
        <v>2.5499999999999998E-2</v>
      </c>
      <c r="CB61" s="230">
        <v>32946050</v>
      </c>
      <c r="CC61" s="230">
        <v>72398375</v>
      </c>
      <c r="CD61" s="230">
        <v>-39452325</v>
      </c>
      <c r="CE61" s="229">
        <v>-0.54490000000000005</v>
      </c>
      <c r="CF61" s="230">
        <v>212754950</v>
      </c>
      <c r="CG61" s="230">
        <v>167211025</v>
      </c>
      <c r="CH61" s="230">
        <v>45543925</v>
      </c>
      <c r="CI61" s="229">
        <v>0.27239999999999998</v>
      </c>
      <c r="CJ61" s="230">
        <v>1498650</v>
      </c>
      <c r="CK61" s="230">
        <v>1450150</v>
      </c>
      <c r="CL61" s="230">
        <v>48500</v>
      </c>
      <c r="CM61" s="229">
        <v>3.3399999999999999E-2</v>
      </c>
      <c r="CN61" s="230">
        <v>89492200</v>
      </c>
      <c r="CO61" s="230">
        <v>97809950</v>
      </c>
      <c r="CP61" s="230">
        <v>-8317750</v>
      </c>
      <c r="CQ61" s="229">
        <v>-8.5000000000000006E-2</v>
      </c>
      <c r="CR61" s="230">
        <v>49225075</v>
      </c>
      <c r="CS61" s="230">
        <v>53165700</v>
      </c>
      <c r="CT61" s="230">
        <v>-3940625</v>
      </c>
      <c r="CU61" s="229">
        <v>-7.4099999999999999E-2</v>
      </c>
      <c r="CV61" s="230">
        <v>385916925</v>
      </c>
      <c r="CW61" s="230">
        <v>392035200</v>
      </c>
      <c r="CX61" s="230">
        <v>-6118275</v>
      </c>
      <c r="CY61" s="229">
        <v>-1.5599999999999999E-2</v>
      </c>
      <c r="CZ61" s="228">
        <v>28.65</v>
      </c>
      <c r="DA61" s="228">
        <v>29.41</v>
      </c>
      <c r="DB61" s="228">
        <v>-0.76</v>
      </c>
      <c r="DC61" s="228">
        <v>-0.76</v>
      </c>
      <c r="DD61" s="228">
        <v>45.37</v>
      </c>
      <c r="DE61" s="228">
        <v>45.39</v>
      </c>
      <c r="DF61" s="228">
        <v>-16.72</v>
      </c>
      <c r="DG61" s="228">
        <v>-0.02</v>
      </c>
      <c r="DH61" s="228">
        <v>28.37</v>
      </c>
      <c r="DI61" s="228">
        <v>29.4</v>
      </c>
      <c r="DJ61" s="228">
        <v>-1.03</v>
      </c>
      <c r="DK61" s="228">
        <v>-1.03</v>
      </c>
      <c r="DL61" s="228">
        <v>29.17</v>
      </c>
      <c r="DM61" s="228">
        <v>29.41</v>
      </c>
      <c r="DN61" s="228">
        <v>-0.24</v>
      </c>
      <c r="DO61" s="228">
        <v>-0.24</v>
      </c>
      <c r="DP61" s="228">
        <v>0.55000000000000004</v>
      </c>
      <c r="DQ61" s="228">
        <v>0.54</v>
      </c>
      <c r="DR61" s="228">
        <v>0.01</v>
      </c>
      <c r="DS61" s="229">
        <v>1.8499999999999999E-2</v>
      </c>
      <c r="DT61" s="228">
        <v>350</v>
      </c>
      <c r="DU61" s="228">
        <v>320</v>
      </c>
      <c r="DV61" s="228">
        <v>0.48</v>
      </c>
      <c r="DW61" s="228">
        <v>0.51</v>
      </c>
      <c r="DX61" s="228">
        <v>-0.03</v>
      </c>
      <c r="DY61" s="229">
        <v>-5.8799999999999998E-2</v>
      </c>
      <c r="DZ61" s="229">
        <v>0.86670000000000003</v>
      </c>
      <c r="EA61" s="230">
        <v>168661175</v>
      </c>
      <c r="EB61" s="229">
        <v>5.7000000000000002E-3</v>
      </c>
      <c r="EC61" s="229">
        <v>0.86670000000000003</v>
      </c>
      <c r="ED61" s="228">
        <v>2.16</v>
      </c>
      <c r="EE61" s="229">
        <v>6.4999999999999997E-3</v>
      </c>
      <c r="EF61" s="230">
        <v>16485807</v>
      </c>
      <c r="EG61" s="230">
        <v>24445396</v>
      </c>
      <c r="EH61" s="229">
        <v>-0.3256</v>
      </c>
      <c r="EI61" s="229">
        <v>0.57140000000000002</v>
      </c>
      <c r="EJ61" s="231">
        <v>439608.4</v>
      </c>
      <c r="EK61" s="231">
        <v>200377.28</v>
      </c>
      <c r="EL61" s="231">
        <v>378377.19</v>
      </c>
      <c r="EM61" s="231">
        <v>40416</v>
      </c>
      <c r="EN61" s="231">
        <v>1018362.87</v>
      </c>
      <c r="EO61" s="231">
        <v>1207502.56</v>
      </c>
      <c r="EP61" s="231">
        <v>-189139.69</v>
      </c>
      <c r="EQ61" s="229">
        <v>-0.15659999999999999</v>
      </c>
      <c r="ER61" s="231">
        <v>315090</v>
      </c>
      <c r="ES61" s="231">
        <v>159016</v>
      </c>
      <c r="ET61" s="231">
        <v>830119</v>
      </c>
      <c r="EU61" s="231">
        <v>1361988292</v>
      </c>
      <c r="EV61" s="231">
        <v>1304225</v>
      </c>
      <c r="EW61" s="231">
        <v>1307876</v>
      </c>
      <c r="EX61" s="231">
        <v>-3651</v>
      </c>
      <c r="EY61" s="229">
        <v>-2.8E-3</v>
      </c>
      <c r="EZ61" s="229">
        <v>0.2833</v>
      </c>
      <c r="FA61" s="227" t="s">
        <v>555</v>
      </c>
      <c r="FB61" s="161">
        <f t="shared" si="0"/>
        <v>214253600</v>
      </c>
    </row>
    <row r="62" spans="1:158" ht="17.25" hidden="1" thickBot="1" x14ac:dyDescent="0.3">
      <c r="A62" s="226">
        <v>45957</v>
      </c>
      <c r="B62" s="227" t="s">
        <v>162</v>
      </c>
      <c r="C62" s="227" t="s">
        <v>211</v>
      </c>
      <c r="D62" s="228">
        <v>1800</v>
      </c>
      <c r="E62" s="228">
        <v>380.05</v>
      </c>
      <c r="F62" s="228">
        <v>388.25</v>
      </c>
      <c r="G62" s="228">
        <v>-8.1999999999999993</v>
      </c>
      <c r="H62" s="229">
        <v>-2.1100000000000001E-2</v>
      </c>
      <c r="I62" s="228">
        <v>379.95</v>
      </c>
      <c r="J62" s="228">
        <v>388.7</v>
      </c>
      <c r="K62" s="228">
        <v>-8.75</v>
      </c>
      <c r="L62" s="229">
        <v>-2.2499999999999999E-2</v>
      </c>
      <c r="M62" s="228">
        <v>380.05</v>
      </c>
      <c r="N62" s="228">
        <v>388.25</v>
      </c>
      <c r="O62" s="228">
        <v>-8.1999999999999993</v>
      </c>
      <c r="P62" s="229">
        <v>-2.1100000000000001E-2</v>
      </c>
      <c r="Q62" s="228">
        <v>382.25</v>
      </c>
      <c r="R62" s="228">
        <v>390.4</v>
      </c>
      <c r="S62" s="228">
        <v>-8.15</v>
      </c>
      <c r="T62" s="229">
        <v>-2.0899999999999998E-2</v>
      </c>
      <c r="U62" s="228">
        <v>385.3</v>
      </c>
      <c r="V62" s="228">
        <v>393.1</v>
      </c>
      <c r="W62" s="228">
        <v>-7.8</v>
      </c>
      <c r="X62" s="229">
        <v>-1.9800000000000002E-2</v>
      </c>
      <c r="Y62" s="228">
        <v>0.1</v>
      </c>
      <c r="Z62" s="228">
        <v>-0.45</v>
      </c>
      <c r="AA62" s="228">
        <v>0.55000000000000004</v>
      </c>
      <c r="AB62" s="229">
        <v>2.9999999999999997E-4</v>
      </c>
      <c r="AC62" s="228">
        <v>0.1</v>
      </c>
      <c r="AD62" s="228">
        <v>-0.45</v>
      </c>
      <c r="AE62" s="228">
        <v>0.55000000000000004</v>
      </c>
      <c r="AF62" s="229">
        <v>2.9999999999999997E-4</v>
      </c>
      <c r="AG62" s="228">
        <v>2.2999999999999998</v>
      </c>
      <c r="AH62" s="228">
        <v>1.7</v>
      </c>
      <c r="AI62" s="228">
        <v>0.6</v>
      </c>
      <c r="AJ62" s="229">
        <v>6.1000000000000004E-3</v>
      </c>
      <c r="AK62" s="228">
        <v>5.35</v>
      </c>
      <c r="AL62" s="228">
        <v>4.4000000000000004</v>
      </c>
      <c r="AM62" s="228">
        <v>0.95</v>
      </c>
      <c r="AN62" s="229">
        <v>1.41E-2</v>
      </c>
      <c r="AO62" s="228">
        <v>383.49</v>
      </c>
      <c r="AP62" s="228">
        <v>385.3</v>
      </c>
      <c r="AQ62" s="228">
        <v>0</v>
      </c>
      <c r="AR62" s="230">
        <v>28647000</v>
      </c>
      <c r="AS62" s="230">
        <v>21234600</v>
      </c>
      <c r="AT62" s="230">
        <v>7412400</v>
      </c>
      <c r="AU62" s="229">
        <v>0.34910000000000002</v>
      </c>
      <c r="AV62" s="230">
        <v>10773000</v>
      </c>
      <c r="AW62" s="230">
        <v>10699200</v>
      </c>
      <c r="AX62" s="230">
        <v>73800</v>
      </c>
      <c r="AY62" s="229">
        <v>6.8999999999999999E-3</v>
      </c>
      <c r="AZ62" s="230">
        <v>17267400</v>
      </c>
      <c r="BA62" s="230">
        <v>10315800</v>
      </c>
      <c r="BB62" s="230">
        <v>6951600</v>
      </c>
      <c r="BC62" s="229">
        <v>0.67390000000000005</v>
      </c>
      <c r="BD62" s="230">
        <v>606600</v>
      </c>
      <c r="BE62" s="230">
        <v>219600</v>
      </c>
      <c r="BF62" s="230">
        <v>387000</v>
      </c>
      <c r="BG62" s="229">
        <v>1.7623</v>
      </c>
      <c r="BH62" s="230">
        <v>27874800</v>
      </c>
      <c r="BI62" s="230">
        <v>19650600</v>
      </c>
      <c r="BJ62" s="230">
        <v>8224200</v>
      </c>
      <c r="BK62" s="229">
        <v>0.41849999999999998</v>
      </c>
      <c r="BL62" s="230">
        <v>21612600</v>
      </c>
      <c r="BM62" s="230">
        <v>13519800</v>
      </c>
      <c r="BN62" s="230">
        <v>8092800</v>
      </c>
      <c r="BO62" s="229">
        <v>0.59860000000000002</v>
      </c>
      <c r="BP62" s="230">
        <v>78134400</v>
      </c>
      <c r="BQ62" s="230">
        <v>54405000</v>
      </c>
      <c r="BR62" s="230">
        <v>23729400</v>
      </c>
      <c r="BS62" s="229">
        <v>0.43619999999999998</v>
      </c>
      <c r="BT62" s="230">
        <v>4413261</v>
      </c>
      <c r="BU62" s="230">
        <v>3065227</v>
      </c>
      <c r="BV62" s="230">
        <v>1348034</v>
      </c>
      <c r="BW62" s="229">
        <v>0.43980000000000002</v>
      </c>
      <c r="BX62" s="230">
        <v>35854200</v>
      </c>
      <c r="BY62" s="230">
        <v>32689800</v>
      </c>
      <c r="BZ62" s="230">
        <v>3164400</v>
      </c>
      <c r="CA62" s="229">
        <v>9.6799999999999997E-2</v>
      </c>
      <c r="CB62" s="230">
        <v>7335000</v>
      </c>
      <c r="CC62" s="230">
        <v>13939200</v>
      </c>
      <c r="CD62" s="230">
        <v>-6604200</v>
      </c>
      <c r="CE62" s="229">
        <v>-0.4738</v>
      </c>
      <c r="CF62" s="230">
        <v>27687600</v>
      </c>
      <c r="CG62" s="230">
        <v>18261000</v>
      </c>
      <c r="CH62" s="230">
        <v>9426600</v>
      </c>
      <c r="CI62" s="229">
        <v>0.51619999999999999</v>
      </c>
      <c r="CJ62" s="230">
        <v>831600</v>
      </c>
      <c r="CK62" s="230">
        <v>489600</v>
      </c>
      <c r="CL62" s="230">
        <v>342000</v>
      </c>
      <c r="CM62" s="229">
        <v>0.69850000000000001</v>
      </c>
      <c r="CN62" s="230">
        <v>14646600</v>
      </c>
      <c r="CO62" s="230">
        <v>13626000</v>
      </c>
      <c r="CP62" s="230">
        <v>1020600</v>
      </c>
      <c r="CQ62" s="229">
        <v>7.4899999999999994E-2</v>
      </c>
      <c r="CR62" s="230">
        <v>10735200</v>
      </c>
      <c r="CS62" s="230">
        <v>10272600</v>
      </c>
      <c r="CT62" s="230">
        <v>462600</v>
      </c>
      <c r="CU62" s="229">
        <v>4.4999999999999998E-2</v>
      </c>
      <c r="CV62" s="230">
        <v>61236000</v>
      </c>
      <c r="CW62" s="230">
        <v>56588400</v>
      </c>
      <c r="CX62" s="230">
        <v>4647600</v>
      </c>
      <c r="CY62" s="229">
        <v>8.2100000000000006E-2</v>
      </c>
      <c r="CZ62" s="228">
        <v>29.78</v>
      </c>
      <c r="DA62" s="228">
        <v>28.92</v>
      </c>
      <c r="DB62" s="228">
        <v>0.86</v>
      </c>
      <c r="DC62" s="228">
        <v>0.86</v>
      </c>
      <c r="DD62" s="228">
        <v>35.43</v>
      </c>
      <c r="DE62" s="228">
        <v>35.4</v>
      </c>
      <c r="DF62" s="228">
        <v>-5.65</v>
      </c>
      <c r="DG62" s="228">
        <v>0.03</v>
      </c>
      <c r="DH62" s="228">
        <v>29.76</v>
      </c>
      <c r="DI62" s="228">
        <v>28.56</v>
      </c>
      <c r="DJ62" s="228">
        <v>1.2</v>
      </c>
      <c r="DK62" s="228">
        <v>1.2</v>
      </c>
      <c r="DL62" s="228">
        <v>29.8</v>
      </c>
      <c r="DM62" s="228">
        <v>29.31</v>
      </c>
      <c r="DN62" s="228">
        <v>0.49</v>
      </c>
      <c r="DO62" s="228">
        <v>0.49</v>
      </c>
      <c r="DP62" s="228">
        <v>0.73</v>
      </c>
      <c r="DQ62" s="228">
        <v>0.75</v>
      </c>
      <c r="DR62" s="228">
        <v>-0.02</v>
      </c>
      <c r="DS62" s="229">
        <v>-2.6700000000000002E-2</v>
      </c>
      <c r="DT62" s="228">
        <v>400</v>
      </c>
      <c r="DU62" s="228">
        <v>380</v>
      </c>
      <c r="DV62" s="228">
        <v>0.78</v>
      </c>
      <c r="DW62" s="228">
        <v>0.69</v>
      </c>
      <c r="DX62" s="228">
        <v>0.09</v>
      </c>
      <c r="DY62" s="229">
        <v>0.13039999999999999</v>
      </c>
      <c r="DZ62" s="229">
        <v>0.7954</v>
      </c>
      <c r="EA62" s="230">
        <v>18750600</v>
      </c>
      <c r="EB62" s="229">
        <v>5.7999999999999996E-3</v>
      </c>
      <c r="EC62" s="229">
        <v>0.7954</v>
      </c>
      <c r="ED62" s="228">
        <v>1.81</v>
      </c>
      <c r="EE62" s="229">
        <v>4.7000000000000002E-3</v>
      </c>
      <c r="EF62" s="230">
        <v>2540763</v>
      </c>
      <c r="EG62" s="230">
        <v>1537542</v>
      </c>
      <c r="EH62" s="229">
        <v>0.65249999999999997</v>
      </c>
      <c r="EI62" s="229">
        <v>0.57569999999999999</v>
      </c>
      <c r="EJ62" s="231">
        <v>111825.22</v>
      </c>
      <c r="EK62" s="231">
        <v>84449.27</v>
      </c>
      <c r="EL62" s="231">
        <v>110199.57</v>
      </c>
      <c r="EM62" s="231">
        <v>6978</v>
      </c>
      <c r="EN62" s="231">
        <v>306474.06</v>
      </c>
      <c r="EO62" s="231">
        <v>215297.31</v>
      </c>
      <c r="EP62" s="231">
        <v>91176.75</v>
      </c>
      <c r="EQ62" s="229">
        <v>0.42349999999999999</v>
      </c>
      <c r="ER62" s="231">
        <v>59844</v>
      </c>
      <c r="ES62" s="231">
        <v>41463</v>
      </c>
      <c r="ET62" s="231">
        <v>136917</v>
      </c>
      <c r="EU62" s="231">
        <v>68856800</v>
      </c>
      <c r="EV62" s="231">
        <v>238224</v>
      </c>
      <c r="EW62" s="231">
        <v>223408</v>
      </c>
      <c r="EX62" s="231">
        <v>14816</v>
      </c>
      <c r="EY62" s="229">
        <v>6.6299999999999998E-2</v>
      </c>
      <c r="EZ62" s="229">
        <v>0.88929999999999998</v>
      </c>
      <c r="FA62" s="227" t="s">
        <v>567</v>
      </c>
      <c r="FB62" s="161">
        <f t="shared" si="0"/>
        <v>28519200</v>
      </c>
    </row>
    <row r="63" spans="1:158" ht="17.25" hidden="1" thickBot="1" x14ac:dyDescent="0.3">
      <c r="A63" s="226">
        <v>45957</v>
      </c>
      <c r="B63" s="227" t="s">
        <v>172</v>
      </c>
      <c r="C63" s="227" t="s">
        <v>212</v>
      </c>
      <c r="D63" s="228">
        <v>5000</v>
      </c>
      <c r="E63" s="228">
        <v>233.69</v>
      </c>
      <c r="F63" s="228">
        <v>227.49</v>
      </c>
      <c r="G63" s="228">
        <v>6.2</v>
      </c>
      <c r="H63" s="229">
        <v>2.7300000000000001E-2</v>
      </c>
      <c r="I63" s="228">
        <v>234.04</v>
      </c>
      <c r="J63" s="228">
        <v>227.4</v>
      </c>
      <c r="K63" s="228">
        <v>6.64</v>
      </c>
      <c r="L63" s="229">
        <v>2.92E-2</v>
      </c>
      <c r="M63" s="228">
        <v>233.69</v>
      </c>
      <c r="N63" s="228">
        <v>227.49</v>
      </c>
      <c r="O63" s="228">
        <v>6.2</v>
      </c>
      <c r="P63" s="229">
        <v>2.7300000000000001E-2</v>
      </c>
      <c r="Q63" s="228">
        <v>234.99</v>
      </c>
      <c r="R63" s="228">
        <v>228.82</v>
      </c>
      <c r="S63" s="228">
        <v>6.17</v>
      </c>
      <c r="T63" s="229">
        <v>2.7E-2</v>
      </c>
      <c r="U63" s="228">
        <v>235.64</v>
      </c>
      <c r="V63" s="228">
        <v>229.98</v>
      </c>
      <c r="W63" s="228">
        <v>5.66</v>
      </c>
      <c r="X63" s="229">
        <v>2.46E-2</v>
      </c>
      <c r="Y63" s="228">
        <v>-0.35</v>
      </c>
      <c r="Z63" s="228">
        <v>0.09</v>
      </c>
      <c r="AA63" s="228">
        <v>-0.44</v>
      </c>
      <c r="AB63" s="229">
        <v>-1.5E-3</v>
      </c>
      <c r="AC63" s="228">
        <v>-0.35</v>
      </c>
      <c r="AD63" s="228">
        <v>0.09</v>
      </c>
      <c r="AE63" s="228">
        <v>-0.44</v>
      </c>
      <c r="AF63" s="229">
        <v>-1.5E-3</v>
      </c>
      <c r="AG63" s="228">
        <v>0.95</v>
      </c>
      <c r="AH63" s="228">
        <v>1.42</v>
      </c>
      <c r="AI63" s="228">
        <v>-0.47</v>
      </c>
      <c r="AJ63" s="229">
        <v>4.1000000000000003E-3</v>
      </c>
      <c r="AK63" s="228">
        <v>1.6</v>
      </c>
      <c r="AL63" s="228">
        <v>2.58</v>
      </c>
      <c r="AM63" s="228">
        <v>-0.98</v>
      </c>
      <c r="AN63" s="229">
        <v>6.7999999999999996E-3</v>
      </c>
      <c r="AO63" s="228">
        <v>232.77</v>
      </c>
      <c r="AP63" s="228">
        <v>234.03</v>
      </c>
      <c r="AQ63" s="228">
        <v>0</v>
      </c>
      <c r="AR63" s="230">
        <v>96775000</v>
      </c>
      <c r="AS63" s="230">
        <v>137210000</v>
      </c>
      <c r="AT63" s="230">
        <v>-40435000</v>
      </c>
      <c r="AU63" s="229">
        <v>-0.29470000000000002</v>
      </c>
      <c r="AV63" s="230">
        <v>43710000</v>
      </c>
      <c r="AW63" s="230">
        <v>73515000</v>
      </c>
      <c r="AX63" s="230">
        <v>-29805000</v>
      </c>
      <c r="AY63" s="229">
        <v>-0.40539999999999998</v>
      </c>
      <c r="AZ63" s="230">
        <v>51525000</v>
      </c>
      <c r="BA63" s="230">
        <v>62775000</v>
      </c>
      <c r="BB63" s="230">
        <v>-11250000</v>
      </c>
      <c r="BC63" s="229">
        <v>-0.1792</v>
      </c>
      <c r="BD63" s="230">
        <v>1540000</v>
      </c>
      <c r="BE63" s="230">
        <v>920000</v>
      </c>
      <c r="BF63" s="230">
        <v>620000</v>
      </c>
      <c r="BG63" s="229">
        <v>0.67390000000000005</v>
      </c>
      <c r="BH63" s="230">
        <v>229605000</v>
      </c>
      <c r="BI63" s="230">
        <v>240020000</v>
      </c>
      <c r="BJ63" s="230">
        <v>-10415000</v>
      </c>
      <c r="BK63" s="229">
        <v>-4.3400000000000001E-2</v>
      </c>
      <c r="BL63" s="230">
        <v>120325000</v>
      </c>
      <c r="BM63" s="230">
        <v>133965000</v>
      </c>
      <c r="BN63" s="230">
        <v>-13640000</v>
      </c>
      <c r="BO63" s="229">
        <v>-0.1018</v>
      </c>
      <c r="BP63" s="230">
        <v>446705000</v>
      </c>
      <c r="BQ63" s="230">
        <v>511195000</v>
      </c>
      <c r="BR63" s="230">
        <v>-64490000</v>
      </c>
      <c r="BS63" s="229">
        <v>-0.12620000000000001</v>
      </c>
      <c r="BT63" s="230">
        <v>22792688</v>
      </c>
      <c r="BU63" s="230">
        <v>26604461</v>
      </c>
      <c r="BV63" s="230">
        <v>-3811773</v>
      </c>
      <c r="BW63" s="229">
        <v>-0.14330000000000001</v>
      </c>
      <c r="BX63" s="230">
        <v>104000000</v>
      </c>
      <c r="BY63" s="230">
        <v>104270000</v>
      </c>
      <c r="BZ63" s="230">
        <v>-270000</v>
      </c>
      <c r="CA63" s="229">
        <v>-2.5999999999999999E-3</v>
      </c>
      <c r="CB63" s="230">
        <v>23095000</v>
      </c>
      <c r="CC63" s="230">
        <v>42850000</v>
      </c>
      <c r="CD63" s="230">
        <v>-19755000</v>
      </c>
      <c r="CE63" s="229">
        <v>-0.46100000000000002</v>
      </c>
      <c r="CF63" s="230">
        <v>79305000</v>
      </c>
      <c r="CG63" s="230">
        <v>60185000</v>
      </c>
      <c r="CH63" s="230">
        <v>19120000</v>
      </c>
      <c r="CI63" s="229">
        <v>0.31769999999999998</v>
      </c>
      <c r="CJ63" s="230">
        <v>1600000</v>
      </c>
      <c r="CK63" s="230">
        <v>1235000</v>
      </c>
      <c r="CL63" s="230">
        <v>365000</v>
      </c>
      <c r="CM63" s="229">
        <v>0.29549999999999998</v>
      </c>
      <c r="CN63" s="230">
        <v>67670000</v>
      </c>
      <c r="CO63" s="230">
        <v>75385000</v>
      </c>
      <c r="CP63" s="230">
        <v>-7715000</v>
      </c>
      <c r="CQ63" s="229">
        <v>-0.1023</v>
      </c>
      <c r="CR63" s="230">
        <v>77430000</v>
      </c>
      <c r="CS63" s="230">
        <v>72520000</v>
      </c>
      <c r="CT63" s="230">
        <v>4910000</v>
      </c>
      <c r="CU63" s="229">
        <v>6.7699999999999996E-2</v>
      </c>
      <c r="CV63" s="230">
        <v>249100000</v>
      </c>
      <c r="CW63" s="230">
        <v>252175000</v>
      </c>
      <c r="CX63" s="230">
        <v>-3075000</v>
      </c>
      <c r="CY63" s="229">
        <v>-1.2200000000000001E-2</v>
      </c>
      <c r="CZ63" s="228">
        <v>24.37</v>
      </c>
      <c r="DA63" s="228">
        <v>23.63</v>
      </c>
      <c r="DB63" s="228">
        <v>0.74</v>
      </c>
      <c r="DC63" s="228">
        <v>0.74</v>
      </c>
      <c r="DD63" s="228">
        <v>29.89</v>
      </c>
      <c r="DE63" s="228">
        <v>29.71</v>
      </c>
      <c r="DF63" s="228">
        <v>-5.52</v>
      </c>
      <c r="DG63" s="228">
        <v>0.18</v>
      </c>
      <c r="DH63" s="228">
        <v>24.23</v>
      </c>
      <c r="DI63" s="228">
        <v>23.8</v>
      </c>
      <c r="DJ63" s="228">
        <v>0.43</v>
      </c>
      <c r="DK63" s="228">
        <v>0.43</v>
      </c>
      <c r="DL63" s="228">
        <v>24.62</v>
      </c>
      <c r="DM63" s="228">
        <v>23.36</v>
      </c>
      <c r="DN63" s="228">
        <v>1.26</v>
      </c>
      <c r="DO63" s="228">
        <v>1.26</v>
      </c>
      <c r="DP63" s="228">
        <v>1.1399999999999999</v>
      </c>
      <c r="DQ63" s="228">
        <v>0.96</v>
      </c>
      <c r="DR63" s="228">
        <v>0.18</v>
      </c>
      <c r="DS63" s="229">
        <v>0.1875</v>
      </c>
      <c r="DT63" s="228">
        <v>235</v>
      </c>
      <c r="DU63" s="228">
        <v>225</v>
      </c>
      <c r="DV63" s="228">
        <v>0.52</v>
      </c>
      <c r="DW63" s="228">
        <v>0.56000000000000005</v>
      </c>
      <c r="DX63" s="228">
        <v>-0.04</v>
      </c>
      <c r="DY63" s="229">
        <v>-7.1400000000000005E-2</v>
      </c>
      <c r="DZ63" s="229">
        <v>0.77790000000000004</v>
      </c>
      <c r="EA63" s="230">
        <v>61420000</v>
      </c>
      <c r="EB63" s="229">
        <v>5.5999999999999999E-3</v>
      </c>
      <c r="EC63" s="229">
        <v>0.77790000000000004</v>
      </c>
      <c r="ED63" s="228">
        <v>1.26</v>
      </c>
      <c r="EE63" s="229">
        <v>5.4000000000000003E-3</v>
      </c>
      <c r="EF63" s="230">
        <v>11644290</v>
      </c>
      <c r="EG63" s="230">
        <v>13533180</v>
      </c>
      <c r="EH63" s="229">
        <v>-0.1396</v>
      </c>
      <c r="EI63" s="229">
        <v>0.51090000000000002</v>
      </c>
      <c r="EJ63" s="231">
        <v>547799.68999999994</v>
      </c>
      <c r="EK63" s="231">
        <v>274881.96000000002</v>
      </c>
      <c r="EL63" s="231">
        <v>225942.74</v>
      </c>
      <c r="EM63" s="231">
        <v>17583</v>
      </c>
      <c r="EN63" s="231">
        <v>1048624.3899999999</v>
      </c>
      <c r="EO63" s="231">
        <v>1184510.3600000001</v>
      </c>
      <c r="EP63" s="231">
        <v>-135885.97</v>
      </c>
      <c r="EQ63" s="229">
        <v>-0.1147</v>
      </c>
      <c r="ER63" s="231">
        <v>154540</v>
      </c>
      <c r="ES63" s="231">
        <v>166008</v>
      </c>
      <c r="ET63" s="231">
        <v>244100</v>
      </c>
      <c r="EU63" s="231">
        <v>338654719</v>
      </c>
      <c r="EV63" s="231">
        <v>564648</v>
      </c>
      <c r="EW63" s="231">
        <v>562714</v>
      </c>
      <c r="EX63" s="231">
        <v>1934</v>
      </c>
      <c r="EY63" s="229">
        <v>3.3999999999999998E-3</v>
      </c>
      <c r="EZ63" s="229">
        <v>0.73560000000000003</v>
      </c>
      <c r="FA63" s="227" t="s">
        <v>556</v>
      </c>
      <c r="FB63" s="161">
        <f t="shared" si="0"/>
        <v>80905000</v>
      </c>
    </row>
    <row r="64" spans="1:158" ht="17.25" hidden="1" thickBot="1" x14ac:dyDescent="0.3">
      <c r="A64" s="226">
        <v>45957</v>
      </c>
      <c r="B64" s="227" t="s">
        <v>181</v>
      </c>
      <c r="C64" s="227" t="s">
        <v>480</v>
      </c>
      <c r="D64" s="228">
        <v>65</v>
      </c>
      <c r="E64" s="231">
        <v>27568.6</v>
      </c>
      <c r="F64" s="231">
        <v>27400.6</v>
      </c>
      <c r="G64" s="228">
        <v>168</v>
      </c>
      <c r="H64" s="229">
        <v>6.1000000000000004E-3</v>
      </c>
      <c r="I64" s="231">
        <v>27519</v>
      </c>
      <c r="J64" s="231">
        <v>27395.3</v>
      </c>
      <c r="K64" s="228">
        <v>123.7</v>
      </c>
      <c r="L64" s="229">
        <v>4.4999999999999997E-3</v>
      </c>
      <c r="M64" s="231">
        <v>27568.6</v>
      </c>
      <c r="N64" s="231">
        <v>27400.6</v>
      </c>
      <c r="O64" s="228">
        <v>168</v>
      </c>
      <c r="P64" s="229">
        <v>6.1000000000000004E-3</v>
      </c>
      <c r="Q64" s="231">
        <v>27678</v>
      </c>
      <c r="R64" s="231">
        <v>27528.400000000001</v>
      </c>
      <c r="S64" s="228">
        <v>149.6</v>
      </c>
      <c r="T64" s="229">
        <v>5.4000000000000003E-3</v>
      </c>
      <c r="U64" s="228">
        <v>0</v>
      </c>
      <c r="V64" s="228">
        <v>0</v>
      </c>
      <c r="W64" s="228">
        <v>0</v>
      </c>
      <c r="X64" s="229">
        <v>0</v>
      </c>
      <c r="Y64" s="228">
        <v>49.6</v>
      </c>
      <c r="Z64" s="228">
        <v>5.3</v>
      </c>
      <c r="AA64" s="228">
        <v>44.3</v>
      </c>
      <c r="AB64" s="229">
        <v>1.8E-3</v>
      </c>
      <c r="AC64" s="228">
        <v>49.6</v>
      </c>
      <c r="AD64" s="228">
        <v>5.3</v>
      </c>
      <c r="AE64" s="228">
        <v>44.3</v>
      </c>
      <c r="AF64" s="229">
        <v>1.8E-3</v>
      </c>
      <c r="AG64" s="228">
        <v>159</v>
      </c>
      <c r="AH64" s="228">
        <v>133.1</v>
      </c>
      <c r="AI64" s="228">
        <v>25.9</v>
      </c>
      <c r="AJ64" s="229">
        <v>5.7999999999999996E-3</v>
      </c>
      <c r="AK64" s="228">
        <v>0</v>
      </c>
      <c r="AL64" s="228">
        <v>0</v>
      </c>
      <c r="AM64" s="228">
        <v>0</v>
      </c>
      <c r="AN64" s="229">
        <v>0</v>
      </c>
      <c r="AO64" s="231">
        <v>27576.400000000001</v>
      </c>
      <c r="AP64" s="231">
        <v>27681.06</v>
      </c>
      <c r="AQ64" s="228">
        <v>0</v>
      </c>
      <c r="AR64" s="230">
        <v>55575</v>
      </c>
      <c r="AS64" s="230">
        <v>35750</v>
      </c>
      <c r="AT64" s="230">
        <v>19825</v>
      </c>
      <c r="AU64" s="229">
        <v>0.55449999999999999</v>
      </c>
      <c r="AV64" s="230">
        <v>27755</v>
      </c>
      <c r="AW64" s="230">
        <v>23335</v>
      </c>
      <c r="AX64" s="230">
        <v>4420</v>
      </c>
      <c r="AY64" s="229">
        <v>0.18940000000000001</v>
      </c>
      <c r="AZ64" s="230">
        <v>27820</v>
      </c>
      <c r="BA64" s="230">
        <v>12415</v>
      </c>
      <c r="BB64" s="230">
        <v>15405</v>
      </c>
      <c r="BC64" s="229">
        <v>1.2407999999999999</v>
      </c>
      <c r="BD64" s="228">
        <v>0</v>
      </c>
      <c r="BE64" s="228">
        <v>0</v>
      </c>
      <c r="BF64" s="228">
        <v>0</v>
      </c>
      <c r="BG64" s="229">
        <v>0</v>
      </c>
      <c r="BH64" s="230">
        <v>23407280</v>
      </c>
      <c r="BI64" s="230">
        <v>14389050</v>
      </c>
      <c r="BJ64" s="230">
        <v>9018230</v>
      </c>
      <c r="BK64" s="229">
        <v>0.62670000000000003</v>
      </c>
      <c r="BL64" s="230">
        <v>24457680</v>
      </c>
      <c r="BM64" s="230">
        <v>14579695</v>
      </c>
      <c r="BN64" s="230">
        <v>9877985</v>
      </c>
      <c r="BO64" s="229">
        <v>0.67749999999999999</v>
      </c>
      <c r="BP64" s="230">
        <v>47920535</v>
      </c>
      <c r="BQ64" s="230">
        <v>29004495</v>
      </c>
      <c r="BR64" s="230">
        <v>18916040</v>
      </c>
      <c r="BS64" s="229">
        <v>0.6522</v>
      </c>
      <c r="BT64" s="228">
        <v>0</v>
      </c>
      <c r="BU64" s="228">
        <v>0</v>
      </c>
      <c r="BV64" s="228">
        <v>0</v>
      </c>
      <c r="BW64" s="229">
        <v>0</v>
      </c>
      <c r="BX64" s="230">
        <v>44980</v>
      </c>
      <c r="BY64" s="230">
        <v>44655</v>
      </c>
      <c r="BZ64" s="228">
        <v>325</v>
      </c>
      <c r="CA64" s="229">
        <v>7.3000000000000001E-3</v>
      </c>
      <c r="CB64" s="230">
        <v>26715</v>
      </c>
      <c r="CC64" s="230">
        <v>36075</v>
      </c>
      <c r="CD64" s="230">
        <v>-9360</v>
      </c>
      <c r="CE64" s="229">
        <v>-0.25950000000000001</v>
      </c>
      <c r="CF64" s="230">
        <v>18265</v>
      </c>
      <c r="CG64" s="230">
        <v>8580</v>
      </c>
      <c r="CH64" s="230">
        <v>9685</v>
      </c>
      <c r="CI64" s="229">
        <v>1.1288</v>
      </c>
      <c r="CJ64" s="228">
        <v>0</v>
      </c>
      <c r="CK64" s="228">
        <v>0</v>
      </c>
      <c r="CL64" s="228">
        <v>0</v>
      </c>
      <c r="CM64" s="229">
        <v>0</v>
      </c>
      <c r="CN64" s="230">
        <v>1777945</v>
      </c>
      <c r="CO64" s="230">
        <v>1875445</v>
      </c>
      <c r="CP64" s="230">
        <v>-97500</v>
      </c>
      <c r="CQ64" s="229">
        <v>-5.1999999999999998E-2</v>
      </c>
      <c r="CR64" s="230">
        <v>1917370</v>
      </c>
      <c r="CS64" s="230">
        <v>1930240</v>
      </c>
      <c r="CT64" s="230">
        <v>-12870</v>
      </c>
      <c r="CU64" s="229">
        <v>-6.7000000000000002E-3</v>
      </c>
      <c r="CV64" s="230">
        <v>3740295</v>
      </c>
      <c r="CW64" s="230">
        <v>3850340</v>
      </c>
      <c r="CX64" s="230">
        <v>-110045</v>
      </c>
      <c r="CY64" s="229">
        <v>-2.86E-2</v>
      </c>
      <c r="CZ64" s="228">
        <v>12.25</v>
      </c>
      <c r="DA64" s="228">
        <v>11.45</v>
      </c>
      <c r="DB64" s="228">
        <v>0.8</v>
      </c>
      <c r="DC64" s="228">
        <v>0.8</v>
      </c>
      <c r="DD64" s="228">
        <v>17.489999999999998</v>
      </c>
      <c r="DE64" s="228">
        <v>17.52</v>
      </c>
      <c r="DF64" s="228">
        <v>-5.24</v>
      </c>
      <c r="DG64" s="228">
        <v>-0.03</v>
      </c>
      <c r="DH64" s="228">
        <v>12.25</v>
      </c>
      <c r="DI64" s="228">
        <v>11.57</v>
      </c>
      <c r="DJ64" s="228">
        <v>0.68</v>
      </c>
      <c r="DK64" s="228">
        <v>0.68</v>
      </c>
      <c r="DL64" s="228">
        <v>12.25</v>
      </c>
      <c r="DM64" s="228">
        <v>11.39</v>
      </c>
      <c r="DN64" s="228">
        <v>0.86</v>
      </c>
      <c r="DO64" s="228">
        <v>0.86</v>
      </c>
      <c r="DP64" s="228">
        <v>1.08</v>
      </c>
      <c r="DQ64" s="228">
        <v>1.03</v>
      </c>
      <c r="DR64" s="228">
        <v>0.05</v>
      </c>
      <c r="DS64" s="229">
        <v>4.8500000000000001E-2</v>
      </c>
      <c r="DT64" s="231">
        <v>27700</v>
      </c>
      <c r="DU64" s="231">
        <v>27500</v>
      </c>
      <c r="DV64" s="228">
        <v>1.04</v>
      </c>
      <c r="DW64" s="228">
        <v>1.01</v>
      </c>
      <c r="DX64" s="228">
        <v>0.03</v>
      </c>
      <c r="DY64" s="229">
        <v>2.9700000000000001E-2</v>
      </c>
      <c r="DZ64" s="229">
        <v>0.40610000000000002</v>
      </c>
      <c r="EA64" s="230">
        <v>8580</v>
      </c>
      <c r="EB64" s="229">
        <v>4.0000000000000001E-3</v>
      </c>
      <c r="EC64" s="229">
        <v>0.40610000000000002</v>
      </c>
      <c r="ED64" s="228">
        <v>104.66</v>
      </c>
      <c r="EE64" s="229">
        <v>3.8E-3</v>
      </c>
      <c r="EF64" s="228">
        <v>0</v>
      </c>
      <c r="EG64" s="228">
        <v>0</v>
      </c>
      <c r="EH64" s="229">
        <v>0</v>
      </c>
      <c r="EI64" s="229">
        <v>0</v>
      </c>
      <c r="EJ64" s="231">
        <v>6505683.6600000001</v>
      </c>
      <c r="EK64" s="231">
        <v>6673915.7300000004</v>
      </c>
      <c r="EL64" s="231">
        <v>15354.7</v>
      </c>
      <c r="EM64" s="228">
        <v>0</v>
      </c>
      <c r="EN64" s="231">
        <v>13194954.09</v>
      </c>
      <c r="EO64" s="231">
        <v>7977256.7199999997</v>
      </c>
      <c r="EP64" s="231">
        <v>5217697.37</v>
      </c>
      <c r="EQ64" s="229">
        <v>0.65410000000000001</v>
      </c>
      <c r="ER64" s="231">
        <v>494326</v>
      </c>
      <c r="ES64" s="231">
        <v>515656</v>
      </c>
      <c r="ET64" s="231">
        <v>12420</v>
      </c>
      <c r="EU64" s="228">
        <v>0</v>
      </c>
      <c r="EV64" s="231">
        <v>1022403</v>
      </c>
      <c r="EW64" s="231">
        <v>1048667</v>
      </c>
      <c r="EX64" s="231">
        <v>-26264</v>
      </c>
      <c r="EY64" s="229">
        <v>-2.5000000000000001E-2</v>
      </c>
      <c r="EZ64" s="229">
        <v>0</v>
      </c>
      <c r="FA64" s="227" t="s">
        <v>555</v>
      </c>
      <c r="FB64" s="161">
        <f t="shared" si="0"/>
        <v>18265</v>
      </c>
    </row>
    <row r="65" spans="1:158" ht="17.25" hidden="1" thickBot="1" x14ac:dyDescent="0.3">
      <c r="A65" s="226">
        <v>45957</v>
      </c>
      <c r="B65" s="227" t="s">
        <v>170</v>
      </c>
      <c r="C65" s="227" t="s">
        <v>678</v>
      </c>
      <c r="D65" s="228">
        <v>775</v>
      </c>
      <c r="E65" s="231">
        <v>1053.05</v>
      </c>
      <c r="F65" s="231">
        <v>1039</v>
      </c>
      <c r="G65" s="228">
        <v>14.05</v>
      </c>
      <c r="H65" s="229">
        <v>1.35E-2</v>
      </c>
      <c r="I65" s="231">
        <v>1052.55</v>
      </c>
      <c r="J65" s="231">
        <v>1037.3</v>
      </c>
      <c r="K65" s="228">
        <v>15.25</v>
      </c>
      <c r="L65" s="229">
        <v>1.47E-2</v>
      </c>
      <c r="M65" s="231">
        <v>1053.05</v>
      </c>
      <c r="N65" s="231">
        <v>1039</v>
      </c>
      <c r="O65" s="228">
        <v>14.05</v>
      </c>
      <c r="P65" s="229">
        <v>1.35E-2</v>
      </c>
      <c r="Q65" s="231">
        <v>1058.9000000000001</v>
      </c>
      <c r="R65" s="231">
        <v>1044.4000000000001</v>
      </c>
      <c r="S65" s="228">
        <v>14.5</v>
      </c>
      <c r="T65" s="229">
        <v>1.3899999999999999E-2</v>
      </c>
      <c r="U65" s="231">
        <v>1061</v>
      </c>
      <c r="V65" s="231">
        <v>1048.3</v>
      </c>
      <c r="W65" s="228">
        <v>12.7</v>
      </c>
      <c r="X65" s="229">
        <v>1.21E-2</v>
      </c>
      <c r="Y65" s="228">
        <v>0.5</v>
      </c>
      <c r="Z65" s="228">
        <v>1.7</v>
      </c>
      <c r="AA65" s="228">
        <v>-1.2</v>
      </c>
      <c r="AB65" s="229">
        <v>5.0000000000000001E-4</v>
      </c>
      <c r="AC65" s="228">
        <v>0.5</v>
      </c>
      <c r="AD65" s="228">
        <v>1.7</v>
      </c>
      <c r="AE65" s="228">
        <v>-1.2</v>
      </c>
      <c r="AF65" s="229">
        <v>5.0000000000000001E-4</v>
      </c>
      <c r="AG65" s="228">
        <v>6.35</v>
      </c>
      <c r="AH65" s="228">
        <v>7.1</v>
      </c>
      <c r="AI65" s="228">
        <v>-0.75</v>
      </c>
      <c r="AJ65" s="229">
        <v>6.0000000000000001E-3</v>
      </c>
      <c r="AK65" s="228">
        <v>8.4499999999999993</v>
      </c>
      <c r="AL65" s="228">
        <v>11</v>
      </c>
      <c r="AM65" s="228">
        <v>-2.5499999999999998</v>
      </c>
      <c r="AN65" s="229">
        <v>8.0000000000000002E-3</v>
      </c>
      <c r="AO65" s="231">
        <v>1047.96</v>
      </c>
      <c r="AP65" s="231">
        <v>1054.05</v>
      </c>
      <c r="AQ65" s="228">
        <v>0</v>
      </c>
      <c r="AR65" s="230">
        <v>6850225</v>
      </c>
      <c r="AS65" s="230">
        <v>8641250</v>
      </c>
      <c r="AT65" s="230">
        <v>-1791025</v>
      </c>
      <c r="AU65" s="229">
        <v>-0.20730000000000001</v>
      </c>
      <c r="AV65" s="230">
        <v>2969025</v>
      </c>
      <c r="AW65" s="230">
        <v>4176475</v>
      </c>
      <c r="AX65" s="230">
        <v>-1207450</v>
      </c>
      <c r="AY65" s="229">
        <v>-0.28910000000000002</v>
      </c>
      <c r="AZ65" s="230">
        <v>3853300</v>
      </c>
      <c r="BA65" s="230">
        <v>4450825</v>
      </c>
      <c r="BB65" s="230">
        <v>-597525</v>
      </c>
      <c r="BC65" s="229">
        <v>-0.1343</v>
      </c>
      <c r="BD65" s="230">
        <v>27900</v>
      </c>
      <c r="BE65" s="230">
        <v>13950</v>
      </c>
      <c r="BF65" s="230">
        <v>13950</v>
      </c>
      <c r="BG65" s="229">
        <v>1</v>
      </c>
      <c r="BH65" s="230">
        <v>5555975</v>
      </c>
      <c r="BI65" s="230">
        <v>7521375</v>
      </c>
      <c r="BJ65" s="230">
        <v>-1965400</v>
      </c>
      <c r="BK65" s="229">
        <v>-0.26129999999999998</v>
      </c>
      <c r="BL65" s="230">
        <v>3919950</v>
      </c>
      <c r="BM65" s="230">
        <v>4507400</v>
      </c>
      <c r="BN65" s="230">
        <v>-587450</v>
      </c>
      <c r="BO65" s="229">
        <v>-0.1303</v>
      </c>
      <c r="BP65" s="230">
        <v>16326150</v>
      </c>
      <c r="BQ65" s="230">
        <v>20670025</v>
      </c>
      <c r="BR65" s="230">
        <v>-4343875</v>
      </c>
      <c r="BS65" s="229">
        <v>-0.2102</v>
      </c>
      <c r="BT65" s="230">
        <v>1585090</v>
      </c>
      <c r="BU65" s="230">
        <v>2466340</v>
      </c>
      <c r="BV65" s="230">
        <v>-881250</v>
      </c>
      <c r="BW65" s="229">
        <v>-0.35730000000000001</v>
      </c>
      <c r="BX65" s="230">
        <v>9621625</v>
      </c>
      <c r="BY65" s="230">
        <v>9402300</v>
      </c>
      <c r="BZ65" s="230">
        <v>219325</v>
      </c>
      <c r="CA65" s="229">
        <v>2.3300000000000001E-2</v>
      </c>
      <c r="CB65" s="230">
        <v>877300</v>
      </c>
      <c r="CC65" s="230">
        <v>2956625</v>
      </c>
      <c r="CD65" s="230">
        <v>-2079325</v>
      </c>
      <c r="CE65" s="229">
        <v>-0.70330000000000004</v>
      </c>
      <c r="CF65" s="230">
        <v>8696275</v>
      </c>
      <c r="CG65" s="230">
        <v>6403050</v>
      </c>
      <c r="CH65" s="230">
        <v>2293225</v>
      </c>
      <c r="CI65" s="229">
        <v>0.35809999999999997</v>
      </c>
      <c r="CJ65" s="230">
        <v>48050</v>
      </c>
      <c r="CK65" s="230">
        <v>42625</v>
      </c>
      <c r="CL65" s="230">
        <v>5425</v>
      </c>
      <c r="CM65" s="229">
        <v>0.1273</v>
      </c>
      <c r="CN65" s="230">
        <v>3630875</v>
      </c>
      <c r="CO65" s="230">
        <v>4057125</v>
      </c>
      <c r="CP65" s="230">
        <v>-426250</v>
      </c>
      <c r="CQ65" s="229">
        <v>-0.1051</v>
      </c>
      <c r="CR65" s="230">
        <v>2583075</v>
      </c>
      <c r="CS65" s="230">
        <v>2782250</v>
      </c>
      <c r="CT65" s="230">
        <v>-199175</v>
      </c>
      <c r="CU65" s="229">
        <v>-7.1599999999999997E-2</v>
      </c>
      <c r="CV65" s="230">
        <v>15835575</v>
      </c>
      <c r="CW65" s="230">
        <v>16241675</v>
      </c>
      <c r="CX65" s="230">
        <v>-406100</v>
      </c>
      <c r="CY65" s="229">
        <v>-2.5000000000000001E-2</v>
      </c>
      <c r="CZ65" s="228">
        <v>28.84</v>
      </c>
      <c r="DA65" s="228">
        <v>29.99</v>
      </c>
      <c r="DB65" s="228">
        <v>-1.1499999999999999</v>
      </c>
      <c r="DC65" s="228">
        <v>-1.1499999999999999</v>
      </c>
      <c r="DD65" s="228">
        <v>36.93</v>
      </c>
      <c r="DE65" s="228">
        <v>36.97</v>
      </c>
      <c r="DF65" s="228">
        <v>-8.09</v>
      </c>
      <c r="DG65" s="228">
        <v>-0.04</v>
      </c>
      <c r="DH65" s="228">
        <v>28.88</v>
      </c>
      <c r="DI65" s="228">
        <v>30.31</v>
      </c>
      <c r="DJ65" s="228">
        <v>-1.43</v>
      </c>
      <c r="DK65" s="228">
        <v>-1.43</v>
      </c>
      <c r="DL65" s="228">
        <v>28.79</v>
      </c>
      <c r="DM65" s="228">
        <v>28.28</v>
      </c>
      <c r="DN65" s="228">
        <v>0.51</v>
      </c>
      <c r="DO65" s="228">
        <v>0.51</v>
      </c>
      <c r="DP65" s="228">
        <v>0.71</v>
      </c>
      <c r="DQ65" s="228">
        <v>0.69</v>
      </c>
      <c r="DR65" s="228">
        <v>0.02</v>
      </c>
      <c r="DS65" s="229">
        <v>2.9000000000000001E-2</v>
      </c>
      <c r="DT65" s="231">
        <v>1100</v>
      </c>
      <c r="DU65" s="231">
        <v>1000</v>
      </c>
      <c r="DV65" s="228">
        <v>0.71</v>
      </c>
      <c r="DW65" s="228">
        <v>0.6</v>
      </c>
      <c r="DX65" s="228">
        <v>0.11</v>
      </c>
      <c r="DY65" s="229">
        <v>0.18329999999999999</v>
      </c>
      <c r="DZ65" s="229">
        <v>0.90880000000000005</v>
      </c>
      <c r="EA65" s="230">
        <v>6445675</v>
      </c>
      <c r="EB65" s="229">
        <v>5.5999999999999999E-3</v>
      </c>
      <c r="EC65" s="229">
        <v>0.90880000000000005</v>
      </c>
      <c r="ED65" s="228">
        <v>6.09</v>
      </c>
      <c r="EE65" s="229">
        <v>5.7999999999999996E-3</v>
      </c>
      <c r="EF65" s="230">
        <v>848228</v>
      </c>
      <c r="EG65" s="230">
        <v>1794147</v>
      </c>
      <c r="EH65" s="229">
        <v>-0.5272</v>
      </c>
      <c r="EI65" s="229">
        <v>0.53510000000000002</v>
      </c>
      <c r="EJ65" s="231">
        <v>60469.63</v>
      </c>
      <c r="EK65" s="231">
        <v>39721.449999999997</v>
      </c>
      <c r="EL65" s="231">
        <v>72024.31</v>
      </c>
      <c r="EM65" s="231">
        <v>6647</v>
      </c>
      <c r="EN65" s="231">
        <v>172215.39</v>
      </c>
      <c r="EO65" s="231">
        <v>220067.51</v>
      </c>
      <c r="EP65" s="231">
        <v>-47852.12</v>
      </c>
      <c r="EQ65" s="229">
        <v>-0.21740000000000001</v>
      </c>
      <c r="ER65" s="231">
        <v>39775</v>
      </c>
      <c r="ES65" s="231">
        <v>25991</v>
      </c>
      <c r="ET65" s="231">
        <v>101833</v>
      </c>
      <c r="EU65" s="231">
        <v>62490435</v>
      </c>
      <c r="EV65" s="231">
        <v>167599</v>
      </c>
      <c r="EW65" s="231">
        <v>170430</v>
      </c>
      <c r="EX65" s="231">
        <v>-2831</v>
      </c>
      <c r="EY65" s="229">
        <v>-1.66E-2</v>
      </c>
      <c r="EZ65" s="229">
        <v>0.25340000000000001</v>
      </c>
      <c r="FA65" s="227" t="s">
        <v>555</v>
      </c>
      <c r="FB65" s="161">
        <f t="shared" si="0"/>
        <v>8744325</v>
      </c>
    </row>
    <row r="66" spans="1:158" ht="17.25" hidden="1" thickBot="1" x14ac:dyDescent="0.3">
      <c r="A66" s="226">
        <v>45957</v>
      </c>
      <c r="B66" s="227" t="s">
        <v>193</v>
      </c>
      <c r="C66" s="227" t="s">
        <v>213</v>
      </c>
      <c r="D66" s="228">
        <v>3150</v>
      </c>
      <c r="E66" s="228">
        <v>179.96</v>
      </c>
      <c r="F66" s="228">
        <v>180.79</v>
      </c>
      <c r="G66" s="228">
        <v>-0.83</v>
      </c>
      <c r="H66" s="229">
        <v>-4.5999999999999999E-3</v>
      </c>
      <c r="I66" s="228">
        <v>180.17</v>
      </c>
      <c r="J66" s="228">
        <v>181.02</v>
      </c>
      <c r="K66" s="228">
        <v>-0.85</v>
      </c>
      <c r="L66" s="229">
        <v>-4.7000000000000002E-3</v>
      </c>
      <c r="M66" s="228">
        <v>179.96</v>
      </c>
      <c r="N66" s="228">
        <v>180.79</v>
      </c>
      <c r="O66" s="228">
        <v>-0.83</v>
      </c>
      <c r="P66" s="229">
        <v>-4.5999999999999999E-3</v>
      </c>
      <c r="Q66" s="228">
        <v>180.87</v>
      </c>
      <c r="R66" s="228">
        <v>181.48</v>
      </c>
      <c r="S66" s="228">
        <v>-0.61</v>
      </c>
      <c r="T66" s="229">
        <v>-3.3999999999999998E-3</v>
      </c>
      <c r="U66" s="228">
        <v>182.18</v>
      </c>
      <c r="V66" s="228">
        <v>182.49</v>
      </c>
      <c r="W66" s="228">
        <v>-0.31</v>
      </c>
      <c r="X66" s="229">
        <v>-1.6999999999999999E-3</v>
      </c>
      <c r="Y66" s="228">
        <v>-0.21</v>
      </c>
      <c r="Z66" s="228">
        <v>-0.23</v>
      </c>
      <c r="AA66" s="228">
        <v>0.02</v>
      </c>
      <c r="AB66" s="229">
        <v>-1.1999999999999999E-3</v>
      </c>
      <c r="AC66" s="228">
        <v>-0.21</v>
      </c>
      <c r="AD66" s="228">
        <v>-0.23</v>
      </c>
      <c r="AE66" s="228">
        <v>0.02</v>
      </c>
      <c r="AF66" s="229">
        <v>-1.1999999999999999E-3</v>
      </c>
      <c r="AG66" s="228">
        <v>0.7</v>
      </c>
      <c r="AH66" s="228">
        <v>0.46</v>
      </c>
      <c r="AI66" s="228">
        <v>0.24</v>
      </c>
      <c r="AJ66" s="229">
        <v>3.8999999999999998E-3</v>
      </c>
      <c r="AK66" s="228">
        <v>2.0099999999999998</v>
      </c>
      <c r="AL66" s="228">
        <v>1.47</v>
      </c>
      <c r="AM66" s="228">
        <v>0.54</v>
      </c>
      <c r="AN66" s="229">
        <v>1.12E-2</v>
      </c>
      <c r="AO66" s="228">
        <v>180.4</v>
      </c>
      <c r="AP66" s="228">
        <v>181.32</v>
      </c>
      <c r="AQ66" s="228">
        <v>0</v>
      </c>
      <c r="AR66" s="230">
        <v>53285400</v>
      </c>
      <c r="AS66" s="230">
        <v>75278700</v>
      </c>
      <c r="AT66" s="230">
        <v>-21993300</v>
      </c>
      <c r="AU66" s="229">
        <v>-0.29220000000000002</v>
      </c>
      <c r="AV66" s="230">
        <v>25036200</v>
      </c>
      <c r="AW66" s="230">
        <v>39255300</v>
      </c>
      <c r="AX66" s="230">
        <v>-14219100</v>
      </c>
      <c r="AY66" s="229">
        <v>-0.36220000000000002</v>
      </c>
      <c r="AZ66" s="230">
        <v>27534150</v>
      </c>
      <c r="BA66" s="230">
        <v>35623350</v>
      </c>
      <c r="BB66" s="230">
        <v>-8089200</v>
      </c>
      <c r="BC66" s="229">
        <v>-0.2271</v>
      </c>
      <c r="BD66" s="230">
        <v>715050</v>
      </c>
      <c r="BE66" s="230">
        <v>400050</v>
      </c>
      <c r="BF66" s="230">
        <v>315000</v>
      </c>
      <c r="BG66" s="229">
        <v>0.78739999999999999</v>
      </c>
      <c r="BH66" s="230">
        <v>30047850</v>
      </c>
      <c r="BI66" s="230">
        <v>46368000</v>
      </c>
      <c r="BJ66" s="230">
        <v>-16320150</v>
      </c>
      <c r="BK66" s="229">
        <v>-0.35199999999999998</v>
      </c>
      <c r="BL66" s="230">
        <v>13088250</v>
      </c>
      <c r="BM66" s="230">
        <v>22809150</v>
      </c>
      <c r="BN66" s="230">
        <v>-9720900</v>
      </c>
      <c r="BO66" s="229">
        <v>-0.42620000000000002</v>
      </c>
      <c r="BP66" s="230">
        <v>96421500</v>
      </c>
      <c r="BQ66" s="230">
        <v>144455850</v>
      </c>
      <c r="BR66" s="230">
        <v>-48034350</v>
      </c>
      <c r="BS66" s="229">
        <v>-0.33250000000000002</v>
      </c>
      <c r="BT66" s="230">
        <v>8350184</v>
      </c>
      <c r="BU66" s="230">
        <v>16712160</v>
      </c>
      <c r="BV66" s="230">
        <v>-8361976</v>
      </c>
      <c r="BW66" s="229">
        <v>-0.50039999999999996</v>
      </c>
      <c r="BX66" s="230">
        <v>88467750</v>
      </c>
      <c r="BY66" s="230">
        <v>90067950</v>
      </c>
      <c r="BZ66" s="230">
        <v>-1600200</v>
      </c>
      <c r="CA66" s="229">
        <v>-1.78E-2</v>
      </c>
      <c r="CB66" s="230">
        <v>16991100</v>
      </c>
      <c r="CC66" s="230">
        <v>37481850</v>
      </c>
      <c r="CD66" s="230">
        <v>-20490750</v>
      </c>
      <c r="CE66" s="229">
        <v>-0.54669999999999996</v>
      </c>
      <c r="CF66" s="230">
        <v>69621300</v>
      </c>
      <c r="CG66" s="230">
        <v>51228450</v>
      </c>
      <c r="CH66" s="230">
        <v>18392850</v>
      </c>
      <c r="CI66" s="229">
        <v>0.35899999999999999</v>
      </c>
      <c r="CJ66" s="230">
        <v>1855350</v>
      </c>
      <c r="CK66" s="230">
        <v>1357650</v>
      </c>
      <c r="CL66" s="230">
        <v>497700</v>
      </c>
      <c r="CM66" s="229">
        <v>0.36659999999999998</v>
      </c>
      <c r="CN66" s="230">
        <v>40030200</v>
      </c>
      <c r="CO66" s="230">
        <v>39614400</v>
      </c>
      <c r="CP66" s="230">
        <v>415800</v>
      </c>
      <c r="CQ66" s="229">
        <v>1.0500000000000001E-2</v>
      </c>
      <c r="CR66" s="230">
        <v>27849150</v>
      </c>
      <c r="CS66" s="230">
        <v>26513550</v>
      </c>
      <c r="CT66" s="230">
        <v>1335600</v>
      </c>
      <c r="CU66" s="229">
        <v>5.04E-2</v>
      </c>
      <c r="CV66" s="230">
        <v>156347100</v>
      </c>
      <c r="CW66" s="230">
        <v>156195900</v>
      </c>
      <c r="CX66" s="230">
        <v>151200</v>
      </c>
      <c r="CY66" s="229">
        <v>1E-3</v>
      </c>
      <c r="CZ66" s="228">
        <v>26.8</v>
      </c>
      <c r="DA66" s="228">
        <v>24.85</v>
      </c>
      <c r="DB66" s="228">
        <v>1.95</v>
      </c>
      <c r="DC66" s="228">
        <v>1.95</v>
      </c>
      <c r="DD66" s="228">
        <v>35.979999999999997</v>
      </c>
      <c r="DE66" s="228">
        <v>36.07</v>
      </c>
      <c r="DF66" s="228">
        <v>-9.18</v>
      </c>
      <c r="DG66" s="228">
        <v>-0.09</v>
      </c>
      <c r="DH66" s="228">
        <v>27.14</v>
      </c>
      <c r="DI66" s="228">
        <v>25.25</v>
      </c>
      <c r="DJ66" s="228">
        <v>1.89</v>
      </c>
      <c r="DK66" s="228">
        <v>1.89</v>
      </c>
      <c r="DL66" s="228">
        <v>26.13</v>
      </c>
      <c r="DM66" s="228">
        <v>24.04</v>
      </c>
      <c r="DN66" s="228">
        <v>2.09</v>
      </c>
      <c r="DO66" s="228">
        <v>2.09</v>
      </c>
      <c r="DP66" s="228">
        <v>0.7</v>
      </c>
      <c r="DQ66" s="228">
        <v>0.67</v>
      </c>
      <c r="DR66" s="228">
        <v>0.03</v>
      </c>
      <c r="DS66" s="229">
        <v>4.48E-2</v>
      </c>
      <c r="DT66" s="228">
        <v>190</v>
      </c>
      <c r="DU66" s="228">
        <v>180</v>
      </c>
      <c r="DV66" s="228">
        <v>0.44</v>
      </c>
      <c r="DW66" s="228">
        <v>0.49</v>
      </c>
      <c r="DX66" s="228">
        <v>-0.05</v>
      </c>
      <c r="DY66" s="229">
        <v>-0.10199999999999999</v>
      </c>
      <c r="DZ66" s="229">
        <v>0.80789999999999995</v>
      </c>
      <c r="EA66" s="230">
        <v>52586100</v>
      </c>
      <c r="EB66" s="229">
        <v>5.1000000000000004E-3</v>
      </c>
      <c r="EC66" s="229">
        <v>0.80789999999999995</v>
      </c>
      <c r="ED66" s="228">
        <v>0.92</v>
      </c>
      <c r="EE66" s="229">
        <v>5.1000000000000004E-3</v>
      </c>
      <c r="EF66" s="230">
        <v>5225220</v>
      </c>
      <c r="EG66" s="230">
        <v>11899948</v>
      </c>
      <c r="EH66" s="229">
        <v>-0.56089999999999995</v>
      </c>
      <c r="EI66" s="229">
        <v>0.62580000000000002</v>
      </c>
      <c r="EJ66" s="231">
        <v>56232.06</v>
      </c>
      <c r="EK66" s="231">
        <v>24120.35</v>
      </c>
      <c r="EL66" s="231">
        <v>96394.93</v>
      </c>
      <c r="EM66" s="231">
        <v>10984</v>
      </c>
      <c r="EN66" s="231">
        <v>176747.34</v>
      </c>
      <c r="EO66" s="231">
        <v>266024.40000000002</v>
      </c>
      <c r="EP66" s="231">
        <v>-89277.06</v>
      </c>
      <c r="EQ66" s="229">
        <v>-0.33560000000000001</v>
      </c>
      <c r="ER66" s="231">
        <v>74951</v>
      </c>
      <c r="ES66" s="231">
        <v>50398</v>
      </c>
      <c r="ET66" s="231">
        <v>159881</v>
      </c>
      <c r="EU66" s="231">
        <v>402429848</v>
      </c>
      <c r="EV66" s="231">
        <v>285231</v>
      </c>
      <c r="EW66" s="231">
        <v>285194</v>
      </c>
      <c r="EX66" s="228">
        <v>37</v>
      </c>
      <c r="EY66" s="229">
        <v>1E-4</v>
      </c>
      <c r="EZ66" s="229">
        <v>0.38850000000000001</v>
      </c>
      <c r="FA66" s="227" t="s">
        <v>568</v>
      </c>
      <c r="FB66" s="161">
        <f t="shared" si="0"/>
        <v>71476650</v>
      </c>
    </row>
    <row r="67" spans="1:158" ht="17.25" hidden="1" thickBot="1" x14ac:dyDescent="0.3">
      <c r="A67" s="226">
        <v>45957</v>
      </c>
      <c r="B67" s="227" t="s">
        <v>170</v>
      </c>
      <c r="C67" s="227" t="s">
        <v>214</v>
      </c>
      <c r="D67" s="228">
        <v>375</v>
      </c>
      <c r="E67" s="231">
        <v>1817.3</v>
      </c>
      <c r="F67" s="231">
        <v>1817.7</v>
      </c>
      <c r="G67" s="228">
        <v>-0.4</v>
      </c>
      <c r="H67" s="229">
        <v>-2.0000000000000001E-4</v>
      </c>
      <c r="I67" s="231">
        <v>1812.7</v>
      </c>
      <c r="J67" s="231">
        <v>1818.8</v>
      </c>
      <c r="K67" s="228">
        <v>-6.1</v>
      </c>
      <c r="L67" s="229">
        <v>-3.3999999999999998E-3</v>
      </c>
      <c r="M67" s="231">
        <v>1817.3</v>
      </c>
      <c r="N67" s="231">
        <v>1817.7</v>
      </c>
      <c r="O67" s="228">
        <v>-0.4</v>
      </c>
      <c r="P67" s="229">
        <v>-2.0000000000000001E-4</v>
      </c>
      <c r="Q67" s="231">
        <v>1826.7</v>
      </c>
      <c r="R67" s="231">
        <v>1828.3</v>
      </c>
      <c r="S67" s="228">
        <v>-1.6</v>
      </c>
      <c r="T67" s="229">
        <v>-8.9999999999999998E-4</v>
      </c>
      <c r="U67" s="231">
        <v>1837.9</v>
      </c>
      <c r="V67" s="231">
        <v>1839</v>
      </c>
      <c r="W67" s="228">
        <v>-1.1000000000000001</v>
      </c>
      <c r="X67" s="229">
        <v>-5.9999999999999995E-4</v>
      </c>
      <c r="Y67" s="228">
        <v>4.5999999999999996</v>
      </c>
      <c r="Z67" s="228">
        <v>-1.1000000000000001</v>
      </c>
      <c r="AA67" s="228">
        <v>5.7</v>
      </c>
      <c r="AB67" s="229">
        <v>2.5000000000000001E-3</v>
      </c>
      <c r="AC67" s="228">
        <v>4.5999999999999996</v>
      </c>
      <c r="AD67" s="228">
        <v>-1.1000000000000001</v>
      </c>
      <c r="AE67" s="228">
        <v>5.7</v>
      </c>
      <c r="AF67" s="229">
        <v>2.5000000000000001E-3</v>
      </c>
      <c r="AG67" s="228">
        <v>14</v>
      </c>
      <c r="AH67" s="228">
        <v>9.5</v>
      </c>
      <c r="AI67" s="228">
        <v>4.5</v>
      </c>
      <c r="AJ67" s="229">
        <v>7.7000000000000002E-3</v>
      </c>
      <c r="AK67" s="228">
        <v>25.2</v>
      </c>
      <c r="AL67" s="228">
        <v>20.2</v>
      </c>
      <c r="AM67" s="228">
        <v>5</v>
      </c>
      <c r="AN67" s="229">
        <v>1.3899999999999999E-2</v>
      </c>
      <c r="AO67" s="231">
        <v>1821.33</v>
      </c>
      <c r="AP67" s="231">
        <v>1830.82</v>
      </c>
      <c r="AQ67" s="228">
        <v>0</v>
      </c>
      <c r="AR67" s="230">
        <v>6229125</v>
      </c>
      <c r="AS67" s="230">
        <v>7167750</v>
      </c>
      <c r="AT67" s="230">
        <v>-938625</v>
      </c>
      <c r="AU67" s="229">
        <v>-0.13100000000000001</v>
      </c>
      <c r="AV67" s="230">
        <v>2508750</v>
      </c>
      <c r="AW67" s="230">
        <v>3506625</v>
      </c>
      <c r="AX67" s="230">
        <v>-997875</v>
      </c>
      <c r="AY67" s="229">
        <v>-0.28460000000000002</v>
      </c>
      <c r="AZ67" s="230">
        <v>3690750</v>
      </c>
      <c r="BA67" s="230">
        <v>3648750</v>
      </c>
      <c r="BB67" s="230">
        <v>42000</v>
      </c>
      <c r="BC67" s="229">
        <v>1.15E-2</v>
      </c>
      <c r="BD67" s="230">
        <v>29625</v>
      </c>
      <c r="BE67" s="230">
        <v>12375</v>
      </c>
      <c r="BF67" s="230">
        <v>17250</v>
      </c>
      <c r="BG67" s="229">
        <v>1.3938999999999999</v>
      </c>
      <c r="BH67" s="230">
        <v>5186625</v>
      </c>
      <c r="BI67" s="230">
        <v>4090875</v>
      </c>
      <c r="BJ67" s="230">
        <v>1095750</v>
      </c>
      <c r="BK67" s="229">
        <v>0.26790000000000003</v>
      </c>
      <c r="BL67" s="230">
        <v>1371750</v>
      </c>
      <c r="BM67" s="230">
        <v>1603500</v>
      </c>
      <c r="BN67" s="230">
        <v>-231750</v>
      </c>
      <c r="BO67" s="229">
        <v>-0.14449999999999999</v>
      </c>
      <c r="BP67" s="230">
        <v>12787500</v>
      </c>
      <c r="BQ67" s="230">
        <v>12862125</v>
      </c>
      <c r="BR67" s="230">
        <v>-74625</v>
      </c>
      <c r="BS67" s="229">
        <v>-5.7999999999999996E-3</v>
      </c>
      <c r="BT67" s="230">
        <v>1264432</v>
      </c>
      <c r="BU67" s="230">
        <v>546568</v>
      </c>
      <c r="BV67" s="230">
        <v>717864</v>
      </c>
      <c r="BW67" s="229">
        <v>1.3133999999999999</v>
      </c>
      <c r="BX67" s="230">
        <v>9322875</v>
      </c>
      <c r="BY67" s="230">
        <v>8650500</v>
      </c>
      <c r="BZ67" s="230">
        <v>672375</v>
      </c>
      <c r="CA67" s="229">
        <v>7.7700000000000005E-2</v>
      </c>
      <c r="CB67" s="230">
        <v>1407750</v>
      </c>
      <c r="CC67" s="230">
        <v>3491250</v>
      </c>
      <c r="CD67" s="230">
        <v>-2083500</v>
      </c>
      <c r="CE67" s="229">
        <v>-0.5968</v>
      </c>
      <c r="CF67" s="230">
        <v>7878375</v>
      </c>
      <c r="CG67" s="230">
        <v>5133750</v>
      </c>
      <c r="CH67" s="230">
        <v>2744625</v>
      </c>
      <c r="CI67" s="229">
        <v>0.53459999999999996</v>
      </c>
      <c r="CJ67" s="230">
        <v>36750</v>
      </c>
      <c r="CK67" s="230">
        <v>25500</v>
      </c>
      <c r="CL67" s="230">
        <v>11250</v>
      </c>
      <c r="CM67" s="229">
        <v>0.44119999999999998</v>
      </c>
      <c r="CN67" s="230">
        <v>2913750</v>
      </c>
      <c r="CO67" s="230">
        <v>2811000</v>
      </c>
      <c r="CP67" s="230">
        <v>102750</v>
      </c>
      <c r="CQ67" s="229">
        <v>3.6600000000000001E-2</v>
      </c>
      <c r="CR67" s="230">
        <v>1558500</v>
      </c>
      <c r="CS67" s="230">
        <v>1484250</v>
      </c>
      <c r="CT67" s="230">
        <v>74250</v>
      </c>
      <c r="CU67" s="229">
        <v>0.05</v>
      </c>
      <c r="CV67" s="230">
        <v>13795125</v>
      </c>
      <c r="CW67" s="230">
        <v>12945750</v>
      </c>
      <c r="CX67" s="230">
        <v>849375</v>
      </c>
      <c r="CY67" s="229">
        <v>6.5600000000000006E-2</v>
      </c>
      <c r="CZ67" s="228">
        <v>31.29</v>
      </c>
      <c r="DA67" s="228">
        <v>30.87</v>
      </c>
      <c r="DB67" s="228">
        <v>0.42</v>
      </c>
      <c r="DC67" s="228">
        <v>0.42</v>
      </c>
      <c r="DD67" s="228">
        <v>37.74</v>
      </c>
      <c r="DE67" s="228">
        <v>37.83</v>
      </c>
      <c r="DF67" s="228">
        <v>-6.45</v>
      </c>
      <c r="DG67" s="228">
        <v>-0.09</v>
      </c>
      <c r="DH67" s="228">
        <v>31.23</v>
      </c>
      <c r="DI67" s="228">
        <v>31.01</v>
      </c>
      <c r="DJ67" s="228">
        <v>0.22</v>
      </c>
      <c r="DK67" s="228">
        <v>0.22</v>
      </c>
      <c r="DL67" s="228">
        <v>31.48</v>
      </c>
      <c r="DM67" s="228">
        <v>30.58</v>
      </c>
      <c r="DN67" s="228">
        <v>0.9</v>
      </c>
      <c r="DO67" s="228">
        <v>0.9</v>
      </c>
      <c r="DP67" s="228">
        <v>0.53</v>
      </c>
      <c r="DQ67" s="228">
        <v>0.53</v>
      </c>
      <c r="DR67" s="228">
        <v>0</v>
      </c>
      <c r="DS67" s="229">
        <v>0</v>
      </c>
      <c r="DT67" s="231">
        <v>2000</v>
      </c>
      <c r="DU67" s="231">
        <v>1800</v>
      </c>
      <c r="DV67" s="228">
        <v>0.26</v>
      </c>
      <c r="DW67" s="228">
        <v>0.39</v>
      </c>
      <c r="DX67" s="228">
        <v>-0.13</v>
      </c>
      <c r="DY67" s="229">
        <v>-0.33329999999999999</v>
      </c>
      <c r="DZ67" s="229">
        <v>0.84899999999999998</v>
      </c>
      <c r="EA67" s="230">
        <v>5159250</v>
      </c>
      <c r="EB67" s="229">
        <v>5.1999999999999998E-3</v>
      </c>
      <c r="EC67" s="229">
        <v>0.84899999999999998</v>
      </c>
      <c r="ED67" s="228">
        <v>9.49</v>
      </c>
      <c r="EE67" s="229">
        <v>5.1999999999999998E-3</v>
      </c>
      <c r="EF67" s="230">
        <v>894706</v>
      </c>
      <c r="EG67" s="230">
        <v>306657</v>
      </c>
      <c r="EH67" s="229">
        <v>1.9176</v>
      </c>
      <c r="EI67" s="229">
        <v>0.70760000000000001</v>
      </c>
      <c r="EJ67" s="231">
        <v>98466.94</v>
      </c>
      <c r="EK67" s="231">
        <v>25337.26</v>
      </c>
      <c r="EL67" s="231">
        <v>113809.49</v>
      </c>
      <c r="EM67" s="231">
        <v>8277</v>
      </c>
      <c r="EN67" s="231">
        <v>237613.69</v>
      </c>
      <c r="EO67" s="231">
        <v>240671.26</v>
      </c>
      <c r="EP67" s="231">
        <v>-3057.57</v>
      </c>
      <c r="EQ67" s="229">
        <v>-1.2699999999999999E-2</v>
      </c>
      <c r="ER67" s="231">
        <v>57202</v>
      </c>
      <c r="ES67" s="231">
        <v>28935</v>
      </c>
      <c r="ET67" s="231">
        <v>170173</v>
      </c>
      <c r="EU67" s="231">
        <v>22585180</v>
      </c>
      <c r="EV67" s="231">
        <v>256310</v>
      </c>
      <c r="EW67" s="231">
        <v>240988</v>
      </c>
      <c r="EX67" s="231">
        <v>15322</v>
      </c>
      <c r="EY67" s="229">
        <v>6.3600000000000004E-2</v>
      </c>
      <c r="EZ67" s="229">
        <v>0.61080000000000001</v>
      </c>
      <c r="FA67" s="227" t="s">
        <v>567</v>
      </c>
      <c r="FB67" s="161">
        <f t="shared" ref="FB67:FB130" si="1">BX67-CB67</f>
        <v>7915125</v>
      </c>
    </row>
    <row r="68" spans="1:158" ht="17.25" hidden="1" thickBot="1" x14ac:dyDescent="0.3">
      <c r="A68" s="226">
        <v>45957</v>
      </c>
      <c r="B68" s="227" t="s">
        <v>215</v>
      </c>
      <c r="C68" s="227" t="s">
        <v>631</v>
      </c>
      <c r="D68" s="228">
        <v>6975</v>
      </c>
      <c r="E68" s="228">
        <v>92.51</v>
      </c>
      <c r="F68" s="228">
        <v>93.13</v>
      </c>
      <c r="G68" s="228">
        <v>-0.62</v>
      </c>
      <c r="H68" s="229">
        <v>-6.7000000000000002E-3</v>
      </c>
      <c r="I68" s="228">
        <v>92.34</v>
      </c>
      <c r="J68" s="228">
        <v>93.2</v>
      </c>
      <c r="K68" s="228">
        <v>-0.86</v>
      </c>
      <c r="L68" s="229">
        <v>-9.1999999999999998E-3</v>
      </c>
      <c r="M68" s="228">
        <v>92.51</v>
      </c>
      <c r="N68" s="228">
        <v>93.13</v>
      </c>
      <c r="O68" s="228">
        <v>-0.62</v>
      </c>
      <c r="P68" s="229">
        <v>-6.7000000000000002E-3</v>
      </c>
      <c r="Q68" s="228">
        <v>93.02</v>
      </c>
      <c r="R68" s="228">
        <v>93.66</v>
      </c>
      <c r="S68" s="228">
        <v>-0.64</v>
      </c>
      <c r="T68" s="229">
        <v>-6.7999999999999996E-3</v>
      </c>
      <c r="U68" s="228">
        <v>93.63</v>
      </c>
      <c r="V68" s="228">
        <v>94.33</v>
      </c>
      <c r="W68" s="228">
        <v>-0.7</v>
      </c>
      <c r="X68" s="229">
        <v>-7.4000000000000003E-3</v>
      </c>
      <c r="Y68" s="228">
        <v>0.17</v>
      </c>
      <c r="Z68" s="228">
        <v>-7.0000000000000007E-2</v>
      </c>
      <c r="AA68" s="228">
        <v>0.24</v>
      </c>
      <c r="AB68" s="229">
        <v>1.8E-3</v>
      </c>
      <c r="AC68" s="228">
        <v>0.17</v>
      </c>
      <c r="AD68" s="228">
        <v>-7.0000000000000007E-2</v>
      </c>
      <c r="AE68" s="228">
        <v>0.24</v>
      </c>
      <c r="AF68" s="229">
        <v>1.8E-3</v>
      </c>
      <c r="AG68" s="228">
        <v>0.68</v>
      </c>
      <c r="AH68" s="228">
        <v>0.46</v>
      </c>
      <c r="AI68" s="228">
        <v>0.22</v>
      </c>
      <c r="AJ68" s="229">
        <v>7.4000000000000003E-3</v>
      </c>
      <c r="AK68" s="228">
        <v>1.29</v>
      </c>
      <c r="AL68" s="228">
        <v>1.1299999999999999</v>
      </c>
      <c r="AM68" s="228">
        <v>0.16</v>
      </c>
      <c r="AN68" s="229">
        <v>1.4E-2</v>
      </c>
      <c r="AO68" s="228">
        <v>92.56</v>
      </c>
      <c r="AP68" s="228">
        <v>93.08</v>
      </c>
      <c r="AQ68" s="228">
        <v>0</v>
      </c>
      <c r="AR68" s="230">
        <v>111355875</v>
      </c>
      <c r="AS68" s="230">
        <v>159016050</v>
      </c>
      <c r="AT68" s="230">
        <v>-47660175</v>
      </c>
      <c r="AU68" s="229">
        <v>-0.29970000000000002</v>
      </c>
      <c r="AV68" s="230">
        <v>52717050</v>
      </c>
      <c r="AW68" s="230">
        <v>80575200</v>
      </c>
      <c r="AX68" s="230">
        <v>-27858150</v>
      </c>
      <c r="AY68" s="229">
        <v>-0.34570000000000001</v>
      </c>
      <c r="AZ68" s="230">
        <v>56699775</v>
      </c>
      <c r="BA68" s="230">
        <v>77896800</v>
      </c>
      <c r="BB68" s="230">
        <v>-21197025</v>
      </c>
      <c r="BC68" s="229">
        <v>-0.27210000000000001</v>
      </c>
      <c r="BD68" s="230">
        <v>1939050</v>
      </c>
      <c r="BE68" s="230">
        <v>544050</v>
      </c>
      <c r="BF68" s="230">
        <v>1395000</v>
      </c>
      <c r="BG68" s="229">
        <v>2.5640999999999998</v>
      </c>
      <c r="BH68" s="230">
        <v>59022450</v>
      </c>
      <c r="BI68" s="230">
        <v>146802825</v>
      </c>
      <c r="BJ68" s="230">
        <v>-87780375</v>
      </c>
      <c r="BK68" s="229">
        <v>-0.59789999999999999</v>
      </c>
      <c r="BL68" s="230">
        <v>24747300</v>
      </c>
      <c r="BM68" s="230">
        <v>52270650</v>
      </c>
      <c r="BN68" s="230">
        <v>-27523350</v>
      </c>
      <c r="BO68" s="229">
        <v>-0.52659999999999996</v>
      </c>
      <c r="BP68" s="230">
        <v>195125625</v>
      </c>
      <c r="BQ68" s="230">
        <v>358089525</v>
      </c>
      <c r="BR68" s="230">
        <v>-162963900</v>
      </c>
      <c r="BS68" s="229">
        <v>-0.4551</v>
      </c>
      <c r="BT68" s="230">
        <v>9440624</v>
      </c>
      <c r="BU68" s="230">
        <v>27201354</v>
      </c>
      <c r="BV68" s="230">
        <v>-17760730</v>
      </c>
      <c r="BW68" s="229">
        <v>-0.65290000000000004</v>
      </c>
      <c r="BX68" s="230">
        <v>230314500</v>
      </c>
      <c r="BY68" s="230">
        <v>224134650</v>
      </c>
      <c r="BZ68" s="230">
        <v>6179850</v>
      </c>
      <c r="CA68" s="229">
        <v>2.76E-2</v>
      </c>
      <c r="CB68" s="230">
        <v>54983925</v>
      </c>
      <c r="CC68" s="230">
        <v>96429375</v>
      </c>
      <c r="CD68" s="230">
        <v>-41445450</v>
      </c>
      <c r="CE68" s="229">
        <v>-0.42980000000000002</v>
      </c>
      <c r="CF68" s="230">
        <v>172938150</v>
      </c>
      <c r="CG68" s="230">
        <v>126931050</v>
      </c>
      <c r="CH68" s="230">
        <v>46007100</v>
      </c>
      <c r="CI68" s="229">
        <v>0.36249999999999999</v>
      </c>
      <c r="CJ68" s="230">
        <v>2392425</v>
      </c>
      <c r="CK68" s="230">
        <v>774225</v>
      </c>
      <c r="CL68" s="230">
        <v>1618200</v>
      </c>
      <c r="CM68" s="229">
        <v>2.0901000000000001</v>
      </c>
      <c r="CN68" s="230">
        <v>93206925</v>
      </c>
      <c r="CO68" s="230">
        <v>91972350</v>
      </c>
      <c r="CP68" s="230">
        <v>1234575</v>
      </c>
      <c r="CQ68" s="229">
        <v>1.34E-2</v>
      </c>
      <c r="CR68" s="230">
        <v>46725525</v>
      </c>
      <c r="CS68" s="230">
        <v>43586775</v>
      </c>
      <c r="CT68" s="230">
        <v>3138750</v>
      </c>
      <c r="CU68" s="229">
        <v>7.1999999999999995E-2</v>
      </c>
      <c r="CV68" s="230">
        <v>370246950</v>
      </c>
      <c r="CW68" s="230">
        <v>359693775</v>
      </c>
      <c r="CX68" s="230">
        <v>10553175</v>
      </c>
      <c r="CY68" s="229">
        <v>2.93E-2</v>
      </c>
      <c r="CZ68" s="228">
        <v>28.39</v>
      </c>
      <c r="DA68" s="228">
        <v>28.08</v>
      </c>
      <c r="DB68" s="228">
        <v>0.31</v>
      </c>
      <c r="DC68" s="228">
        <v>0.31</v>
      </c>
      <c r="DD68" s="228">
        <v>36.909999999999997</v>
      </c>
      <c r="DE68" s="228">
        <v>37</v>
      </c>
      <c r="DF68" s="228">
        <v>-8.52</v>
      </c>
      <c r="DG68" s="228">
        <v>-0.09</v>
      </c>
      <c r="DH68" s="228">
        <v>28.77</v>
      </c>
      <c r="DI68" s="228">
        <v>28.25</v>
      </c>
      <c r="DJ68" s="228">
        <v>0.52</v>
      </c>
      <c r="DK68" s="228">
        <v>0.52</v>
      </c>
      <c r="DL68" s="228">
        <v>27.42</v>
      </c>
      <c r="DM68" s="228">
        <v>27.31</v>
      </c>
      <c r="DN68" s="228">
        <v>0.11</v>
      </c>
      <c r="DO68" s="228">
        <v>0.11</v>
      </c>
      <c r="DP68" s="228">
        <v>0.5</v>
      </c>
      <c r="DQ68" s="228">
        <v>0.47</v>
      </c>
      <c r="DR68" s="228">
        <v>0.03</v>
      </c>
      <c r="DS68" s="229">
        <v>6.3799999999999996E-2</v>
      </c>
      <c r="DT68" s="228">
        <v>95</v>
      </c>
      <c r="DU68" s="228">
        <v>85</v>
      </c>
      <c r="DV68" s="228">
        <v>0.42</v>
      </c>
      <c r="DW68" s="228">
        <v>0.36</v>
      </c>
      <c r="DX68" s="228">
        <v>0.06</v>
      </c>
      <c r="DY68" s="229">
        <v>0.16669999999999999</v>
      </c>
      <c r="DZ68" s="229">
        <v>0.76129999999999998</v>
      </c>
      <c r="EA68" s="230">
        <v>127705275</v>
      </c>
      <c r="EB68" s="229">
        <v>5.4999999999999997E-3</v>
      </c>
      <c r="EC68" s="229">
        <v>0.76129999999999998</v>
      </c>
      <c r="ED68" s="228">
        <v>0.52</v>
      </c>
      <c r="EE68" s="229">
        <v>5.5999999999999999E-3</v>
      </c>
      <c r="EF68" s="230">
        <v>5894383</v>
      </c>
      <c r="EG68" s="230">
        <v>15803004</v>
      </c>
      <c r="EH68" s="229">
        <v>-0.627</v>
      </c>
      <c r="EI68" s="229">
        <v>0.62439999999999996</v>
      </c>
      <c r="EJ68" s="231">
        <v>56577.46</v>
      </c>
      <c r="EK68" s="231">
        <v>23138.58</v>
      </c>
      <c r="EL68" s="231">
        <v>103385.15</v>
      </c>
      <c r="EM68" s="231">
        <v>11518</v>
      </c>
      <c r="EN68" s="231">
        <v>183101.19</v>
      </c>
      <c r="EO68" s="231">
        <v>339053.3</v>
      </c>
      <c r="EP68" s="231">
        <v>-155952.10999999999</v>
      </c>
      <c r="EQ68" s="229">
        <v>-0.46</v>
      </c>
      <c r="ER68" s="231">
        <v>88668</v>
      </c>
      <c r="ES68" s="231">
        <v>41030</v>
      </c>
      <c r="ET68" s="231">
        <v>213973</v>
      </c>
      <c r="EU68" s="231">
        <v>534704421</v>
      </c>
      <c r="EV68" s="231">
        <v>343670</v>
      </c>
      <c r="EW68" s="231">
        <v>335107</v>
      </c>
      <c r="EX68" s="231">
        <v>8563</v>
      </c>
      <c r="EY68" s="229">
        <v>2.5600000000000001E-2</v>
      </c>
      <c r="EZ68" s="229">
        <v>0.69240000000000002</v>
      </c>
      <c r="FA68" s="227" t="s">
        <v>567</v>
      </c>
      <c r="FB68" s="161">
        <f t="shared" si="1"/>
        <v>175330575</v>
      </c>
    </row>
    <row r="69" spans="1:158" ht="17.25" hidden="1" thickBot="1" x14ac:dyDescent="0.3">
      <c r="A69" s="226">
        <v>45957</v>
      </c>
      <c r="B69" s="227" t="s">
        <v>168</v>
      </c>
      <c r="C69" s="227" t="s">
        <v>217</v>
      </c>
      <c r="D69" s="228">
        <v>500</v>
      </c>
      <c r="E69" s="231">
        <v>1128.0999999999999</v>
      </c>
      <c r="F69" s="231">
        <v>1129.5</v>
      </c>
      <c r="G69" s="228">
        <v>-1.4</v>
      </c>
      <c r="H69" s="229">
        <v>-1.1999999999999999E-3</v>
      </c>
      <c r="I69" s="231">
        <v>1124.7</v>
      </c>
      <c r="J69" s="231">
        <v>1130.4000000000001</v>
      </c>
      <c r="K69" s="228">
        <v>-5.7</v>
      </c>
      <c r="L69" s="229">
        <v>-5.0000000000000001E-3</v>
      </c>
      <c r="M69" s="231">
        <v>1128.0999999999999</v>
      </c>
      <c r="N69" s="231">
        <v>1129.5</v>
      </c>
      <c r="O69" s="228">
        <v>-1.4</v>
      </c>
      <c r="P69" s="229">
        <v>-1.1999999999999999E-3</v>
      </c>
      <c r="Q69" s="231">
        <v>1115.8</v>
      </c>
      <c r="R69" s="231">
        <v>1121</v>
      </c>
      <c r="S69" s="228">
        <v>-5.2</v>
      </c>
      <c r="T69" s="229">
        <v>-4.5999999999999999E-3</v>
      </c>
      <c r="U69" s="231">
        <v>1114.2</v>
      </c>
      <c r="V69" s="231">
        <v>1118.4000000000001</v>
      </c>
      <c r="W69" s="228">
        <v>-4.2</v>
      </c>
      <c r="X69" s="229">
        <v>-3.8E-3</v>
      </c>
      <c r="Y69" s="228">
        <v>3.4</v>
      </c>
      <c r="Z69" s="228">
        <v>-0.9</v>
      </c>
      <c r="AA69" s="228">
        <v>4.3</v>
      </c>
      <c r="AB69" s="229">
        <v>3.0000000000000001E-3</v>
      </c>
      <c r="AC69" s="228">
        <v>3.4</v>
      </c>
      <c r="AD69" s="228">
        <v>-0.9</v>
      </c>
      <c r="AE69" s="228">
        <v>4.3</v>
      </c>
      <c r="AF69" s="229">
        <v>3.0000000000000001E-3</v>
      </c>
      <c r="AG69" s="228">
        <v>-8.9</v>
      </c>
      <c r="AH69" s="228">
        <v>-9.4</v>
      </c>
      <c r="AI69" s="228">
        <v>0.5</v>
      </c>
      <c r="AJ69" s="229">
        <v>-7.9000000000000008E-3</v>
      </c>
      <c r="AK69" s="228">
        <v>-10.5</v>
      </c>
      <c r="AL69" s="228">
        <v>-12</v>
      </c>
      <c r="AM69" s="228">
        <v>1.5</v>
      </c>
      <c r="AN69" s="229">
        <v>-9.2999999999999992E-3</v>
      </c>
      <c r="AO69" s="231">
        <v>1129.8800000000001</v>
      </c>
      <c r="AP69" s="231">
        <v>1118.5</v>
      </c>
      <c r="AQ69" s="228">
        <v>0</v>
      </c>
      <c r="AR69" s="230">
        <v>8167500</v>
      </c>
      <c r="AS69" s="230">
        <v>9383000</v>
      </c>
      <c r="AT69" s="230">
        <v>-1215500</v>
      </c>
      <c r="AU69" s="229">
        <v>-0.1295</v>
      </c>
      <c r="AV69" s="230">
        <v>4060500</v>
      </c>
      <c r="AW69" s="230">
        <v>4796000</v>
      </c>
      <c r="AX69" s="230">
        <v>-735500</v>
      </c>
      <c r="AY69" s="229">
        <v>-0.15340000000000001</v>
      </c>
      <c r="AZ69" s="230">
        <v>4076500</v>
      </c>
      <c r="BA69" s="230">
        <v>4563000</v>
      </c>
      <c r="BB69" s="230">
        <v>-486500</v>
      </c>
      <c r="BC69" s="229">
        <v>-0.1066</v>
      </c>
      <c r="BD69" s="230">
        <v>30500</v>
      </c>
      <c r="BE69" s="230">
        <v>24000</v>
      </c>
      <c r="BF69" s="230">
        <v>6500</v>
      </c>
      <c r="BG69" s="229">
        <v>0.27079999999999999</v>
      </c>
      <c r="BH69" s="230">
        <v>2486500</v>
      </c>
      <c r="BI69" s="230">
        <v>3319500</v>
      </c>
      <c r="BJ69" s="230">
        <v>-833000</v>
      </c>
      <c r="BK69" s="229">
        <v>-0.25090000000000001</v>
      </c>
      <c r="BL69" s="230">
        <v>1236500</v>
      </c>
      <c r="BM69" s="230">
        <v>1891000</v>
      </c>
      <c r="BN69" s="230">
        <v>-654500</v>
      </c>
      <c r="BO69" s="229">
        <v>-0.34610000000000002</v>
      </c>
      <c r="BP69" s="230">
        <v>11890500</v>
      </c>
      <c r="BQ69" s="230">
        <v>14593500</v>
      </c>
      <c r="BR69" s="230">
        <v>-2703000</v>
      </c>
      <c r="BS69" s="229">
        <v>-0.1852</v>
      </c>
      <c r="BT69" s="230">
        <v>1561502</v>
      </c>
      <c r="BU69" s="230">
        <v>1427381</v>
      </c>
      <c r="BV69" s="230">
        <v>134121</v>
      </c>
      <c r="BW69" s="229">
        <v>9.4E-2</v>
      </c>
      <c r="BX69" s="230">
        <v>13379500</v>
      </c>
      <c r="BY69" s="230">
        <v>12756000</v>
      </c>
      <c r="BZ69" s="230">
        <v>623500</v>
      </c>
      <c r="CA69" s="229">
        <v>4.8899999999999999E-2</v>
      </c>
      <c r="CB69" s="230">
        <v>2190500</v>
      </c>
      <c r="CC69" s="230">
        <v>4075000</v>
      </c>
      <c r="CD69" s="230">
        <v>-1884500</v>
      </c>
      <c r="CE69" s="229">
        <v>-0.46250000000000002</v>
      </c>
      <c r="CF69" s="230">
        <v>11100000</v>
      </c>
      <c r="CG69" s="230">
        <v>8612000</v>
      </c>
      <c r="CH69" s="230">
        <v>2488000</v>
      </c>
      <c r="CI69" s="229">
        <v>0.28889999999999999</v>
      </c>
      <c r="CJ69" s="230">
        <v>89000</v>
      </c>
      <c r="CK69" s="230">
        <v>69000</v>
      </c>
      <c r="CL69" s="230">
        <v>20000</v>
      </c>
      <c r="CM69" s="229">
        <v>0.28989999999999999</v>
      </c>
      <c r="CN69" s="230">
        <v>2907500</v>
      </c>
      <c r="CO69" s="230">
        <v>3292500</v>
      </c>
      <c r="CP69" s="230">
        <v>-385000</v>
      </c>
      <c r="CQ69" s="229">
        <v>-0.1169</v>
      </c>
      <c r="CR69" s="230">
        <v>2205500</v>
      </c>
      <c r="CS69" s="230">
        <v>2309000</v>
      </c>
      <c r="CT69" s="230">
        <v>-103500</v>
      </c>
      <c r="CU69" s="229">
        <v>-4.48E-2</v>
      </c>
      <c r="CV69" s="230">
        <v>18492500</v>
      </c>
      <c r="CW69" s="230">
        <v>18357500</v>
      </c>
      <c r="CX69" s="230">
        <v>135000</v>
      </c>
      <c r="CY69" s="229">
        <v>7.4000000000000003E-3</v>
      </c>
      <c r="CZ69" s="228">
        <v>27.36</v>
      </c>
      <c r="DA69" s="228">
        <v>26.7</v>
      </c>
      <c r="DB69" s="228">
        <v>0.66</v>
      </c>
      <c r="DC69" s="228">
        <v>0.66</v>
      </c>
      <c r="DD69" s="228">
        <v>29.51</v>
      </c>
      <c r="DE69" s="228">
        <v>29.58</v>
      </c>
      <c r="DF69" s="228">
        <v>-2.15</v>
      </c>
      <c r="DG69" s="228">
        <v>-7.0000000000000007E-2</v>
      </c>
      <c r="DH69" s="228">
        <v>27.62</v>
      </c>
      <c r="DI69" s="228">
        <v>26.91</v>
      </c>
      <c r="DJ69" s="228">
        <v>0.71</v>
      </c>
      <c r="DK69" s="228">
        <v>0.71</v>
      </c>
      <c r="DL69" s="228">
        <v>26.89</v>
      </c>
      <c r="DM69" s="228">
        <v>26.34</v>
      </c>
      <c r="DN69" s="228">
        <v>0.55000000000000004</v>
      </c>
      <c r="DO69" s="228">
        <v>0.55000000000000004</v>
      </c>
      <c r="DP69" s="228">
        <v>0.76</v>
      </c>
      <c r="DQ69" s="228">
        <v>0.7</v>
      </c>
      <c r="DR69" s="228">
        <v>0.06</v>
      </c>
      <c r="DS69" s="229">
        <v>8.5699999999999998E-2</v>
      </c>
      <c r="DT69" s="231">
        <v>1200</v>
      </c>
      <c r="DU69" s="231">
        <v>1000</v>
      </c>
      <c r="DV69" s="228">
        <v>0.5</v>
      </c>
      <c r="DW69" s="228">
        <v>0.56999999999999995</v>
      </c>
      <c r="DX69" s="228">
        <v>-7.0000000000000007E-2</v>
      </c>
      <c r="DY69" s="229">
        <v>-0.12280000000000001</v>
      </c>
      <c r="DZ69" s="229">
        <v>0.83630000000000004</v>
      </c>
      <c r="EA69" s="230">
        <v>8681000</v>
      </c>
      <c r="EB69" s="229">
        <v>-1.09E-2</v>
      </c>
      <c r="EC69" s="229">
        <v>0.83630000000000004</v>
      </c>
      <c r="ED69" s="228">
        <v>-11.38</v>
      </c>
      <c r="EE69" s="229">
        <v>-1.01E-2</v>
      </c>
      <c r="EF69" s="230">
        <v>1081482</v>
      </c>
      <c r="EG69" s="230">
        <v>903380</v>
      </c>
      <c r="EH69" s="229">
        <v>0.19719999999999999</v>
      </c>
      <c r="EI69" s="229">
        <v>0.69259999999999999</v>
      </c>
      <c r="EJ69" s="231">
        <v>29412.82</v>
      </c>
      <c r="EK69" s="231">
        <v>13937.08</v>
      </c>
      <c r="EL69" s="231">
        <v>91814.65</v>
      </c>
      <c r="EM69" s="231">
        <v>12140</v>
      </c>
      <c r="EN69" s="231">
        <v>135164.54999999999</v>
      </c>
      <c r="EO69" s="231">
        <v>165313.32</v>
      </c>
      <c r="EP69" s="231">
        <v>-30148.77</v>
      </c>
      <c r="EQ69" s="229">
        <v>-0.18240000000000001</v>
      </c>
      <c r="ER69" s="231">
        <v>34621</v>
      </c>
      <c r="ES69" s="231">
        <v>24068</v>
      </c>
      <c r="ET69" s="231">
        <v>149556</v>
      </c>
      <c r="EU69" s="231">
        <v>58001204</v>
      </c>
      <c r="EV69" s="231">
        <v>208246</v>
      </c>
      <c r="EW69" s="231">
        <v>207971</v>
      </c>
      <c r="EX69" s="228">
        <v>275</v>
      </c>
      <c r="EY69" s="229">
        <v>1.2999999999999999E-3</v>
      </c>
      <c r="EZ69" s="229">
        <v>0.31879999999999997</v>
      </c>
      <c r="FA69" s="227" t="s">
        <v>567</v>
      </c>
      <c r="FB69" s="161">
        <f t="shared" si="1"/>
        <v>11189000</v>
      </c>
    </row>
    <row r="70" spans="1:158" ht="17.25" hidden="1" thickBot="1" x14ac:dyDescent="0.3">
      <c r="A70" s="226">
        <v>45957</v>
      </c>
      <c r="B70" s="227" t="s">
        <v>206</v>
      </c>
      <c r="C70" s="227" t="s">
        <v>218</v>
      </c>
      <c r="D70" s="228">
        <v>275</v>
      </c>
      <c r="E70" s="231">
        <v>2318.1</v>
      </c>
      <c r="F70" s="231">
        <v>2284.6</v>
      </c>
      <c r="G70" s="228">
        <v>33.5</v>
      </c>
      <c r="H70" s="229">
        <v>1.47E-2</v>
      </c>
      <c r="I70" s="231">
        <v>2320.3000000000002</v>
      </c>
      <c r="J70" s="231">
        <v>2287.8000000000002</v>
      </c>
      <c r="K70" s="228">
        <v>32.5</v>
      </c>
      <c r="L70" s="229">
        <v>1.4200000000000001E-2</v>
      </c>
      <c r="M70" s="231">
        <v>2318.1</v>
      </c>
      <c r="N70" s="231">
        <v>2284.6</v>
      </c>
      <c r="O70" s="228">
        <v>33.5</v>
      </c>
      <c r="P70" s="229">
        <v>1.47E-2</v>
      </c>
      <c r="Q70" s="231">
        <v>2330.8000000000002</v>
      </c>
      <c r="R70" s="231">
        <v>2297.5</v>
      </c>
      <c r="S70" s="228">
        <v>33.299999999999997</v>
      </c>
      <c r="T70" s="229">
        <v>1.4500000000000001E-2</v>
      </c>
      <c r="U70" s="231">
        <v>2345.1999999999998</v>
      </c>
      <c r="V70" s="231">
        <v>2313.4</v>
      </c>
      <c r="W70" s="228">
        <v>31.8</v>
      </c>
      <c r="X70" s="229">
        <v>1.37E-2</v>
      </c>
      <c r="Y70" s="228">
        <v>-2.2000000000000002</v>
      </c>
      <c r="Z70" s="228">
        <v>-3.2</v>
      </c>
      <c r="AA70" s="228">
        <v>1</v>
      </c>
      <c r="AB70" s="229">
        <v>-8.9999999999999998E-4</v>
      </c>
      <c r="AC70" s="228">
        <v>-2.2000000000000002</v>
      </c>
      <c r="AD70" s="228">
        <v>-3.2</v>
      </c>
      <c r="AE70" s="228">
        <v>1</v>
      </c>
      <c r="AF70" s="229">
        <v>-8.9999999999999998E-4</v>
      </c>
      <c r="AG70" s="228">
        <v>10.5</v>
      </c>
      <c r="AH70" s="228">
        <v>9.6999999999999993</v>
      </c>
      <c r="AI70" s="228">
        <v>0.8</v>
      </c>
      <c r="AJ70" s="229">
        <v>4.4999999999999997E-3</v>
      </c>
      <c r="AK70" s="228">
        <v>24.9</v>
      </c>
      <c r="AL70" s="228">
        <v>25.6</v>
      </c>
      <c r="AM70" s="228">
        <v>-0.7</v>
      </c>
      <c r="AN70" s="229">
        <v>1.0699999999999999E-2</v>
      </c>
      <c r="AO70" s="231">
        <v>2327.9</v>
      </c>
      <c r="AP70" s="231">
        <v>2341.64</v>
      </c>
      <c r="AQ70" s="228">
        <v>0</v>
      </c>
      <c r="AR70" s="230">
        <v>5334450</v>
      </c>
      <c r="AS70" s="230">
        <v>7526750</v>
      </c>
      <c r="AT70" s="230">
        <v>-2192300</v>
      </c>
      <c r="AU70" s="229">
        <v>-0.2913</v>
      </c>
      <c r="AV70" s="230">
        <v>2512675</v>
      </c>
      <c r="AW70" s="230">
        <v>3774375</v>
      </c>
      <c r="AX70" s="230">
        <v>-1261700</v>
      </c>
      <c r="AY70" s="229">
        <v>-0.33429999999999999</v>
      </c>
      <c r="AZ70" s="230">
        <v>2772550</v>
      </c>
      <c r="BA70" s="230">
        <v>3734500</v>
      </c>
      <c r="BB70" s="230">
        <v>-961950</v>
      </c>
      <c r="BC70" s="229">
        <v>-0.2576</v>
      </c>
      <c r="BD70" s="230">
        <v>49225</v>
      </c>
      <c r="BE70" s="230">
        <v>17875</v>
      </c>
      <c r="BF70" s="230">
        <v>31350</v>
      </c>
      <c r="BG70" s="229">
        <v>1.7538</v>
      </c>
      <c r="BH70" s="230">
        <v>7488800</v>
      </c>
      <c r="BI70" s="230">
        <v>3779050</v>
      </c>
      <c r="BJ70" s="230">
        <v>3709750</v>
      </c>
      <c r="BK70" s="229">
        <v>0.98170000000000002</v>
      </c>
      <c r="BL70" s="230">
        <v>4007850</v>
      </c>
      <c r="BM70" s="230">
        <v>3073125</v>
      </c>
      <c r="BN70" s="230">
        <v>934725</v>
      </c>
      <c r="BO70" s="229">
        <v>0.30420000000000003</v>
      </c>
      <c r="BP70" s="230">
        <v>16831100</v>
      </c>
      <c r="BQ70" s="230">
        <v>14378925</v>
      </c>
      <c r="BR70" s="230">
        <v>2452175</v>
      </c>
      <c r="BS70" s="229">
        <v>0.17050000000000001</v>
      </c>
      <c r="BT70" s="230">
        <v>975149</v>
      </c>
      <c r="BU70" s="230">
        <v>409482</v>
      </c>
      <c r="BV70" s="230">
        <v>565667</v>
      </c>
      <c r="BW70" s="229">
        <v>1.3814</v>
      </c>
      <c r="BX70" s="230">
        <v>8797525</v>
      </c>
      <c r="BY70" s="230">
        <v>8807975</v>
      </c>
      <c r="BZ70" s="230">
        <v>-10450</v>
      </c>
      <c r="CA70" s="229">
        <v>-1.1999999999999999E-3</v>
      </c>
      <c r="CB70" s="230">
        <v>1348600</v>
      </c>
      <c r="CC70" s="230">
        <v>3087150</v>
      </c>
      <c r="CD70" s="230">
        <v>-1738550</v>
      </c>
      <c r="CE70" s="229">
        <v>-0.56320000000000003</v>
      </c>
      <c r="CF70" s="230">
        <v>7379075</v>
      </c>
      <c r="CG70" s="230">
        <v>5674350</v>
      </c>
      <c r="CH70" s="230">
        <v>1704725</v>
      </c>
      <c r="CI70" s="229">
        <v>0.3004</v>
      </c>
      <c r="CJ70" s="230">
        <v>69850</v>
      </c>
      <c r="CK70" s="230">
        <v>46475</v>
      </c>
      <c r="CL70" s="230">
        <v>23375</v>
      </c>
      <c r="CM70" s="229">
        <v>0.503</v>
      </c>
      <c r="CN70" s="230">
        <v>2709850</v>
      </c>
      <c r="CO70" s="230">
        <v>2713425</v>
      </c>
      <c r="CP70" s="230">
        <v>-3575</v>
      </c>
      <c r="CQ70" s="229">
        <v>-1.2999999999999999E-3</v>
      </c>
      <c r="CR70" s="230">
        <v>2538250</v>
      </c>
      <c r="CS70" s="230">
        <v>2768975</v>
      </c>
      <c r="CT70" s="230">
        <v>-230725</v>
      </c>
      <c r="CU70" s="229">
        <v>-8.3299999999999999E-2</v>
      </c>
      <c r="CV70" s="230">
        <v>14045625</v>
      </c>
      <c r="CW70" s="230">
        <v>14290375</v>
      </c>
      <c r="CX70" s="230">
        <v>-244750</v>
      </c>
      <c r="CY70" s="229">
        <v>-1.7100000000000001E-2</v>
      </c>
      <c r="CZ70" s="228">
        <v>34.1</v>
      </c>
      <c r="DA70" s="228">
        <v>33.72</v>
      </c>
      <c r="DB70" s="228">
        <v>0.38</v>
      </c>
      <c r="DC70" s="228">
        <v>0.38</v>
      </c>
      <c r="DD70" s="228">
        <v>43.99</v>
      </c>
      <c r="DE70" s="228">
        <v>44.05</v>
      </c>
      <c r="DF70" s="228">
        <v>-9.89</v>
      </c>
      <c r="DG70" s="228">
        <v>-0.06</v>
      </c>
      <c r="DH70" s="228">
        <v>33.99</v>
      </c>
      <c r="DI70" s="228">
        <v>33.49</v>
      </c>
      <c r="DJ70" s="228">
        <v>0.5</v>
      </c>
      <c r="DK70" s="228">
        <v>0.5</v>
      </c>
      <c r="DL70" s="228">
        <v>34.380000000000003</v>
      </c>
      <c r="DM70" s="228">
        <v>34</v>
      </c>
      <c r="DN70" s="228">
        <v>0.38</v>
      </c>
      <c r="DO70" s="228">
        <v>0.38</v>
      </c>
      <c r="DP70" s="228">
        <v>0.94</v>
      </c>
      <c r="DQ70" s="228">
        <v>1.02</v>
      </c>
      <c r="DR70" s="228">
        <v>-0.08</v>
      </c>
      <c r="DS70" s="229">
        <v>-7.8399999999999997E-2</v>
      </c>
      <c r="DT70" s="231">
        <v>2400</v>
      </c>
      <c r="DU70" s="231">
        <v>2100</v>
      </c>
      <c r="DV70" s="228">
        <v>0.54</v>
      </c>
      <c r="DW70" s="228">
        <v>0.81</v>
      </c>
      <c r="DX70" s="228">
        <v>-0.27</v>
      </c>
      <c r="DY70" s="229">
        <v>-0.33329999999999999</v>
      </c>
      <c r="DZ70" s="229">
        <v>0.84670000000000001</v>
      </c>
      <c r="EA70" s="230">
        <v>5720825</v>
      </c>
      <c r="EB70" s="229">
        <v>5.4999999999999997E-3</v>
      </c>
      <c r="EC70" s="229">
        <v>0.84670000000000001</v>
      </c>
      <c r="ED70" s="228">
        <v>13.74</v>
      </c>
      <c r="EE70" s="229">
        <v>5.8999999999999999E-3</v>
      </c>
      <c r="EF70" s="230">
        <v>408967</v>
      </c>
      <c r="EG70" s="230">
        <v>208904</v>
      </c>
      <c r="EH70" s="229">
        <v>0.9577</v>
      </c>
      <c r="EI70" s="229">
        <v>0.4194</v>
      </c>
      <c r="EJ70" s="231">
        <v>178846.39</v>
      </c>
      <c r="EK70" s="231">
        <v>90212.11</v>
      </c>
      <c r="EL70" s="231">
        <v>124575.12</v>
      </c>
      <c r="EM70" s="231">
        <v>13814</v>
      </c>
      <c r="EN70" s="231">
        <v>393633.62</v>
      </c>
      <c r="EO70" s="231">
        <v>330090.34999999998</v>
      </c>
      <c r="EP70" s="231">
        <v>63543.27</v>
      </c>
      <c r="EQ70" s="229">
        <v>0.1925</v>
      </c>
      <c r="ER70" s="231">
        <v>61733</v>
      </c>
      <c r="ES70" s="231">
        <v>54045</v>
      </c>
      <c r="ET70" s="231">
        <v>204891</v>
      </c>
      <c r="EU70" s="231">
        <v>24082879</v>
      </c>
      <c r="EV70" s="231">
        <v>320669</v>
      </c>
      <c r="EW70" s="231">
        <v>321913</v>
      </c>
      <c r="EX70" s="231">
        <v>-1244</v>
      </c>
      <c r="EY70" s="229">
        <v>-3.8999999999999998E-3</v>
      </c>
      <c r="EZ70" s="229">
        <v>0.58320000000000005</v>
      </c>
      <c r="FA70" s="227" t="s">
        <v>556</v>
      </c>
      <c r="FB70" s="161">
        <f t="shared" si="1"/>
        <v>7448925</v>
      </c>
    </row>
    <row r="71" spans="1:158" ht="17.25" hidden="1" thickBot="1" x14ac:dyDescent="0.3">
      <c r="A71" s="226">
        <v>45957</v>
      </c>
      <c r="B71" s="227" t="s">
        <v>157</v>
      </c>
      <c r="C71" s="227" t="s">
        <v>219</v>
      </c>
      <c r="D71" s="228">
        <v>250</v>
      </c>
      <c r="E71" s="231">
        <v>2922.6</v>
      </c>
      <c r="F71" s="231">
        <v>2841.8</v>
      </c>
      <c r="G71" s="228">
        <v>80.8</v>
      </c>
      <c r="H71" s="229">
        <v>2.8400000000000002E-2</v>
      </c>
      <c r="I71" s="231">
        <v>2923.9</v>
      </c>
      <c r="J71" s="231">
        <v>2841.3</v>
      </c>
      <c r="K71" s="228">
        <v>82.6</v>
      </c>
      <c r="L71" s="229">
        <v>2.9100000000000001E-2</v>
      </c>
      <c r="M71" s="231">
        <v>2922.6</v>
      </c>
      <c r="N71" s="231">
        <v>2841.8</v>
      </c>
      <c r="O71" s="228">
        <v>80.8</v>
      </c>
      <c r="P71" s="229">
        <v>2.8400000000000002E-2</v>
      </c>
      <c r="Q71" s="231">
        <v>2942.4</v>
      </c>
      <c r="R71" s="231">
        <v>2859</v>
      </c>
      <c r="S71" s="228">
        <v>83.4</v>
      </c>
      <c r="T71" s="229">
        <v>2.92E-2</v>
      </c>
      <c r="U71" s="231">
        <v>2967.2</v>
      </c>
      <c r="V71" s="231">
        <v>2878.6</v>
      </c>
      <c r="W71" s="228">
        <v>88.6</v>
      </c>
      <c r="X71" s="229">
        <v>3.0800000000000001E-2</v>
      </c>
      <c r="Y71" s="228">
        <v>-1.3</v>
      </c>
      <c r="Z71" s="228">
        <v>0.5</v>
      </c>
      <c r="AA71" s="228">
        <v>-1.8</v>
      </c>
      <c r="AB71" s="229">
        <v>-4.0000000000000002E-4</v>
      </c>
      <c r="AC71" s="228">
        <v>-1.3</v>
      </c>
      <c r="AD71" s="228">
        <v>0.5</v>
      </c>
      <c r="AE71" s="228">
        <v>-1.8</v>
      </c>
      <c r="AF71" s="229">
        <v>-4.0000000000000002E-4</v>
      </c>
      <c r="AG71" s="228">
        <v>18.5</v>
      </c>
      <c r="AH71" s="228">
        <v>17.7</v>
      </c>
      <c r="AI71" s="228">
        <v>0.8</v>
      </c>
      <c r="AJ71" s="229">
        <v>6.3E-3</v>
      </c>
      <c r="AK71" s="228">
        <v>43.3</v>
      </c>
      <c r="AL71" s="228">
        <v>37.299999999999997</v>
      </c>
      <c r="AM71" s="228">
        <v>6</v>
      </c>
      <c r="AN71" s="229">
        <v>1.4800000000000001E-2</v>
      </c>
      <c r="AO71" s="231">
        <v>2898.02</v>
      </c>
      <c r="AP71" s="231">
        <v>2917.33</v>
      </c>
      <c r="AQ71" s="228">
        <v>0</v>
      </c>
      <c r="AR71" s="230">
        <v>7495250</v>
      </c>
      <c r="AS71" s="230">
        <v>12426500</v>
      </c>
      <c r="AT71" s="230">
        <v>-4931250</v>
      </c>
      <c r="AU71" s="229">
        <v>-0.39679999999999999</v>
      </c>
      <c r="AV71" s="230">
        <v>3179500</v>
      </c>
      <c r="AW71" s="230">
        <v>6068500</v>
      </c>
      <c r="AX71" s="230">
        <v>-2889000</v>
      </c>
      <c r="AY71" s="229">
        <v>-0.47610000000000002</v>
      </c>
      <c r="AZ71" s="230">
        <v>4295000</v>
      </c>
      <c r="BA71" s="230">
        <v>6348250</v>
      </c>
      <c r="BB71" s="230">
        <v>-2053250</v>
      </c>
      <c r="BC71" s="229">
        <v>-0.32340000000000002</v>
      </c>
      <c r="BD71" s="230">
        <v>20750</v>
      </c>
      <c r="BE71" s="230">
        <v>9750</v>
      </c>
      <c r="BF71" s="230">
        <v>11000</v>
      </c>
      <c r="BG71" s="229">
        <v>1.1282000000000001</v>
      </c>
      <c r="BH71" s="230">
        <v>7996250</v>
      </c>
      <c r="BI71" s="230">
        <v>2863750</v>
      </c>
      <c r="BJ71" s="230">
        <v>5132500</v>
      </c>
      <c r="BK71" s="229">
        <v>1.7922</v>
      </c>
      <c r="BL71" s="230">
        <v>2862500</v>
      </c>
      <c r="BM71" s="230">
        <v>1568000</v>
      </c>
      <c r="BN71" s="230">
        <v>1294500</v>
      </c>
      <c r="BO71" s="229">
        <v>0.8256</v>
      </c>
      <c r="BP71" s="230">
        <v>18354000</v>
      </c>
      <c r="BQ71" s="230">
        <v>16858250</v>
      </c>
      <c r="BR71" s="230">
        <v>1495750</v>
      </c>
      <c r="BS71" s="229">
        <v>8.8700000000000001E-2</v>
      </c>
      <c r="BT71" s="230">
        <v>778209</v>
      </c>
      <c r="BU71" s="230">
        <v>464526</v>
      </c>
      <c r="BV71" s="230">
        <v>313683</v>
      </c>
      <c r="BW71" s="229">
        <v>0.67530000000000001</v>
      </c>
      <c r="BX71" s="230">
        <v>15485500</v>
      </c>
      <c r="BY71" s="230">
        <v>15348250</v>
      </c>
      <c r="BZ71" s="230">
        <v>137250</v>
      </c>
      <c r="CA71" s="229">
        <v>8.8999999999999999E-3</v>
      </c>
      <c r="CB71" s="230">
        <v>2601000</v>
      </c>
      <c r="CC71" s="230">
        <v>5158000</v>
      </c>
      <c r="CD71" s="230">
        <v>-2557000</v>
      </c>
      <c r="CE71" s="229">
        <v>-0.49569999999999997</v>
      </c>
      <c r="CF71" s="230">
        <v>12852750</v>
      </c>
      <c r="CG71" s="230">
        <v>10165000</v>
      </c>
      <c r="CH71" s="230">
        <v>2687750</v>
      </c>
      <c r="CI71" s="229">
        <v>0.26440000000000002</v>
      </c>
      <c r="CJ71" s="230">
        <v>31750</v>
      </c>
      <c r="CK71" s="230">
        <v>25250</v>
      </c>
      <c r="CL71" s="230">
        <v>6500</v>
      </c>
      <c r="CM71" s="229">
        <v>0.25740000000000002</v>
      </c>
      <c r="CN71" s="230">
        <v>2206000</v>
      </c>
      <c r="CO71" s="230">
        <v>1828000</v>
      </c>
      <c r="CP71" s="230">
        <v>378000</v>
      </c>
      <c r="CQ71" s="229">
        <v>0.20680000000000001</v>
      </c>
      <c r="CR71" s="230">
        <v>1381000</v>
      </c>
      <c r="CS71" s="230">
        <v>1097000</v>
      </c>
      <c r="CT71" s="230">
        <v>284000</v>
      </c>
      <c r="CU71" s="229">
        <v>0.25890000000000002</v>
      </c>
      <c r="CV71" s="230">
        <v>19072500</v>
      </c>
      <c r="CW71" s="230">
        <v>18273250</v>
      </c>
      <c r="CX71" s="230">
        <v>799250</v>
      </c>
      <c r="CY71" s="229">
        <v>4.3700000000000003E-2</v>
      </c>
      <c r="CZ71" s="228">
        <v>24.74</v>
      </c>
      <c r="DA71" s="228">
        <v>22.31</v>
      </c>
      <c r="DB71" s="228">
        <v>2.4300000000000002</v>
      </c>
      <c r="DC71" s="228">
        <v>2.4300000000000002</v>
      </c>
      <c r="DD71" s="228">
        <v>25.53</v>
      </c>
      <c r="DE71" s="228">
        <v>25.3</v>
      </c>
      <c r="DF71" s="228">
        <v>-0.79</v>
      </c>
      <c r="DG71" s="228">
        <v>0.23</v>
      </c>
      <c r="DH71" s="228">
        <v>24.97</v>
      </c>
      <c r="DI71" s="228">
        <v>22.42</v>
      </c>
      <c r="DJ71" s="228">
        <v>2.5499999999999998</v>
      </c>
      <c r="DK71" s="228">
        <v>2.5499999999999998</v>
      </c>
      <c r="DL71" s="228">
        <v>23.97</v>
      </c>
      <c r="DM71" s="228">
        <v>22.1</v>
      </c>
      <c r="DN71" s="228">
        <v>1.87</v>
      </c>
      <c r="DO71" s="228">
        <v>1.87</v>
      </c>
      <c r="DP71" s="228">
        <v>0.63</v>
      </c>
      <c r="DQ71" s="228">
        <v>0.6</v>
      </c>
      <c r="DR71" s="228">
        <v>0.03</v>
      </c>
      <c r="DS71" s="229">
        <v>0.05</v>
      </c>
      <c r="DT71" s="231">
        <v>2960</v>
      </c>
      <c r="DU71" s="231">
        <v>2900</v>
      </c>
      <c r="DV71" s="228">
        <v>0.36</v>
      </c>
      <c r="DW71" s="228">
        <v>0.55000000000000004</v>
      </c>
      <c r="DX71" s="228">
        <v>-0.19</v>
      </c>
      <c r="DY71" s="229">
        <v>-0.34549999999999997</v>
      </c>
      <c r="DZ71" s="229">
        <v>0.83199999999999996</v>
      </c>
      <c r="EA71" s="230">
        <v>10190250</v>
      </c>
      <c r="EB71" s="229">
        <v>6.7999999999999996E-3</v>
      </c>
      <c r="EC71" s="229">
        <v>0.83199999999999996</v>
      </c>
      <c r="ED71" s="228">
        <v>19.309999999999999</v>
      </c>
      <c r="EE71" s="229">
        <v>6.7000000000000002E-3</v>
      </c>
      <c r="EF71" s="230">
        <v>414208</v>
      </c>
      <c r="EG71" s="230">
        <v>284222</v>
      </c>
      <c r="EH71" s="229">
        <v>0.45729999999999998</v>
      </c>
      <c r="EI71" s="229">
        <v>0.5323</v>
      </c>
      <c r="EJ71" s="231">
        <v>238446.69</v>
      </c>
      <c r="EK71" s="231">
        <v>81513.25</v>
      </c>
      <c r="EL71" s="231">
        <v>218052.45</v>
      </c>
      <c r="EM71" s="231">
        <v>21579</v>
      </c>
      <c r="EN71" s="231">
        <v>538012.39</v>
      </c>
      <c r="EO71" s="231">
        <v>483271.51</v>
      </c>
      <c r="EP71" s="231">
        <v>54740.88</v>
      </c>
      <c r="EQ71" s="229">
        <v>0.1133</v>
      </c>
      <c r="ER71" s="231">
        <v>65761</v>
      </c>
      <c r="ES71" s="231">
        <v>38245</v>
      </c>
      <c r="ET71" s="231">
        <v>455138</v>
      </c>
      <c r="EU71" s="231">
        <v>38514157</v>
      </c>
      <c r="EV71" s="231">
        <v>559144</v>
      </c>
      <c r="EW71" s="231">
        <v>522167</v>
      </c>
      <c r="EX71" s="231">
        <v>36977</v>
      </c>
      <c r="EY71" s="229">
        <v>7.0800000000000002E-2</v>
      </c>
      <c r="EZ71" s="229">
        <v>0.49519999999999997</v>
      </c>
      <c r="FA71" s="227" t="s">
        <v>555</v>
      </c>
      <c r="FB71" s="161">
        <f t="shared" si="1"/>
        <v>12884500</v>
      </c>
    </row>
    <row r="72" spans="1:158" ht="17.25" hidden="1" thickBot="1" x14ac:dyDescent="0.3">
      <c r="A72" s="226">
        <v>45957</v>
      </c>
      <c r="B72" s="227" t="s">
        <v>184</v>
      </c>
      <c r="C72" s="227" t="s">
        <v>513</v>
      </c>
      <c r="D72" s="228">
        <v>150</v>
      </c>
      <c r="E72" s="231">
        <v>4763.5</v>
      </c>
      <c r="F72" s="231">
        <v>4815.3999999999996</v>
      </c>
      <c r="G72" s="228">
        <v>-51.9</v>
      </c>
      <c r="H72" s="229">
        <v>-1.0800000000000001E-2</v>
      </c>
      <c r="I72" s="231">
        <v>4756.8</v>
      </c>
      <c r="J72" s="231">
        <v>4814.2</v>
      </c>
      <c r="K72" s="228">
        <v>-57.4</v>
      </c>
      <c r="L72" s="229">
        <v>-1.1900000000000001E-2</v>
      </c>
      <c r="M72" s="231">
        <v>4763.5</v>
      </c>
      <c r="N72" s="231">
        <v>4815.3999999999996</v>
      </c>
      <c r="O72" s="228">
        <v>-51.9</v>
      </c>
      <c r="P72" s="229">
        <v>-1.0800000000000001E-2</v>
      </c>
      <c r="Q72" s="231">
        <v>4788.6000000000004</v>
      </c>
      <c r="R72" s="231">
        <v>4840.8</v>
      </c>
      <c r="S72" s="228">
        <v>-52.2</v>
      </c>
      <c r="T72" s="229">
        <v>-1.0800000000000001E-2</v>
      </c>
      <c r="U72" s="231">
        <v>4817.8</v>
      </c>
      <c r="V72" s="231">
        <v>4876.3999999999996</v>
      </c>
      <c r="W72" s="228">
        <v>-58.6</v>
      </c>
      <c r="X72" s="229">
        <v>-1.2E-2</v>
      </c>
      <c r="Y72" s="228">
        <v>6.7</v>
      </c>
      <c r="Z72" s="228">
        <v>1.2</v>
      </c>
      <c r="AA72" s="228">
        <v>5.5</v>
      </c>
      <c r="AB72" s="229">
        <v>1.4E-3</v>
      </c>
      <c r="AC72" s="228">
        <v>6.7</v>
      </c>
      <c r="AD72" s="228">
        <v>1.2</v>
      </c>
      <c r="AE72" s="228">
        <v>5.5</v>
      </c>
      <c r="AF72" s="229">
        <v>1.4E-3</v>
      </c>
      <c r="AG72" s="228">
        <v>31.8</v>
      </c>
      <c r="AH72" s="228">
        <v>26.6</v>
      </c>
      <c r="AI72" s="228">
        <v>5.2</v>
      </c>
      <c r="AJ72" s="229">
        <v>6.7000000000000002E-3</v>
      </c>
      <c r="AK72" s="228">
        <v>61</v>
      </c>
      <c r="AL72" s="228">
        <v>62.2</v>
      </c>
      <c r="AM72" s="228">
        <v>-1.2</v>
      </c>
      <c r="AN72" s="229">
        <v>1.2800000000000001E-2</v>
      </c>
      <c r="AO72" s="231">
        <v>4780.17</v>
      </c>
      <c r="AP72" s="231">
        <v>4805.7700000000004</v>
      </c>
      <c r="AQ72" s="228">
        <v>0</v>
      </c>
      <c r="AR72" s="230">
        <v>6278250</v>
      </c>
      <c r="AS72" s="230">
        <v>6717600</v>
      </c>
      <c r="AT72" s="230">
        <v>-439350</v>
      </c>
      <c r="AU72" s="229">
        <v>-6.54E-2</v>
      </c>
      <c r="AV72" s="230">
        <v>2950800</v>
      </c>
      <c r="AW72" s="230">
        <v>3439800</v>
      </c>
      <c r="AX72" s="230">
        <v>-489000</v>
      </c>
      <c r="AY72" s="229">
        <v>-0.14219999999999999</v>
      </c>
      <c r="AZ72" s="230">
        <v>3115350</v>
      </c>
      <c r="BA72" s="230">
        <v>3214650</v>
      </c>
      <c r="BB72" s="230">
        <v>-99300</v>
      </c>
      <c r="BC72" s="229">
        <v>-3.09E-2</v>
      </c>
      <c r="BD72" s="230">
        <v>212100</v>
      </c>
      <c r="BE72" s="230">
        <v>63150</v>
      </c>
      <c r="BF72" s="230">
        <v>148950</v>
      </c>
      <c r="BG72" s="229">
        <v>2.3586999999999998</v>
      </c>
      <c r="BH72" s="230">
        <v>9615300</v>
      </c>
      <c r="BI72" s="230">
        <v>11155200</v>
      </c>
      <c r="BJ72" s="230">
        <v>-1539900</v>
      </c>
      <c r="BK72" s="229">
        <v>-0.13800000000000001</v>
      </c>
      <c r="BL72" s="230">
        <v>3954600</v>
      </c>
      <c r="BM72" s="230">
        <v>3687300</v>
      </c>
      <c r="BN72" s="230">
        <v>267300</v>
      </c>
      <c r="BO72" s="229">
        <v>7.2499999999999995E-2</v>
      </c>
      <c r="BP72" s="230">
        <v>19848150</v>
      </c>
      <c r="BQ72" s="230">
        <v>21560100</v>
      </c>
      <c r="BR72" s="230">
        <v>-1711950</v>
      </c>
      <c r="BS72" s="229">
        <v>-7.9399999999999998E-2</v>
      </c>
      <c r="BT72" s="230">
        <v>763459</v>
      </c>
      <c r="BU72" s="230">
        <v>658333</v>
      </c>
      <c r="BV72" s="230">
        <v>105126</v>
      </c>
      <c r="BW72" s="229">
        <v>0.15970000000000001</v>
      </c>
      <c r="BX72" s="230">
        <v>9960900</v>
      </c>
      <c r="BY72" s="230">
        <v>9882900</v>
      </c>
      <c r="BZ72" s="230">
        <v>78000</v>
      </c>
      <c r="CA72" s="229">
        <v>7.9000000000000008E-3</v>
      </c>
      <c r="CB72" s="230">
        <v>2131800</v>
      </c>
      <c r="CC72" s="230">
        <v>4505550</v>
      </c>
      <c r="CD72" s="230">
        <v>-2373750</v>
      </c>
      <c r="CE72" s="229">
        <v>-0.52690000000000003</v>
      </c>
      <c r="CF72" s="230">
        <v>7562100</v>
      </c>
      <c r="CG72" s="230">
        <v>5201850</v>
      </c>
      <c r="CH72" s="230">
        <v>2360250</v>
      </c>
      <c r="CI72" s="229">
        <v>0.45369999999999999</v>
      </c>
      <c r="CJ72" s="230">
        <v>267000</v>
      </c>
      <c r="CK72" s="230">
        <v>175500</v>
      </c>
      <c r="CL72" s="230">
        <v>91500</v>
      </c>
      <c r="CM72" s="229">
        <v>0.52139999999999997</v>
      </c>
      <c r="CN72" s="230">
        <v>4930200</v>
      </c>
      <c r="CO72" s="230">
        <v>5112600</v>
      </c>
      <c r="CP72" s="230">
        <v>-182400</v>
      </c>
      <c r="CQ72" s="229">
        <v>-3.5700000000000003E-2</v>
      </c>
      <c r="CR72" s="230">
        <v>2582100</v>
      </c>
      <c r="CS72" s="230">
        <v>2626950</v>
      </c>
      <c r="CT72" s="230">
        <v>-44850</v>
      </c>
      <c r="CU72" s="229">
        <v>-1.7100000000000001E-2</v>
      </c>
      <c r="CV72" s="230">
        <v>17473200</v>
      </c>
      <c r="CW72" s="230">
        <v>17622450</v>
      </c>
      <c r="CX72" s="230">
        <v>-149250</v>
      </c>
      <c r="CY72" s="229">
        <v>-8.5000000000000006E-3</v>
      </c>
      <c r="CZ72" s="228">
        <v>29.28</v>
      </c>
      <c r="DA72" s="228">
        <v>28.57</v>
      </c>
      <c r="DB72" s="228">
        <v>0.71</v>
      </c>
      <c r="DC72" s="228">
        <v>0.71</v>
      </c>
      <c r="DD72" s="228">
        <v>39.31</v>
      </c>
      <c r="DE72" s="228">
        <v>39.380000000000003</v>
      </c>
      <c r="DF72" s="228">
        <v>-10.029999999999999</v>
      </c>
      <c r="DG72" s="228">
        <v>-7.0000000000000007E-2</v>
      </c>
      <c r="DH72" s="228">
        <v>29.55</v>
      </c>
      <c r="DI72" s="228">
        <v>28.84</v>
      </c>
      <c r="DJ72" s="228">
        <v>0.71</v>
      </c>
      <c r="DK72" s="228">
        <v>0.71</v>
      </c>
      <c r="DL72" s="228">
        <v>28.79</v>
      </c>
      <c r="DM72" s="228">
        <v>27.91</v>
      </c>
      <c r="DN72" s="228">
        <v>0.88</v>
      </c>
      <c r="DO72" s="228">
        <v>0.88</v>
      </c>
      <c r="DP72" s="228">
        <v>0.52</v>
      </c>
      <c r="DQ72" s="228">
        <v>0.51</v>
      </c>
      <c r="DR72" s="228">
        <v>0.01</v>
      </c>
      <c r="DS72" s="229">
        <v>1.9599999999999999E-2</v>
      </c>
      <c r="DT72" s="231">
        <v>5000</v>
      </c>
      <c r="DU72" s="231">
        <v>4800</v>
      </c>
      <c r="DV72" s="228">
        <v>0.41</v>
      </c>
      <c r="DW72" s="228">
        <v>0.33</v>
      </c>
      <c r="DX72" s="228">
        <v>0.08</v>
      </c>
      <c r="DY72" s="229">
        <v>0.2424</v>
      </c>
      <c r="DZ72" s="229">
        <v>0.78600000000000003</v>
      </c>
      <c r="EA72" s="230">
        <v>5377350</v>
      </c>
      <c r="EB72" s="229">
        <v>5.3E-3</v>
      </c>
      <c r="EC72" s="229">
        <v>0.78600000000000003</v>
      </c>
      <c r="ED72" s="228">
        <v>25.6</v>
      </c>
      <c r="EE72" s="229">
        <v>5.4000000000000003E-3</v>
      </c>
      <c r="EF72" s="230">
        <v>398758</v>
      </c>
      <c r="EG72" s="230">
        <v>191559</v>
      </c>
      <c r="EH72" s="229">
        <v>1.0815999999999999</v>
      </c>
      <c r="EI72" s="229">
        <v>0.52229999999999999</v>
      </c>
      <c r="EJ72" s="231">
        <v>478865.22</v>
      </c>
      <c r="EK72" s="231">
        <v>188122.92</v>
      </c>
      <c r="EL72" s="231">
        <v>301023.09000000003</v>
      </c>
      <c r="EM72" s="231">
        <v>20460</v>
      </c>
      <c r="EN72" s="231">
        <v>968011.23</v>
      </c>
      <c r="EO72" s="231">
        <v>1060168.32</v>
      </c>
      <c r="EP72" s="231">
        <v>-92157.09</v>
      </c>
      <c r="EQ72" s="229">
        <v>-8.6900000000000005E-2</v>
      </c>
      <c r="ER72" s="231">
        <v>246641</v>
      </c>
      <c r="ES72" s="231">
        <v>122173</v>
      </c>
      <c r="ET72" s="231">
        <v>476531</v>
      </c>
      <c r="EU72" s="231">
        <v>28450886</v>
      </c>
      <c r="EV72" s="231">
        <v>845344</v>
      </c>
      <c r="EW72" s="231">
        <v>858172</v>
      </c>
      <c r="EX72" s="231">
        <v>-12828</v>
      </c>
      <c r="EY72" s="229">
        <v>-1.49E-2</v>
      </c>
      <c r="EZ72" s="229">
        <v>0.61419999999999997</v>
      </c>
      <c r="FA72" s="227" t="s">
        <v>567</v>
      </c>
      <c r="FB72" s="161">
        <f t="shared" si="1"/>
        <v>7829100</v>
      </c>
    </row>
    <row r="73" spans="1:158" ht="17.25" hidden="1" thickBot="1" x14ac:dyDescent="0.3">
      <c r="A73" s="226">
        <v>45957</v>
      </c>
      <c r="B73" s="227" t="s">
        <v>184</v>
      </c>
      <c r="C73" s="227" t="s">
        <v>220</v>
      </c>
      <c r="D73" s="228">
        <v>500</v>
      </c>
      <c r="E73" s="231">
        <v>1492.1</v>
      </c>
      <c r="F73" s="231">
        <v>1495.1</v>
      </c>
      <c r="G73" s="228">
        <v>-3</v>
      </c>
      <c r="H73" s="229">
        <v>-2E-3</v>
      </c>
      <c r="I73" s="231">
        <v>1492.6</v>
      </c>
      <c r="J73" s="231">
        <v>1494.9</v>
      </c>
      <c r="K73" s="228">
        <v>-2.2999999999999998</v>
      </c>
      <c r="L73" s="229">
        <v>-1.5E-3</v>
      </c>
      <c r="M73" s="231">
        <v>1492.1</v>
      </c>
      <c r="N73" s="231">
        <v>1495.1</v>
      </c>
      <c r="O73" s="228">
        <v>-3</v>
      </c>
      <c r="P73" s="229">
        <v>-2E-3</v>
      </c>
      <c r="Q73" s="231">
        <v>1498.1</v>
      </c>
      <c r="R73" s="231">
        <v>1501.9</v>
      </c>
      <c r="S73" s="228">
        <v>-3.8</v>
      </c>
      <c r="T73" s="229">
        <v>-2.5000000000000001E-3</v>
      </c>
      <c r="U73" s="231">
        <v>1506.8</v>
      </c>
      <c r="V73" s="231">
        <v>1511.7</v>
      </c>
      <c r="W73" s="228">
        <v>-4.9000000000000004</v>
      </c>
      <c r="X73" s="229">
        <v>-3.2000000000000002E-3</v>
      </c>
      <c r="Y73" s="228">
        <v>-0.5</v>
      </c>
      <c r="Z73" s="228">
        <v>0.2</v>
      </c>
      <c r="AA73" s="228">
        <v>-0.7</v>
      </c>
      <c r="AB73" s="229">
        <v>-2.9999999999999997E-4</v>
      </c>
      <c r="AC73" s="228">
        <v>-0.5</v>
      </c>
      <c r="AD73" s="228">
        <v>0.2</v>
      </c>
      <c r="AE73" s="228">
        <v>-0.7</v>
      </c>
      <c r="AF73" s="229">
        <v>-2.9999999999999997E-4</v>
      </c>
      <c r="AG73" s="228">
        <v>5.5</v>
      </c>
      <c r="AH73" s="228">
        <v>7</v>
      </c>
      <c r="AI73" s="228">
        <v>-1.5</v>
      </c>
      <c r="AJ73" s="229">
        <v>3.7000000000000002E-3</v>
      </c>
      <c r="AK73" s="228">
        <v>14.2</v>
      </c>
      <c r="AL73" s="228">
        <v>16.8</v>
      </c>
      <c r="AM73" s="228">
        <v>-2.6</v>
      </c>
      <c r="AN73" s="229">
        <v>9.4999999999999998E-3</v>
      </c>
      <c r="AO73" s="231">
        <v>1489.58</v>
      </c>
      <c r="AP73" s="231">
        <v>1496.44</v>
      </c>
      <c r="AQ73" s="228">
        <v>0</v>
      </c>
      <c r="AR73" s="230">
        <v>5235000</v>
      </c>
      <c r="AS73" s="230">
        <v>8116500</v>
      </c>
      <c r="AT73" s="230">
        <v>-2881500</v>
      </c>
      <c r="AU73" s="229">
        <v>-0.35499999999999998</v>
      </c>
      <c r="AV73" s="230">
        <v>2471500</v>
      </c>
      <c r="AW73" s="230">
        <v>4035500</v>
      </c>
      <c r="AX73" s="230">
        <v>-1564000</v>
      </c>
      <c r="AY73" s="229">
        <v>-0.3876</v>
      </c>
      <c r="AZ73" s="230">
        <v>2717500</v>
      </c>
      <c r="BA73" s="230">
        <v>4034000</v>
      </c>
      <c r="BB73" s="230">
        <v>-1316500</v>
      </c>
      <c r="BC73" s="229">
        <v>-0.32640000000000002</v>
      </c>
      <c r="BD73" s="230">
        <v>46000</v>
      </c>
      <c r="BE73" s="230">
        <v>47000</v>
      </c>
      <c r="BF73" s="230">
        <v>-1000</v>
      </c>
      <c r="BG73" s="229">
        <v>-2.1299999999999999E-2</v>
      </c>
      <c r="BH73" s="230">
        <v>3196000</v>
      </c>
      <c r="BI73" s="230">
        <v>4947000</v>
      </c>
      <c r="BJ73" s="230">
        <v>-1751000</v>
      </c>
      <c r="BK73" s="229">
        <v>-0.35399999999999998</v>
      </c>
      <c r="BL73" s="230">
        <v>2608500</v>
      </c>
      <c r="BM73" s="230">
        <v>2356500</v>
      </c>
      <c r="BN73" s="230">
        <v>252000</v>
      </c>
      <c r="BO73" s="229">
        <v>0.1069</v>
      </c>
      <c r="BP73" s="230">
        <v>11039500</v>
      </c>
      <c r="BQ73" s="230">
        <v>15420000</v>
      </c>
      <c r="BR73" s="230">
        <v>-4380500</v>
      </c>
      <c r="BS73" s="229">
        <v>-0.28410000000000002</v>
      </c>
      <c r="BT73" s="230">
        <v>598174</v>
      </c>
      <c r="BU73" s="230">
        <v>1024011</v>
      </c>
      <c r="BV73" s="230">
        <v>-425837</v>
      </c>
      <c r="BW73" s="229">
        <v>-0.41589999999999999</v>
      </c>
      <c r="BX73" s="230">
        <v>10040000</v>
      </c>
      <c r="BY73" s="230">
        <v>9922000</v>
      </c>
      <c r="BZ73" s="230">
        <v>118000</v>
      </c>
      <c r="CA73" s="229">
        <v>1.1900000000000001E-2</v>
      </c>
      <c r="CB73" s="230">
        <v>1992000</v>
      </c>
      <c r="CC73" s="230">
        <v>3655000</v>
      </c>
      <c r="CD73" s="230">
        <v>-1663000</v>
      </c>
      <c r="CE73" s="229">
        <v>-0.45500000000000002</v>
      </c>
      <c r="CF73" s="230">
        <v>7940000</v>
      </c>
      <c r="CG73" s="230">
        <v>6179500</v>
      </c>
      <c r="CH73" s="230">
        <v>1760500</v>
      </c>
      <c r="CI73" s="229">
        <v>0.28489999999999999</v>
      </c>
      <c r="CJ73" s="230">
        <v>108000</v>
      </c>
      <c r="CK73" s="230">
        <v>87500</v>
      </c>
      <c r="CL73" s="230">
        <v>20500</v>
      </c>
      <c r="CM73" s="229">
        <v>0.23430000000000001</v>
      </c>
      <c r="CN73" s="230">
        <v>2551000</v>
      </c>
      <c r="CO73" s="230">
        <v>2936500</v>
      </c>
      <c r="CP73" s="230">
        <v>-385500</v>
      </c>
      <c r="CQ73" s="229">
        <v>-0.1313</v>
      </c>
      <c r="CR73" s="230">
        <v>1625500</v>
      </c>
      <c r="CS73" s="230">
        <v>1828500</v>
      </c>
      <c r="CT73" s="230">
        <v>-203000</v>
      </c>
      <c r="CU73" s="229">
        <v>-0.111</v>
      </c>
      <c r="CV73" s="230">
        <v>14216500</v>
      </c>
      <c r="CW73" s="230">
        <v>14687000</v>
      </c>
      <c r="CX73" s="230">
        <v>-470500</v>
      </c>
      <c r="CY73" s="229">
        <v>-3.2000000000000001E-2</v>
      </c>
      <c r="CZ73" s="228">
        <v>21.81</v>
      </c>
      <c r="DA73" s="228">
        <v>22.43</v>
      </c>
      <c r="DB73" s="228">
        <v>-0.62</v>
      </c>
      <c r="DC73" s="228">
        <v>-0.62</v>
      </c>
      <c r="DD73" s="228">
        <v>28.23</v>
      </c>
      <c r="DE73" s="228">
        <v>28.3</v>
      </c>
      <c r="DF73" s="228">
        <v>-6.42</v>
      </c>
      <c r="DG73" s="228">
        <v>-7.0000000000000007E-2</v>
      </c>
      <c r="DH73" s="228">
        <v>22</v>
      </c>
      <c r="DI73" s="228">
        <v>22.63</v>
      </c>
      <c r="DJ73" s="228">
        <v>-0.63</v>
      </c>
      <c r="DK73" s="228">
        <v>-0.63</v>
      </c>
      <c r="DL73" s="228">
        <v>21.55</v>
      </c>
      <c r="DM73" s="228">
        <v>22.06</v>
      </c>
      <c r="DN73" s="228">
        <v>-0.51</v>
      </c>
      <c r="DO73" s="228">
        <v>-0.51</v>
      </c>
      <c r="DP73" s="228">
        <v>0.64</v>
      </c>
      <c r="DQ73" s="228">
        <v>0.62</v>
      </c>
      <c r="DR73" s="228">
        <v>0.02</v>
      </c>
      <c r="DS73" s="229">
        <v>3.2300000000000002E-2</v>
      </c>
      <c r="DT73" s="231">
        <v>1600</v>
      </c>
      <c r="DU73" s="231">
        <v>1500</v>
      </c>
      <c r="DV73" s="228">
        <v>0.82</v>
      </c>
      <c r="DW73" s="228">
        <v>0.48</v>
      </c>
      <c r="DX73" s="228">
        <v>0.34</v>
      </c>
      <c r="DY73" s="229">
        <v>0.70830000000000004</v>
      </c>
      <c r="DZ73" s="229">
        <v>0.80159999999999998</v>
      </c>
      <c r="EA73" s="230">
        <v>6267000</v>
      </c>
      <c r="EB73" s="229">
        <v>4.0000000000000001E-3</v>
      </c>
      <c r="EC73" s="229">
        <v>0.80159999999999998</v>
      </c>
      <c r="ED73" s="228">
        <v>6.86</v>
      </c>
      <c r="EE73" s="229">
        <v>4.5999999999999999E-3</v>
      </c>
      <c r="EF73" s="230">
        <v>309832</v>
      </c>
      <c r="EG73" s="230">
        <v>621598</v>
      </c>
      <c r="EH73" s="229">
        <v>-0.50160000000000005</v>
      </c>
      <c r="EI73" s="229">
        <v>0.51800000000000002</v>
      </c>
      <c r="EJ73" s="231">
        <v>49339.57</v>
      </c>
      <c r="EK73" s="231">
        <v>38271.269999999997</v>
      </c>
      <c r="EL73" s="231">
        <v>78173.38</v>
      </c>
      <c r="EM73" s="231">
        <v>9961</v>
      </c>
      <c r="EN73" s="231">
        <v>165784.22</v>
      </c>
      <c r="EO73" s="231">
        <v>233535.91</v>
      </c>
      <c r="EP73" s="231">
        <v>-67751.69</v>
      </c>
      <c r="EQ73" s="229">
        <v>-0.29010000000000002</v>
      </c>
      <c r="ER73" s="231">
        <v>39778</v>
      </c>
      <c r="ES73" s="231">
        <v>23890</v>
      </c>
      <c r="ET73" s="231">
        <v>150299</v>
      </c>
      <c r="EU73" s="231">
        <v>38133766</v>
      </c>
      <c r="EV73" s="231">
        <v>213968</v>
      </c>
      <c r="EW73" s="231">
        <v>221493</v>
      </c>
      <c r="EX73" s="231">
        <v>-7525</v>
      </c>
      <c r="EY73" s="229">
        <v>-3.4000000000000002E-2</v>
      </c>
      <c r="EZ73" s="229">
        <v>0.37280000000000002</v>
      </c>
      <c r="FA73" s="227" t="s">
        <v>567</v>
      </c>
      <c r="FB73" s="161">
        <f t="shared" si="1"/>
        <v>8048000</v>
      </c>
    </row>
    <row r="74" spans="1:158" ht="17.25" hidden="1" thickBot="1" x14ac:dyDescent="0.3">
      <c r="A74" s="226">
        <v>45957</v>
      </c>
      <c r="B74" s="227" t="s">
        <v>221</v>
      </c>
      <c r="C74" s="227" t="s">
        <v>222</v>
      </c>
      <c r="D74" s="228">
        <v>350</v>
      </c>
      <c r="E74" s="231">
        <v>1535.4</v>
      </c>
      <c r="F74" s="231">
        <v>1522.6</v>
      </c>
      <c r="G74" s="228">
        <v>12.8</v>
      </c>
      <c r="H74" s="229">
        <v>8.3999999999999995E-3</v>
      </c>
      <c r="I74" s="231">
        <v>1533.5</v>
      </c>
      <c r="J74" s="231">
        <v>1523.8</v>
      </c>
      <c r="K74" s="228">
        <v>9.6999999999999993</v>
      </c>
      <c r="L74" s="229">
        <v>6.4000000000000003E-3</v>
      </c>
      <c r="M74" s="231">
        <v>1535.4</v>
      </c>
      <c r="N74" s="231">
        <v>1522.6</v>
      </c>
      <c r="O74" s="228">
        <v>12.8</v>
      </c>
      <c r="P74" s="229">
        <v>8.3999999999999995E-3</v>
      </c>
      <c r="Q74" s="231">
        <v>1544.1</v>
      </c>
      <c r="R74" s="231">
        <v>1530.8</v>
      </c>
      <c r="S74" s="228">
        <v>13.3</v>
      </c>
      <c r="T74" s="229">
        <v>8.6999999999999994E-3</v>
      </c>
      <c r="U74" s="231">
        <v>1554.2</v>
      </c>
      <c r="V74" s="231">
        <v>1540</v>
      </c>
      <c r="W74" s="228">
        <v>14.2</v>
      </c>
      <c r="X74" s="229">
        <v>9.1999999999999998E-3</v>
      </c>
      <c r="Y74" s="228">
        <v>1.9</v>
      </c>
      <c r="Z74" s="228">
        <v>-1.2</v>
      </c>
      <c r="AA74" s="228">
        <v>3.1</v>
      </c>
      <c r="AB74" s="229">
        <v>1.1999999999999999E-3</v>
      </c>
      <c r="AC74" s="228">
        <v>1.9</v>
      </c>
      <c r="AD74" s="228">
        <v>-1.2</v>
      </c>
      <c r="AE74" s="228">
        <v>3.1</v>
      </c>
      <c r="AF74" s="229">
        <v>1.1999999999999999E-3</v>
      </c>
      <c r="AG74" s="228">
        <v>10.6</v>
      </c>
      <c r="AH74" s="228">
        <v>7</v>
      </c>
      <c r="AI74" s="228">
        <v>3.6</v>
      </c>
      <c r="AJ74" s="229">
        <v>6.8999999999999999E-3</v>
      </c>
      <c r="AK74" s="228">
        <v>20.7</v>
      </c>
      <c r="AL74" s="228">
        <v>16.2</v>
      </c>
      <c r="AM74" s="228">
        <v>4.5</v>
      </c>
      <c r="AN74" s="229">
        <v>1.35E-2</v>
      </c>
      <c r="AO74" s="231">
        <v>1539.09</v>
      </c>
      <c r="AP74" s="231">
        <v>1547.61</v>
      </c>
      <c r="AQ74" s="228">
        <v>0</v>
      </c>
      <c r="AR74" s="230">
        <v>13293350</v>
      </c>
      <c r="AS74" s="230">
        <v>14072100</v>
      </c>
      <c r="AT74" s="230">
        <v>-778750</v>
      </c>
      <c r="AU74" s="229">
        <v>-5.5300000000000002E-2</v>
      </c>
      <c r="AV74" s="230">
        <v>6257300</v>
      </c>
      <c r="AW74" s="230">
        <v>6954150</v>
      </c>
      <c r="AX74" s="230">
        <v>-696850</v>
      </c>
      <c r="AY74" s="229">
        <v>-0.1002</v>
      </c>
      <c r="AZ74" s="230">
        <v>6979000</v>
      </c>
      <c r="BA74" s="230">
        <v>7067550</v>
      </c>
      <c r="BB74" s="230">
        <v>-88550</v>
      </c>
      <c r="BC74" s="229">
        <v>-1.2500000000000001E-2</v>
      </c>
      <c r="BD74" s="230">
        <v>57050</v>
      </c>
      <c r="BE74" s="230">
        <v>50400</v>
      </c>
      <c r="BF74" s="230">
        <v>6650</v>
      </c>
      <c r="BG74" s="229">
        <v>0.13189999999999999</v>
      </c>
      <c r="BH74" s="230">
        <v>9257850</v>
      </c>
      <c r="BI74" s="230">
        <v>10902500</v>
      </c>
      <c r="BJ74" s="230">
        <v>-1644650</v>
      </c>
      <c r="BK74" s="229">
        <v>-0.15090000000000001</v>
      </c>
      <c r="BL74" s="230">
        <v>5225850</v>
      </c>
      <c r="BM74" s="230">
        <v>7284550</v>
      </c>
      <c r="BN74" s="230">
        <v>-2058700</v>
      </c>
      <c r="BO74" s="229">
        <v>-0.28260000000000002</v>
      </c>
      <c r="BP74" s="230">
        <v>27777050</v>
      </c>
      <c r="BQ74" s="230">
        <v>32259150</v>
      </c>
      <c r="BR74" s="230">
        <v>-4482100</v>
      </c>
      <c r="BS74" s="229">
        <v>-0.1389</v>
      </c>
      <c r="BT74" s="230">
        <v>1432622</v>
      </c>
      <c r="BU74" s="230">
        <v>1556662</v>
      </c>
      <c r="BV74" s="230">
        <v>-124040</v>
      </c>
      <c r="BW74" s="229">
        <v>-7.9699999999999993E-2</v>
      </c>
      <c r="BX74" s="230">
        <v>18294850</v>
      </c>
      <c r="BY74" s="230">
        <v>18019400</v>
      </c>
      <c r="BZ74" s="230">
        <v>275450</v>
      </c>
      <c r="CA74" s="229">
        <v>1.5299999999999999E-2</v>
      </c>
      <c r="CB74" s="230">
        <v>3228750</v>
      </c>
      <c r="CC74" s="230">
        <v>8045450</v>
      </c>
      <c r="CD74" s="230">
        <v>-4816700</v>
      </c>
      <c r="CE74" s="229">
        <v>-0.59870000000000001</v>
      </c>
      <c r="CF74" s="230">
        <v>14906850</v>
      </c>
      <c r="CG74" s="230">
        <v>9840250</v>
      </c>
      <c r="CH74" s="230">
        <v>5066600</v>
      </c>
      <c r="CI74" s="229">
        <v>0.51490000000000002</v>
      </c>
      <c r="CJ74" s="230">
        <v>159250</v>
      </c>
      <c r="CK74" s="230">
        <v>133700</v>
      </c>
      <c r="CL74" s="230">
        <v>25550</v>
      </c>
      <c r="CM74" s="229">
        <v>0.19109999999999999</v>
      </c>
      <c r="CN74" s="230">
        <v>7290500</v>
      </c>
      <c r="CO74" s="230">
        <v>8018150</v>
      </c>
      <c r="CP74" s="230">
        <v>-727650</v>
      </c>
      <c r="CQ74" s="229">
        <v>-9.0800000000000006E-2</v>
      </c>
      <c r="CR74" s="230">
        <v>4918550</v>
      </c>
      <c r="CS74" s="230">
        <v>5047700</v>
      </c>
      <c r="CT74" s="230">
        <v>-129150</v>
      </c>
      <c r="CU74" s="229">
        <v>-2.5600000000000001E-2</v>
      </c>
      <c r="CV74" s="230">
        <v>30503900</v>
      </c>
      <c r="CW74" s="230">
        <v>31085250</v>
      </c>
      <c r="CX74" s="230">
        <v>-581350</v>
      </c>
      <c r="CY74" s="229">
        <v>-1.8700000000000001E-2</v>
      </c>
      <c r="CZ74" s="228">
        <v>21.27</v>
      </c>
      <c r="DA74" s="228">
        <v>21.16</v>
      </c>
      <c r="DB74" s="228">
        <v>0.11</v>
      </c>
      <c r="DC74" s="228">
        <v>0.11</v>
      </c>
      <c r="DD74" s="228">
        <v>28.77</v>
      </c>
      <c r="DE74" s="228">
        <v>28.83</v>
      </c>
      <c r="DF74" s="228">
        <v>-7.5</v>
      </c>
      <c r="DG74" s="228">
        <v>-0.06</v>
      </c>
      <c r="DH74" s="228">
        <v>21.25</v>
      </c>
      <c r="DI74" s="228">
        <v>21.09</v>
      </c>
      <c r="DJ74" s="228">
        <v>0.16</v>
      </c>
      <c r="DK74" s="228">
        <v>0.16</v>
      </c>
      <c r="DL74" s="228">
        <v>21.3</v>
      </c>
      <c r="DM74" s="228">
        <v>21.29</v>
      </c>
      <c r="DN74" s="228">
        <v>0.01</v>
      </c>
      <c r="DO74" s="228">
        <v>0.01</v>
      </c>
      <c r="DP74" s="228">
        <v>0.67</v>
      </c>
      <c r="DQ74" s="228">
        <v>0.63</v>
      </c>
      <c r="DR74" s="228">
        <v>0.04</v>
      </c>
      <c r="DS74" s="229">
        <v>6.3500000000000001E-2</v>
      </c>
      <c r="DT74" s="231">
        <v>1600</v>
      </c>
      <c r="DU74" s="231">
        <v>1500</v>
      </c>
      <c r="DV74" s="228">
        <v>0.56000000000000005</v>
      </c>
      <c r="DW74" s="228">
        <v>0.67</v>
      </c>
      <c r="DX74" s="228">
        <v>-0.11</v>
      </c>
      <c r="DY74" s="229">
        <v>-0.16420000000000001</v>
      </c>
      <c r="DZ74" s="229">
        <v>0.82350000000000001</v>
      </c>
      <c r="EA74" s="230">
        <v>9973950</v>
      </c>
      <c r="EB74" s="229">
        <v>5.7000000000000002E-3</v>
      </c>
      <c r="EC74" s="229">
        <v>0.82350000000000001</v>
      </c>
      <c r="ED74" s="228">
        <v>8.52</v>
      </c>
      <c r="EE74" s="229">
        <v>5.4999999999999997E-3</v>
      </c>
      <c r="EF74" s="230">
        <v>854993</v>
      </c>
      <c r="EG74" s="230">
        <v>984153</v>
      </c>
      <c r="EH74" s="229">
        <v>-0.13120000000000001</v>
      </c>
      <c r="EI74" s="229">
        <v>0.5968</v>
      </c>
      <c r="EJ74" s="231">
        <v>146120.32999999999</v>
      </c>
      <c r="EK74" s="231">
        <v>78951.33</v>
      </c>
      <c r="EL74" s="231">
        <v>205201.61</v>
      </c>
      <c r="EM74" s="231">
        <v>20525</v>
      </c>
      <c r="EN74" s="231">
        <v>430273.27</v>
      </c>
      <c r="EO74" s="231">
        <v>496115.37</v>
      </c>
      <c r="EP74" s="231">
        <v>-65842.100000000006</v>
      </c>
      <c r="EQ74" s="229">
        <v>-0.13270000000000001</v>
      </c>
      <c r="ER74" s="231">
        <v>113719</v>
      </c>
      <c r="ES74" s="231">
        <v>70211</v>
      </c>
      <c r="ET74" s="231">
        <v>282226</v>
      </c>
      <c r="EU74" s="231">
        <v>145993539</v>
      </c>
      <c r="EV74" s="231">
        <v>466155</v>
      </c>
      <c r="EW74" s="231">
        <v>471895</v>
      </c>
      <c r="EX74" s="231">
        <v>-5740</v>
      </c>
      <c r="EY74" s="229">
        <v>-1.2200000000000001E-2</v>
      </c>
      <c r="EZ74" s="229">
        <v>0.2089</v>
      </c>
      <c r="FA74" s="227" t="s">
        <v>555</v>
      </c>
      <c r="FB74" s="161">
        <f t="shared" si="1"/>
        <v>15066100</v>
      </c>
    </row>
    <row r="75" spans="1:158" ht="17.25" hidden="1" thickBot="1" x14ac:dyDescent="0.3">
      <c r="A75" s="226">
        <v>45957</v>
      </c>
      <c r="B75" s="227" t="s">
        <v>175</v>
      </c>
      <c r="C75" s="227" t="s">
        <v>475</v>
      </c>
      <c r="D75" s="228">
        <v>150</v>
      </c>
      <c r="E75" s="231">
        <v>5570</v>
      </c>
      <c r="F75" s="231">
        <v>5536</v>
      </c>
      <c r="G75" s="228">
        <v>34</v>
      </c>
      <c r="H75" s="229">
        <v>6.1000000000000004E-3</v>
      </c>
      <c r="I75" s="231">
        <v>5559</v>
      </c>
      <c r="J75" s="231">
        <v>5543.5</v>
      </c>
      <c r="K75" s="228">
        <v>15.5</v>
      </c>
      <c r="L75" s="229">
        <v>2.8E-3</v>
      </c>
      <c r="M75" s="231">
        <v>5570</v>
      </c>
      <c r="N75" s="231">
        <v>5536</v>
      </c>
      <c r="O75" s="228">
        <v>34</v>
      </c>
      <c r="P75" s="229">
        <v>6.1000000000000004E-3</v>
      </c>
      <c r="Q75" s="231">
        <v>5598.5</v>
      </c>
      <c r="R75" s="231">
        <v>5563.5</v>
      </c>
      <c r="S75" s="228">
        <v>35</v>
      </c>
      <c r="T75" s="229">
        <v>6.3E-3</v>
      </c>
      <c r="U75" s="231">
        <v>5626</v>
      </c>
      <c r="V75" s="231">
        <v>5598.5</v>
      </c>
      <c r="W75" s="228">
        <v>27.5</v>
      </c>
      <c r="X75" s="229">
        <v>4.8999999999999998E-3</v>
      </c>
      <c r="Y75" s="228">
        <v>11</v>
      </c>
      <c r="Z75" s="228">
        <v>-7.5</v>
      </c>
      <c r="AA75" s="228">
        <v>18.5</v>
      </c>
      <c r="AB75" s="229">
        <v>2E-3</v>
      </c>
      <c r="AC75" s="228">
        <v>11</v>
      </c>
      <c r="AD75" s="228">
        <v>-7.5</v>
      </c>
      <c r="AE75" s="228">
        <v>18.5</v>
      </c>
      <c r="AF75" s="229">
        <v>2E-3</v>
      </c>
      <c r="AG75" s="228">
        <v>39.5</v>
      </c>
      <c r="AH75" s="228">
        <v>20</v>
      </c>
      <c r="AI75" s="228">
        <v>19.5</v>
      </c>
      <c r="AJ75" s="229">
        <v>7.1000000000000004E-3</v>
      </c>
      <c r="AK75" s="228">
        <v>67</v>
      </c>
      <c r="AL75" s="228">
        <v>55</v>
      </c>
      <c r="AM75" s="228">
        <v>12</v>
      </c>
      <c r="AN75" s="229">
        <v>1.21E-2</v>
      </c>
      <c r="AO75" s="231">
        <v>5579.21</v>
      </c>
      <c r="AP75" s="231">
        <v>5609.14</v>
      </c>
      <c r="AQ75" s="228">
        <v>0</v>
      </c>
      <c r="AR75" s="230">
        <v>1622550</v>
      </c>
      <c r="AS75" s="230">
        <v>1903800</v>
      </c>
      <c r="AT75" s="230">
        <v>-281250</v>
      </c>
      <c r="AU75" s="229">
        <v>-0.1477</v>
      </c>
      <c r="AV75" s="230">
        <v>770550</v>
      </c>
      <c r="AW75" s="230">
        <v>964800</v>
      </c>
      <c r="AX75" s="230">
        <v>-194250</v>
      </c>
      <c r="AY75" s="229">
        <v>-0.20130000000000001</v>
      </c>
      <c r="AZ75" s="230">
        <v>844950</v>
      </c>
      <c r="BA75" s="230">
        <v>932100</v>
      </c>
      <c r="BB75" s="230">
        <v>-87150</v>
      </c>
      <c r="BC75" s="229">
        <v>-9.35E-2</v>
      </c>
      <c r="BD75" s="230">
        <v>7050</v>
      </c>
      <c r="BE75" s="230">
        <v>6900</v>
      </c>
      <c r="BF75" s="228">
        <v>150</v>
      </c>
      <c r="BG75" s="229">
        <v>2.1700000000000001E-2</v>
      </c>
      <c r="BH75" s="230">
        <v>2094450</v>
      </c>
      <c r="BI75" s="230">
        <v>3880500</v>
      </c>
      <c r="BJ75" s="230">
        <v>-1786050</v>
      </c>
      <c r="BK75" s="229">
        <v>-0.46029999999999999</v>
      </c>
      <c r="BL75" s="230">
        <v>783750</v>
      </c>
      <c r="BM75" s="230">
        <v>1677900</v>
      </c>
      <c r="BN75" s="230">
        <v>-894150</v>
      </c>
      <c r="BO75" s="229">
        <v>-0.53290000000000004</v>
      </c>
      <c r="BP75" s="230">
        <v>4500750</v>
      </c>
      <c r="BQ75" s="230">
        <v>7462200</v>
      </c>
      <c r="BR75" s="230">
        <v>-2961450</v>
      </c>
      <c r="BS75" s="229">
        <v>-0.39689999999999998</v>
      </c>
      <c r="BT75" s="230">
        <v>366513</v>
      </c>
      <c r="BU75" s="230">
        <v>311489</v>
      </c>
      <c r="BV75" s="230">
        <v>55024</v>
      </c>
      <c r="BW75" s="229">
        <v>0.17660000000000001</v>
      </c>
      <c r="BX75" s="230">
        <v>2180400</v>
      </c>
      <c r="BY75" s="230">
        <v>2193900</v>
      </c>
      <c r="BZ75" s="230">
        <v>-13500</v>
      </c>
      <c r="CA75" s="229">
        <v>-6.1999999999999998E-3</v>
      </c>
      <c r="CB75" s="230">
        <v>353850</v>
      </c>
      <c r="CC75" s="230">
        <v>905850</v>
      </c>
      <c r="CD75" s="230">
        <v>-552000</v>
      </c>
      <c r="CE75" s="229">
        <v>-0.60940000000000005</v>
      </c>
      <c r="CF75" s="230">
        <v>1810650</v>
      </c>
      <c r="CG75" s="230">
        <v>1273800</v>
      </c>
      <c r="CH75" s="230">
        <v>536850</v>
      </c>
      <c r="CI75" s="229">
        <v>0.42149999999999999</v>
      </c>
      <c r="CJ75" s="230">
        <v>15900</v>
      </c>
      <c r="CK75" s="230">
        <v>14250</v>
      </c>
      <c r="CL75" s="230">
        <v>1650</v>
      </c>
      <c r="CM75" s="229">
        <v>0.1158</v>
      </c>
      <c r="CN75" s="230">
        <v>1668000</v>
      </c>
      <c r="CO75" s="230">
        <v>2054100</v>
      </c>
      <c r="CP75" s="230">
        <v>-386100</v>
      </c>
      <c r="CQ75" s="229">
        <v>-0.188</v>
      </c>
      <c r="CR75" s="230">
        <v>890700</v>
      </c>
      <c r="CS75" s="230">
        <v>911250</v>
      </c>
      <c r="CT75" s="230">
        <v>-20550</v>
      </c>
      <c r="CU75" s="229">
        <v>-2.2599999999999999E-2</v>
      </c>
      <c r="CV75" s="230">
        <v>4739100</v>
      </c>
      <c r="CW75" s="230">
        <v>5159250</v>
      </c>
      <c r="CX75" s="230">
        <v>-420150</v>
      </c>
      <c r="CY75" s="229">
        <v>-8.14E-2</v>
      </c>
      <c r="CZ75" s="228">
        <v>22.58</v>
      </c>
      <c r="DA75" s="228">
        <v>22.68</v>
      </c>
      <c r="DB75" s="228">
        <v>-0.1</v>
      </c>
      <c r="DC75" s="228">
        <v>-0.1</v>
      </c>
      <c r="DD75" s="228">
        <v>34.729999999999997</v>
      </c>
      <c r="DE75" s="228">
        <v>34.81</v>
      </c>
      <c r="DF75" s="228">
        <v>-12.15</v>
      </c>
      <c r="DG75" s="228">
        <v>-0.08</v>
      </c>
      <c r="DH75" s="228">
        <v>22.78</v>
      </c>
      <c r="DI75" s="228">
        <v>22.89</v>
      </c>
      <c r="DJ75" s="228">
        <v>-0.11</v>
      </c>
      <c r="DK75" s="228">
        <v>-0.11</v>
      </c>
      <c r="DL75" s="228">
        <v>22.13</v>
      </c>
      <c r="DM75" s="228">
        <v>22.16</v>
      </c>
      <c r="DN75" s="228">
        <v>-0.03</v>
      </c>
      <c r="DO75" s="228">
        <v>-0.03</v>
      </c>
      <c r="DP75" s="228">
        <v>0.53</v>
      </c>
      <c r="DQ75" s="228">
        <v>0.44</v>
      </c>
      <c r="DR75" s="228">
        <v>0.09</v>
      </c>
      <c r="DS75" s="229">
        <v>0.20449999999999999</v>
      </c>
      <c r="DT75" s="231">
        <v>6000</v>
      </c>
      <c r="DU75" s="231">
        <v>5400</v>
      </c>
      <c r="DV75" s="228">
        <v>0.37</v>
      </c>
      <c r="DW75" s="228">
        <v>0.43</v>
      </c>
      <c r="DX75" s="228">
        <v>-0.06</v>
      </c>
      <c r="DY75" s="229">
        <v>-0.13950000000000001</v>
      </c>
      <c r="DZ75" s="229">
        <v>0.8377</v>
      </c>
      <c r="EA75" s="230">
        <v>1288050</v>
      </c>
      <c r="EB75" s="229">
        <v>5.1000000000000004E-3</v>
      </c>
      <c r="EC75" s="229">
        <v>0.8377</v>
      </c>
      <c r="ED75" s="228">
        <v>29.93</v>
      </c>
      <c r="EE75" s="229">
        <v>5.4000000000000003E-3</v>
      </c>
      <c r="EF75" s="230">
        <v>267877</v>
      </c>
      <c r="EG75" s="230">
        <v>187017</v>
      </c>
      <c r="EH75" s="229">
        <v>0.43240000000000001</v>
      </c>
      <c r="EI75" s="229">
        <v>0.73089999999999999</v>
      </c>
      <c r="EJ75" s="231">
        <v>122183.4</v>
      </c>
      <c r="EK75" s="231">
        <v>43387.7</v>
      </c>
      <c r="EL75" s="231">
        <v>90782.43</v>
      </c>
      <c r="EM75" s="231">
        <v>7228</v>
      </c>
      <c r="EN75" s="231">
        <v>256353.53</v>
      </c>
      <c r="EO75" s="231">
        <v>426296.72</v>
      </c>
      <c r="EP75" s="231">
        <v>-169943.19</v>
      </c>
      <c r="EQ75" s="229">
        <v>-0.3987</v>
      </c>
      <c r="ER75" s="231">
        <v>98613</v>
      </c>
      <c r="ES75" s="231">
        <v>49068</v>
      </c>
      <c r="ET75" s="231">
        <v>121973</v>
      </c>
      <c r="EU75" s="231">
        <v>15259458</v>
      </c>
      <c r="EV75" s="231">
        <v>269654</v>
      </c>
      <c r="EW75" s="231">
        <v>293313</v>
      </c>
      <c r="EX75" s="231">
        <v>-23659</v>
      </c>
      <c r="EY75" s="229">
        <v>-8.0699999999999994E-2</v>
      </c>
      <c r="EZ75" s="229">
        <v>0.31059999999999999</v>
      </c>
      <c r="FA75" s="227" t="s">
        <v>556</v>
      </c>
      <c r="FB75" s="161">
        <f t="shared" si="1"/>
        <v>1826550</v>
      </c>
    </row>
    <row r="76" spans="1:158" ht="17.25" hidden="1" thickBot="1" x14ac:dyDescent="0.3">
      <c r="A76" s="226">
        <v>45957</v>
      </c>
      <c r="B76" s="227" t="s">
        <v>172</v>
      </c>
      <c r="C76" s="227" t="s">
        <v>224</v>
      </c>
      <c r="D76" s="228">
        <v>1100</v>
      </c>
      <c r="E76" s="231">
        <v>1004.3</v>
      </c>
      <c r="F76" s="228">
        <v>994.15</v>
      </c>
      <c r="G76" s="228">
        <v>10.15</v>
      </c>
      <c r="H76" s="229">
        <v>1.0200000000000001E-2</v>
      </c>
      <c r="I76" s="231">
        <v>1002.95</v>
      </c>
      <c r="J76" s="228">
        <v>994.75</v>
      </c>
      <c r="K76" s="228">
        <v>8.1999999999999993</v>
      </c>
      <c r="L76" s="229">
        <v>8.2000000000000007E-3</v>
      </c>
      <c r="M76" s="231">
        <v>1004.3</v>
      </c>
      <c r="N76" s="228">
        <v>994.15</v>
      </c>
      <c r="O76" s="228">
        <v>10.15</v>
      </c>
      <c r="P76" s="229">
        <v>1.0200000000000001E-2</v>
      </c>
      <c r="Q76" s="231">
        <v>1009.95</v>
      </c>
      <c r="R76" s="231">
        <v>1000</v>
      </c>
      <c r="S76" s="228">
        <v>9.9499999999999993</v>
      </c>
      <c r="T76" s="229">
        <v>0.01</v>
      </c>
      <c r="U76" s="231">
        <v>1016.75</v>
      </c>
      <c r="V76" s="231">
        <v>1006.25</v>
      </c>
      <c r="W76" s="228">
        <v>10.5</v>
      </c>
      <c r="X76" s="229">
        <v>1.04E-2</v>
      </c>
      <c r="Y76" s="228">
        <v>1.35</v>
      </c>
      <c r="Z76" s="228">
        <v>-0.6</v>
      </c>
      <c r="AA76" s="228">
        <v>1.95</v>
      </c>
      <c r="AB76" s="229">
        <v>1.2999999999999999E-3</v>
      </c>
      <c r="AC76" s="228">
        <v>1.35</v>
      </c>
      <c r="AD76" s="228">
        <v>-0.6</v>
      </c>
      <c r="AE76" s="228">
        <v>1.95</v>
      </c>
      <c r="AF76" s="229">
        <v>1.2999999999999999E-3</v>
      </c>
      <c r="AG76" s="228">
        <v>7</v>
      </c>
      <c r="AH76" s="228">
        <v>5.25</v>
      </c>
      <c r="AI76" s="228">
        <v>1.75</v>
      </c>
      <c r="AJ76" s="229">
        <v>7.0000000000000001E-3</v>
      </c>
      <c r="AK76" s="228">
        <v>13.8</v>
      </c>
      <c r="AL76" s="228">
        <v>11.5</v>
      </c>
      <c r="AM76" s="228">
        <v>2.2999999999999998</v>
      </c>
      <c r="AN76" s="229">
        <v>1.38E-2</v>
      </c>
      <c r="AO76" s="231">
        <v>1005.41</v>
      </c>
      <c r="AP76" s="231">
        <v>1011.17</v>
      </c>
      <c r="AQ76" s="228">
        <v>0</v>
      </c>
      <c r="AR76" s="230">
        <v>110708400</v>
      </c>
      <c r="AS76" s="230">
        <v>144148400</v>
      </c>
      <c r="AT76" s="230">
        <v>-33440000</v>
      </c>
      <c r="AU76" s="229">
        <v>-0.23200000000000001</v>
      </c>
      <c r="AV76" s="230">
        <v>53383000</v>
      </c>
      <c r="AW76" s="230">
        <v>73614200</v>
      </c>
      <c r="AX76" s="230">
        <v>-20231200</v>
      </c>
      <c r="AY76" s="229">
        <v>-0.27479999999999999</v>
      </c>
      <c r="AZ76" s="230">
        <v>56889800</v>
      </c>
      <c r="BA76" s="230">
        <v>70198700</v>
      </c>
      <c r="BB76" s="230">
        <v>-13308900</v>
      </c>
      <c r="BC76" s="229">
        <v>-0.18959999999999999</v>
      </c>
      <c r="BD76" s="230">
        <v>435600</v>
      </c>
      <c r="BE76" s="230">
        <v>335500</v>
      </c>
      <c r="BF76" s="230">
        <v>100100</v>
      </c>
      <c r="BG76" s="229">
        <v>0.2984</v>
      </c>
      <c r="BH76" s="230">
        <v>89382700</v>
      </c>
      <c r="BI76" s="230">
        <v>94712200</v>
      </c>
      <c r="BJ76" s="230">
        <v>-5329500</v>
      </c>
      <c r="BK76" s="229">
        <v>-5.6300000000000003E-2</v>
      </c>
      <c r="BL76" s="230">
        <v>59401100</v>
      </c>
      <c r="BM76" s="230">
        <v>80293400</v>
      </c>
      <c r="BN76" s="230">
        <v>-20892300</v>
      </c>
      <c r="BO76" s="229">
        <v>-0.26019999999999999</v>
      </c>
      <c r="BP76" s="230">
        <v>259492200</v>
      </c>
      <c r="BQ76" s="230">
        <v>319154000</v>
      </c>
      <c r="BR76" s="230">
        <v>-59661800</v>
      </c>
      <c r="BS76" s="229">
        <v>-0.18690000000000001</v>
      </c>
      <c r="BT76" s="230">
        <v>15988637</v>
      </c>
      <c r="BU76" s="230">
        <v>18053780</v>
      </c>
      <c r="BV76" s="230">
        <v>-2065143</v>
      </c>
      <c r="BW76" s="229">
        <v>-0.1144</v>
      </c>
      <c r="BX76" s="230">
        <v>210641200</v>
      </c>
      <c r="BY76" s="230">
        <v>212543100</v>
      </c>
      <c r="BZ76" s="230">
        <v>-1901900</v>
      </c>
      <c r="CA76" s="229">
        <v>-8.8999999999999999E-3</v>
      </c>
      <c r="CB76" s="230">
        <v>30690000</v>
      </c>
      <c r="CC76" s="230">
        <v>75885700</v>
      </c>
      <c r="CD76" s="230">
        <v>-45195700</v>
      </c>
      <c r="CE76" s="229">
        <v>-0.59560000000000002</v>
      </c>
      <c r="CF76" s="230">
        <v>174868100</v>
      </c>
      <c r="CG76" s="230">
        <v>131692000</v>
      </c>
      <c r="CH76" s="230">
        <v>43176100</v>
      </c>
      <c r="CI76" s="229">
        <v>0.32790000000000002</v>
      </c>
      <c r="CJ76" s="230">
        <v>5083100</v>
      </c>
      <c r="CK76" s="230">
        <v>4965400</v>
      </c>
      <c r="CL76" s="230">
        <v>117700</v>
      </c>
      <c r="CM76" s="229">
        <v>2.3699999999999999E-2</v>
      </c>
      <c r="CN76" s="230">
        <v>33664400</v>
      </c>
      <c r="CO76" s="230">
        <v>37582600</v>
      </c>
      <c r="CP76" s="230">
        <v>-3918200</v>
      </c>
      <c r="CQ76" s="229">
        <v>-0.1043</v>
      </c>
      <c r="CR76" s="230">
        <v>31660200</v>
      </c>
      <c r="CS76" s="230">
        <v>32818500</v>
      </c>
      <c r="CT76" s="230">
        <v>-1158300</v>
      </c>
      <c r="CU76" s="229">
        <v>-3.5299999999999998E-2</v>
      </c>
      <c r="CV76" s="230">
        <v>275965800</v>
      </c>
      <c r="CW76" s="230">
        <v>282944200</v>
      </c>
      <c r="CX76" s="230">
        <v>-6978400</v>
      </c>
      <c r="CY76" s="229">
        <v>-2.47E-2</v>
      </c>
      <c r="CZ76" s="228">
        <v>16.93</v>
      </c>
      <c r="DA76" s="228">
        <v>17</v>
      </c>
      <c r="DB76" s="228">
        <v>-7.0000000000000007E-2</v>
      </c>
      <c r="DC76" s="228">
        <v>-7.0000000000000007E-2</v>
      </c>
      <c r="DD76" s="228">
        <v>21.04</v>
      </c>
      <c r="DE76" s="228">
        <v>21.06</v>
      </c>
      <c r="DF76" s="228">
        <v>-4.1100000000000003</v>
      </c>
      <c r="DG76" s="228">
        <v>-0.02</v>
      </c>
      <c r="DH76" s="228">
        <v>16.71</v>
      </c>
      <c r="DI76" s="228">
        <v>16.739999999999998</v>
      </c>
      <c r="DJ76" s="228">
        <v>-0.03</v>
      </c>
      <c r="DK76" s="228">
        <v>-0.03</v>
      </c>
      <c r="DL76" s="228">
        <v>17.29</v>
      </c>
      <c r="DM76" s="228">
        <v>17.38</v>
      </c>
      <c r="DN76" s="228">
        <v>-0.09</v>
      </c>
      <c r="DO76" s="228">
        <v>-0.09</v>
      </c>
      <c r="DP76" s="228">
        <v>0.94</v>
      </c>
      <c r="DQ76" s="228">
        <v>0.87</v>
      </c>
      <c r="DR76" s="228">
        <v>7.0000000000000007E-2</v>
      </c>
      <c r="DS76" s="229">
        <v>8.0500000000000002E-2</v>
      </c>
      <c r="DT76" s="231">
        <v>1020</v>
      </c>
      <c r="DU76" s="231">
        <v>1000</v>
      </c>
      <c r="DV76" s="228">
        <v>0.66</v>
      </c>
      <c r="DW76" s="228">
        <v>0.85</v>
      </c>
      <c r="DX76" s="228">
        <v>-0.19</v>
      </c>
      <c r="DY76" s="229">
        <v>-0.2235</v>
      </c>
      <c r="DZ76" s="229">
        <v>0.85429999999999995</v>
      </c>
      <c r="EA76" s="230">
        <v>136657400</v>
      </c>
      <c r="EB76" s="229">
        <v>5.5999999999999999E-3</v>
      </c>
      <c r="EC76" s="229">
        <v>0.85429999999999995</v>
      </c>
      <c r="ED76" s="228">
        <v>5.76</v>
      </c>
      <c r="EE76" s="229">
        <v>5.7000000000000002E-3</v>
      </c>
      <c r="EF76" s="230">
        <v>11001548</v>
      </c>
      <c r="EG76" s="230">
        <v>10501298</v>
      </c>
      <c r="EH76" s="229">
        <v>4.7600000000000003E-2</v>
      </c>
      <c r="EI76" s="229">
        <v>0.68810000000000004</v>
      </c>
      <c r="EJ76" s="231">
        <v>913987.53</v>
      </c>
      <c r="EK76" s="231">
        <v>590634.29</v>
      </c>
      <c r="EL76" s="231">
        <v>1116403.68</v>
      </c>
      <c r="EM76" s="231">
        <v>73153</v>
      </c>
      <c r="EN76" s="231">
        <v>2621025.5</v>
      </c>
      <c r="EO76" s="231">
        <v>3210776.95</v>
      </c>
      <c r="EP76" s="231">
        <v>-589751.44999999995</v>
      </c>
      <c r="EQ76" s="229">
        <v>-0.1837</v>
      </c>
      <c r="ER76" s="231">
        <v>344612</v>
      </c>
      <c r="ES76" s="231">
        <v>305967</v>
      </c>
      <c r="ET76" s="231">
        <v>2125982</v>
      </c>
      <c r="EU76" s="231">
        <v>1329733550</v>
      </c>
      <c r="EV76" s="231">
        <v>2776562</v>
      </c>
      <c r="EW76" s="231">
        <v>2821841</v>
      </c>
      <c r="EX76" s="231">
        <v>-45279</v>
      </c>
      <c r="EY76" s="229">
        <v>-1.6E-2</v>
      </c>
      <c r="EZ76" s="229">
        <v>0.20749999999999999</v>
      </c>
      <c r="FA76" s="227" t="s">
        <v>556</v>
      </c>
      <c r="FB76" s="161">
        <f t="shared" si="1"/>
        <v>179951200</v>
      </c>
    </row>
    <row r="77" spans="1:158" ht="17.25" hidden="1" thickBot="1" x14ac:dyDescent="0.3">
      <c r="A77" s="226">
        <v>45957</v>
      </c>
      <c r="B77" s="227" t="s">
        <v>175</v>
      </c>
      <c r="C77" s="227" t="s">
        <v>225</v>
      </c>
      <c r="D77" s="228">
        <v>1100</v>
      </c>
      <c r="E77" s="228">
        <v>739.3</v>
      </c>
      <c r="F77" s="228">
        <v>735.8</v>
      </c>
      <c r="G77" s="228">
        <v>3.5</v>
      </c>
      <c r="H77" s="229">
        <v>4.7999999999999996E-3</v>
      </c>
      <c r="I77" s="228">
        <v>737.25</v>
      </c>
      <c r="J77" s="228">
        <v>734.95</v>
      </c>
      <c r="K77" s="228">
        <v>2.2999999999999998</v>
      </c>
      <c r="L77" s="229">
        <v>3.0999999999999999E-3</v>
      </c>
      <c r="M77" s="228">
        <v>739.3</v>
      </c>
      <c r="N77" s="228">
        <v>735.8</v>
      </c>
      <c r="O77" s="228">
        <v>3.5</v>
      </c>
      <c r="P77" s="229">
        <v>4.7999999999999996E-3</v>
      </c>
      <c r="Q77" s="228">
        <v>742.15</v>
      </c>
      <c r="R77" s="228">
        <v>739.7</v>
      </c>
      <c r="S77" s="228">
        <v>2.4500000000000002</v>
      </c>
      <c r="T77" s="229">
        <v>3.3E-3</v>
      </c>
      <c r="U77" s="228">
        <v>746.75</v>
      </c>
      <c r="V77" s="228">
        <v>745.2</v>
      </c>
      <c r="W77" s="228">
        <v>1.55</v>
      </c>
      <c r="X77" s="229">
        <v>2.0999999999999999E-3</v>
      </c>
      <c r="Y77" s="228">
        <v>2.0499999999999998</v>
      </c>
      <c r="Z77" s="228">
        <v>0.85</v>
      </c>
      <c r="AA77" s="228">
        <v>1.2</v>
      </c>
      <c r="AB77" s="229">
        <v>2.8E-3</v>
      </c>
      <c r="AC77" s="228">
        <v>2.0499999999999998</v>
      </c>
      <c r="AD77" s="228">
        <v>0.85</v>
      </c>
      <c r="AE77" s="228">
        <v>1.2</v>
      </c>
      <c r="AF77" s="229">
        <v>2.8E-3</v>
      </c>
      <c r="AG77" s="228">
        <v>4.9000000000000004</v>
      </c>
      <c r="AH77" s="228">
        <v>4.75</v>
      </c>
      <c r="AI77" s="228">
        <v>0.15</v>
      </c>
      <c r="AJ77" s="229">
        <v>6.6E-3</v>
      </c>
      <c r="AK77" s="228">
        <v>9.5</v>
      </c>
      <c r="AL77" s="228">
        <v>10.25</v>
      </c>
      <c r="AM77" s="228">
        <v>-0.75</v>
      </c>
      <c r="AN77" s="229">
        <v>1.29E-2</v>
      </c>
      <c r="AO77" s="228">
        <v>738.08</v>
      </c>
      <c r="AP77" s="228">
        <v>741.91</v>
      </c>
      <c r="AQ77" s="228">
        <v>0</v>
      </c>
      <c r="AR77" s="230">
        <v>28785900</v>
      </c>
      <c r="AS77" s="230">
        <v>23922800</v>
      </c>
      <c r="AT77" s="230">
        <v>4863100</v>
      </c>
      <c r="AU77" s="229">
        <v>0.20330000000000001</v>
      </c>
      <c r="AV77" s="230">
        <v>13546500</v>
      </c>
      <c r="AW77" s="230">
        <v>11662200</v>
      </c>
      <c r="AX77" s="230">
        <v>1884300</v>
      </c>
      <c r="AY77" s="229">
        <v>0.16159999999999999</v>
      </c>
      <c r="AZ77" s="230">
        <v>15120600</v>
      </c>
      <c r="BA77" s="230">
        <v>12200100</v>
      </c>
      <c r="BB77" s="230">
        <v>2920500</v>
      </c>
      <c r="BC77" s="229">
        <v>0.2394</v>
      </c>
      <c r="BD77" s="230">
        <v>118800</v>
      </c>
      <c r="BE77" s="230">
        <v>60500</v>
      </c>
      <c r="BF77" s="230">
        <v>58300</v>
      </c>
      <c r="BG77" s="229">
        <v>0.96360000000000001</v>
      </c>
      <c r="BH77" s="230">
        <v>16690300</v>
      </c>
      <c r="BI77" s="230">
        <v>13043800</v>
      </c>
      <c r="BJ77" s="230">
        <v>3646500</v>
      </c>
      <c r="BK77" s="229">
        <v>0.27960000000000002</v>
      </c>
      <c r="BL77" s="230">
        <v>7308400</v>
      </c>
      <c r="BM77" s="230">
        <v>4383500</v>
      </c>
      <c r="BN77" s="230">
        <v>2924900</v>
      </c>
      <c r="BO77" s="229">
        <v>0.6673</v>
      </c>
      <c r="BP77" s="230">
        <v>52784600</v>
      </c>
      <c r="BQ77" s="230">
        <v>41350100</v>
      </c>
      <c r="BR77" s="230">
        <v>11434500</v>
      </c>
      <c r="BS77" s="229">
        <v>0.27650000000000002</v>
      </c>
      <c r="BT77" s="230">
        <v>3804039</v>
      </c>
      <c r="BU77" s="230">
        <v>2769438</v>
      </c>
      <c r="BV77" s="230">
        <v>1034601</v>
      </c>
      <c r="BW77" s="229">
        <v>0.37359999999999999</v>
      </c>
      <c r="BX77" s="230">
        <v>33405900</v>
      </c>
      <c r="BY77" s="230">
        <v>33933900</v>
      </c>
      <c r="BZ77" s="230">
        <v>-528000</v>
      </c>
      <c r="CA77" s="229">
        <v>-1.5599999999999999E-2</v>
      </c>
      <c r="CB77" s="230">
        <v>4288900</v>
      </c>
      <c r="CC77" s="230">
        <v>14523300</v>
      </c>
      <c r="CD77" s="230">
        <v>-10234400</v>
      </c>
      <c r="CE77" s="229">
        <v>-0.70469999999999999</v>
      </c>
      <c r="CF77" s="230">
        <v>28894800</v>
      </c>
      <c r="CG77" s="230">
        <v>19230200</v>
      </c>
      <c r="CH77" s="230">
        <v>9664600</v>
      </c>
      <c r="CI77" s="229">
        <v>0.50260000000000005</v>
      </c>
      <c r="CJ77" s="230">
        <v>222200</v>
      </c>
      <c r="CK77" s="230">
        <v>180400</v>
      </c>
      <c r="CL77" s="230">
        <v>41800</v>
      </c>
      <c r="CM77" s="229">
        <v>0.23169999999999999</v>
      </c>
      <c r="CN77" s="230">
        <v>12999800</v>
      </c>
      <c r="CO77" s="230">
        <v>13585000</v>
      </c>
      <c r="CP77" s="230">
        <v>-585200</v>
      </c>
      <c r="CQ77" s="229">
        <v>-4.3099999999999999E-2</v>
      </c>
      <c r="CR77" s="230">
        <v>6524100</v>
      </c>
      <c r="CS77" s="230">
        <v>7102700</v>
      </c>
      <c r="CT77" s="230">
        <v>-578600</v>
      </c>
      <c r="CU77" s="229">
        <v>-8.1500000000000003E-2</v>
      </c>
      <c r="CV77" s="230">
        <v>52929800</v>
      </c>
      <c r="CW77" s="230">
        <v>54621600</v>
      </c>
      <c r="CX77" s="230">
        <v>-1691800</v>
      </c>
      <c r="CY77" s="229">
        <v>-3.1E-2</v>
      </c>
      <c r="CZ77" s="228">
        <v>19.98</v>
      </c>
      <c r="DA77" s="228">
        <v>19.79</v>
      </c>
      <c r="DB77" s="228">
        <v>0.19</v>
      </c>
      <c r="DC77" s="228">
        <v>0.19</v>
      </c>
      <c r="DD77" s="228">
        <v>25.79</v>
      </c>
      <c r="DE77" s="228">
        <v>25.85</v>
      </c>
      <c r="DF77" s="228">
        <v>-5.81</v>
      </c>
      <c r="DG77" s="228">
        <v>-0.06</v>
      </c>
      <c r="DH77" s="228">
        <v>20.27</v>
      </c>
      <c r="DI77" s="228">
        <v>20.18</v>
      </c>
      <c r="DJ77" s="228">
        <v>0.09</v>
      </c>
      <c r="DK77" s="228">
        <v>0.09</v>
      </c>
      <c r="DL77" s="228">
        <v>19.27</v>
      </c>
      <c r="DM77" s="228">
        <v>19.100000000000001</v>
      </c>
      <c r="DN77" s="228">
        <v>0.17</v>
      </c>
      <c r="DO77" s="228">
        <v>0.17</v>
      </c>
      <c r="DP77" s="228">
        <v>0.5</v>
      </c>
      <c r="DQ77" s="228">
        <v>0.52</v>
      </c>
      <c r="DR77" s="228">
        <v>-0.02</v>
      </c>
      <c r="DS77" s="229">
        <v>-3.85E-2</v>
      </c>
      <c r="DT77" s="228">
        <v>800</v>
      </c>
      <c r="DU77" s="228">
        <v>740</v>
      </c>
      <c r="DV77" s="228">
        <v>0.44</v>
      </c>
      <c r="DW77" s="228">
        <v>0.34</v>
      </c>
      <c r="DX77" s="228">
        <v>0.1</v>
      </c>
      <c r="DY77" s="229">
        <v>0.29409999999999997</v>
      </c>
      <c r="DZ77" s="229">
        <v>0.87160000000000004</v>
      </c>
      <c r="EA77" s="230">
        <v>19410600</v>
      </c>
      <c r="EB77" s="229">
        <v>3.8999999999999998E-3</v>
      </c>
      <c r="EC77" s="229">
        <v>0.87160000000000004</v>
      </c>
      <c r="ED77" s="228">
        <v>3.83</v>
      </c>
      <c r="EE77" s="229">
        <v>5.1999999999999998E-3</v>
      </c>
      <c r="EF77" s="230">
        <v>2513810</v>
      </c>
      <c r="EG77" s="230">
        <v>2074854</v>
      </c>
      <c r="EH77" s="229">
        <v>0.21160000000000001</v>
      </c>
      <c r="EI77" s="229">
        <v>0.66080000000000005</v>
      </c>
      <c r="EJ77" s="231">
        <v>127697.11</v>
      </c>
      <c r="EK77" s="231">
        <v>54507.03</v>
      </c>
      <c r="EL77" s="231">
        <v>213052.65</v>
      </c>
      <c r="EM77" s="231">
        <v>10604</v>
      </c>
      <c r="EN77" s="231">
        <v>395256.79</v>
      </c>
      <c r="EO77" s="231">
        <v>309812.36</v>
      </c>
      <c r="EP77" s="231">
        <v>85444.43</v>
      </c>
      <c r="EQ77" s="229">
        <v>0.27579999999999999</v>
      </c>
      <c r="ER77" s="231">
        <v>102179</v>
      </c>
      <c r="ES77" s="231">
        <v>47470</v>
      </c>
      <c r="ET77" s="231">
        <v>247810</v>
      </c>
      <c r="EU77" s="231">
        <v>119296253</v>
      </c>
      <c r="EV77" s="231">
        <v>397459</v>
      </c>
      <c r="EW77" s="231">
        <v>409022</v>
      </c>
      <c r="EX77" s="231">
        <v>-11563</v>
      </c>
      <c r="EY77" s="229">
        <v>-2.8299999999999999E-2</v>
      </c>
      <c r="EZ77" s="229">
        <v>0.44369999999999998</v>
      </c>
      <c r="FA77" s="227" t="s">
        <v>556</v>
      </c>
      <c r="FB77" s="161">
        <f t="shared" si="1"/>
        <v>29117000</v>
      </c>
    </row>
    <row r="78" spans="1:158" ht="17.25" hidden="1" thickBot="1" x14ac:dyDescent="0.3">
      <c r="A78" s="226">
        <v>45957</v>
      </c>
      <c r="B78" s="227" t="s">
        <v>162</v>
      </c>
      <c r="C78" s="227" t="s">
        <v>226</v>
      </c>
      <c r="D78" s="228">
        <v>150</v>
      </c>
      <c r="E78" s="231">
        <v>5650</v>
      </c>
      <c r="F78" s="231">
        <v>5535</v>
      </c>
      <c r="G78" s="228">
        <v>115</v>
      </c>
      <c r="H78" s="229">
        <v>2.0799999999999999E-2</v>
      </c>
      <c r="I78" s="231">
        <v>5646.5</v>
      </c>
      <c r="J78" s="231">
        <v>5540.5</v>
      </c>
      <c r="K78" s="228">
        <v>106</v>
      </c>
      <c r="L78" s="229">
        <v>1.9099999999999999E-2</v>
      </c>
      <c r="M78" s="231">
        <v>5650</v>
      </c>
      <c r="N78" s="231">
        <v>5535</v>
      </c>
      <c r="O78" s="228">
        <v>115</v>
      </c>
      <c r="P78" s="229">
        <v>2.0799999999999999E-2</v>
      </c>
      <c r="Q78" s="231">
        <v>5679.5</v>
      </c>
      <c r="R78" s="231">
        <v>5565</v>
      </c>
      <c r="S78" s="228">
        <v>114.5</v>
      </c>
      <c r="T78" s="229">
        <v>2.06E-2</v>
      </c>
      <c r="U78" s="231">
        <v>5695.5</v>
      </c>
      <c r="V78" s="231">
        <v>5588.5</v>
      </c>
      <c r="W78" s="228">
        <v>107</v>
      </c>
      <c r="X78" s="229">
        <v>1.9099999999999999E-2</v>
      </c>
      <c r="Y78" s="228">
        <v>3.5</v>
      </c>
      <c r="Z78" s="228">
        <v>-5.5</v>
      </c>
      <c r="AA78" s="228">
        <v>9</v>
      </c>
      <c r="AB78" s="229">
        <v>5.9999999999999995E-4</v>
      </c>
      <c r="AC78" s="228">
        <v>3.5</v>
      </c>
      <c r="AD78" s="228">
        <v>-5.5</v>
      </c>
      <c r="AE78" s="228">
        <v>9</v>
      </c>
      <c r="AF78" s="229">
        <v>5.9999999999999995E-4</v>
      </c>
      <c r="AG78" s="228">
        <v>33</v>
      </c>
      <c r="AH78" s="228">
        <v>24.5</v>
      </c>
      <c r="AI78" s="228">
        <v>8.5</v>
      </c>
      <c r="AJ78" s="229">
        <v>5.7999999999999996E-3</v>
      </c>
      <c r="AK78" s="228">
        <v>49</v>
      </c>
      <c r="AL78" s="228">
        <v>48</v>
      </c>
      <c r="AM78" s="228">
        <v>1</v>
      </c>
      <c r="AN78" s="229">
        <v>8.6999999999999994E-3</v>
      </c>
      <c r="AO78" s="231">
        <v>5627.35</v>
      </c>
      <c r="AP78" s="231">
        <v>5658.79</v>
      </c>
      <c r="AQ78" s="228">
        <v>0</v>
      </c>
      <c r="AR78" s="230">
        <v>4265100</v>
      </c>
      <c r="AS78" s="230">
        <v>3758250</v>
      </c>
      <c r="AT78" s="230">
        <v>506850</v>
      </c>
      <c r="AU78" s="229">
        <v>0.13489999999999999</v>
      </c>
      <c r="AV78" s="230">
        <v>2012250</v>
      </c>
      <c r="AW78" s="230">
        <v>1882200</v>
      </c>
      <c r="AX78" s="230">
        <v>130050</v>
      </c>
      <c r="AY78" s="229">
        <v>6.9099999999999995E-2</v>
      </c>
      <c r="AZ78" s="230">
        <v>2238150</v>
      </c>
      <c r="BA78" s="230">
        <v>1864200</v>
      </c>
      <c r="BB78" s="230">
        <v>373950</v>
      </c>
      <c r="BC78" s="229">
        <v>0.2006</v>
      </c>
      <c r="BD78" s="230">
        <v>14700</v>
      </c>
      <c r="BE78" s="230">
        <v>11850</v>
      </c>
      <c r="BF78" s="230">
        <v>2850</v>
      </c>
      <c r="BG78" s="229">
        <v>0.24049999999999999</v>
      </c>
      <c r="BH78" s="230">
        <v>5848050</v>
      </c>
      <c r="BI78" s="230">
        <v>4652400</v>
      </c>
      <c r="BJ78" s="230">
        <v>1195650</v>
      </c>
      <c r="BK78" s="229">
        <v>0.25700000000000001</v>
      </c>
      <c r="BL78" s="230">
        <v>3135450</v>
      </c>
      <c r="BM78" s="230">
        <v>2468100</v>
      </c>
      <c r="BN78" s="230">
        <v>667350</v>
      </c>
      <c r="BO78" s="229">
        <v>0.27039999999999997</v>
      </c>
      <c r="BP78" s="230">
        <v>13248600</v>
      </c>
      <c r="BQ78" s="230">
        <v>10878750</v>
      </c>
      <c r="BR78" s="230">
        <v>2369850</v>
      </c>
      <c r="BS78" s="229">
        <v>0.21779999999999999</v>
      </c>
      <c r="BT78" s="230">
        <v>448619</v>
      </c>
      <c r="BU78" s="230">
        <v>557003</v>
      </c>
      <c r="BV78" s="230">
        <v>-108384</v>
      </c>
      <c r="BW78" s="229">
        <v>-0.1946</v>
      </c>
      <c r="BX78" s="230">
        <v>4807350</v>
      </c>
      <c r="BY78" s="230">
        <v>4969800</v>
      </c>
      <c r="BZ78" s="230">
        <v>-162450</v>
      </c>
      <c r="CA78" s="229">
        <v>-3.27E-2</v>
      </c>
      <c r="CB78" s="230">
        <v>723150</v>
      </c>
      <c r="CC78" s="230">
        <v>2071950</v>
      </c>
      <c r="CD78" s="230">
        <v>-1348800</v>
      </c>
      <c r="CE78" s="229">
        <v>-0.65100000000000002</v>
      </c>
      <c r="CF78" s="230">
        <v>4051500</v>
      </c>
      <c r="CG78" s="230">
        <v>2867400</v>
      </c>
      <c r="CH78" s="230">
        <v>1184100</v>
      </c>
      <c r="CI78" s="229">
        <v>0.41299999999999998</v>
      </c>
      <c r="CJ78" s="230">
        <v>32700</v>
      </c>
      <c r="CK78" s="230">
        <v>30450</v>
      </c>
      <c r="CL78" s="230">
        <v>2250</v>
      </c>
      <c r="CM78" s="229">
        <v>7.3899999999999993E-2</v>
      </c>
      <c r="CN78" s="230">
        <v>1947150</v>
      </c>
      <c r="CO78" s="230">
        <v>2339250</v>
      </c>
      <c r="CP78" s="230">
        <v>-392100</v>
      </c>
      <c r="CQ78" s="229">
        <v>-0.1676</v>
      </c>
      <c r="CR78" s="230">
        <v>1525350</v>
      </c>
      <c r="CS78" s="230">
        <v>1543050</v>
      </c>
      <c r="CT78" s="230">
        <v>-17700</v>
      </c>
      <c r="CU78" s="229">
        <v>-1.15E-2</v>
      </c>
      <c r="CV78" s="230">
        <v>8279850</v>
      </c>
      <c r="CW78" s="230">
        <v>8852100</v>
      </c>
      <c r="CX78" s="230">
        <v>-572250</v>
      </c>
      <c r="CY78" s="229">
        <v>-6.4600000000000005E-2</v>
      </c>
      <c r="CZ78" s="228">
        <v>25.24</v>
      </c>
      <c r="DA78" s="228">
        <v>25.8</v>
      </c>
      <c r="DB78" s="228">
        <v>-0.56000000000000005</v>
      </c>
      <c r="DC78" s="228">
        <v>-0.56000000000000005</v>
      </c>
      <c r="DD78" s="228">
        <v>30.44</v>
      </c>
      <c r="DE78" s="228">
        <v>30.41</v>
      </c>
      <c r="DF78" s="228">
        <v>-5.2</v>
      </c>
      <c r="DG78" s="228">
        <v>0.03</v>
      </c>
      <c r="DH78" s="228">
        <v>25.18</v>
      </c>
      <c r="DI78" s="228">
        <v>25.83</v>
      </c>
      <c r="DJ78" s="228">
        <v>-0.65</v>
      </c>
      <c r="DK78" s="228">
        <v>-0.65</v>
      </c>
      <c r="DL78" s="228">
        <v>25.32</v>
      </c>
      <c r="DM78" s="228">
        <v>25.75</v>
      </c>
      <c r="DN78" s="228">
        <v>-0.43</v>
      </c>
      <c r="DO78" s="228">
        <v>-0.43</v>
      </c>
      <c r="DP78" s="228">
        <v>0.78</v>
      </c>
      <c r="DQ78" s="228">
        <v>0.66</v>
      </c>
      <c r="DR78" s="228">
        <v>0.12</v>
      </c>
      <c r="DS78" s="229">
        <v>0.18179999999999999</v>
      </c>
      <c r="DT78" s="231">
        <v>6000</v>
      </c>
      <c r="DU78" s="231">
        <v>5400</v>
      </c>
      <c r="DV78" s="228">
        <v>0.54</v>
      </c>
      <c r="DW78" s="228">
        <v>0.53</v>
      </c>
      <c r="DX78" s="228">
        <v>0.01</v>
      </c>
      <c r="DY78" s="229">
        <v>1.89E-2</v>
      </c>
      <c r="DZ78" s="229">
        <v>0.84960000000000002</v>
      </c>
      <c r="EA78" s="230">
        <v>2897850</v>
      </c>
      <c r="EB78" s="229">
        <v>5.1999999999999998E-3</v>
      </c>
      <c r="EC78" s="229">
        <v>0.84960000000000002</v>
      </c>
      <c r="ED78" s="228">
        <v>31.44</v>
      </c>
      <c r="EE78" s="229">
        <v>5.5999999999999999E-3</v>
      </c>
      <c r="EF78" s="230">
        <v>235523</v>
      </c>
      <c r="EG78" s="230">
        <v>286085</v>
      </c>
      <c r="EH78" s="229">
        <v>-0.1767</v>
      </c>
      <c r="EI78" s="229">
        <v>0.52500000000000002</v>
      </c>
      <c r="EJ78" s="231">
        <v>337500.47</v>
      </c>
      <c r="EK78" s="231">
        <v>172891.65</v>
      </c>
      <c r="EL78" s="231">
        <v>240722.16</v>
      </c>
      <c r="EM78" s="231">
        <v>15830</v>
      </c>
      <c r="EN78" s="231">
        <v>751114.28</v>
      </c>
      <c r="EO78" s="231">
        <v>611616.69999999995</v>
      </c>
      <c r="EP78" s="231">
        <v>139497.57999999999</v>
      </c>
      <c r="EQ78" s="229">
        <v>0.2281</v>
      </c>
      <c r="ER78" s="231">
        <v>113732</v>
      </c>
      <c r="ES78" s="231">
        <v>81275</v>
      </c>
      <c r="ET78" s="231">
        <v>272825</v>
      </c>
      <c r="EU78" s="231">
        <v>19579129</v>
      </c>
      <c r="EV78" s="231">
        <v>467833</v>
      </c>
      <c r="EW78" s="231">
        <v>493521</v>
      </c>
      <c r="EX78" s="231">
        <v>-25688</v>
      </c>
      <c r="EY78" s="229">
        <v>-5.21E-2</v>
      </c>
      <c r="EZ78" s="229">
        <v>0.4229</v>
      </c>
      <c r="FA78" s="227" t="s">
        <v>556</v>
      </c>
      <c r="FB78" s="161">
        <f t="shared" si="1"/>
        <v>4084200</v>
      </c>
    </row>
    <row r="79" spans="1:158" ht="17.25" hidden="1" thickBot="1" x14ac:dyDescent="0.3">
      <c r="A79" s="226">
        <v>45957</v>
      </c>
      <c r="B79" s="227" t="s">
        <v>221</v>
      </c>
      <c r="C79" s="227" t="s">
        <v>576</v>
      </c>
      <c r="D79" s="228">
        <v>6450</v>
      </c>
      <c r="E79" s="228">
        <v>76.86</v>
      </c>
      <c r="F79" s="228">
        <v>77.8</v>
      </c>
      <c r="G79" s="228">
        <v>-0.94</v>
      </c>
      <c r="H79" s="229">
        <v>-1.21E-2</v>
      </c>
      <c r="I79" s="228">
        <v>76.849999999999994</v>
      </c>
      <c r="J79" s="228">
        <v>77.739999999999995</v>
      </c>
      <c r="K79" s="228">
        <v>-0.89</v>
      </c>
      <c r="L79" s="229">
        <v>-1.14E-2</v>
      </c>
      <c r="M79" s="228">
        <v>76.86</v>
      </c>
      <c r="N79" s="228">
        <v>77.8</v>
      </c>
      <c r="O79" s="228">
        <v>-0.94</v>
      </c>
      <c r="P79" s="229">
        <v>-1.21E-2</v>
      </c>
      <c r="Q79" s="228">
        <v>77.28</v>
      </c>
      <c r="R79" s="228">
        <v>78.22</v>
      </c>
      <c r="S79" s="228">
        <v>-0.94</v>
      </c>
      <c r="T79" s="229">
        <v>-1.2E-2</v>
      </c>
      <c r="U79" s="228">
        <v>77.790000000000006</v>
      </c>
      <c r="V79" s="228">
        <v>78.81</v>
      </c>
      <c r="W79" s="228">
        <v>-1.02</v>
      </c>
      <c r="X79" s="229">
        <v>-1.29E-2</v>
      </c>
      <c r="Y79" s="228">
        <v>0.01</v>
      </c>
      <c r="Z79" s="228">
        <v>0.06</v>
      </c>
      <c r="AA79" s="228">
        <v>-0.05</v>
      </c>
      <c r="AB79" s="229">
        <v>1E-4</v>
      </c>
      <c r="AC79" s="228">
        <v>0.01</v>
      </c>
      <c r="AD79" s="228">
        <v>0.06</v>
      </c>
      <c r="AE79" s="228">
        <v>-0.05</v>
      </c>
      <c r="AF79" s="229">
        <v>1E-4</v>
      </c>
      <c r="AG79" s="228">
        <v>0.43</v>
      </c>
      <c r="AH79" s="228">
        <v>0.48</v>
      </c>
      <c r="AI79" s="228">
        <v>-0.05</v>
      </c>
      <c r="AJ79" s="229">
        <v>5.5999999999999999E-3</v>
      </c>
      <c r="AK79" s="228">
        <v>0.94</v>
      </c>
      <c r="AL79" s="228">
        <v>1.07</v>
      </c>
      <c r="AM79" s="228">
        <v>-0.13</v>
      </c>
      <c r="AN79" s="229">
        <v>1.2200000000000001E-2</v>
      </c>
      <c r="AO79" s="228">
        <v>77.27</v>
      </c>
      <c r="AP79" s="228">
        <v>77.67</v>
      </c>
      <c r="AQ79" s="228">
        <v>0</v>
      </c>
      <c r="AR79" s="230">
        <v>73736400</v>
      </c>
      <c r="AS79" s="230">
        <v>76793700</v>
      </c>
      <c r="AT79" s="230">
        <v>-3057300</v>
      </c>
      <c r="AU79" s="229">
        <v>-3.9800000000000002E-2</v>
      </c>
      <c r="AV79" s="230">
        <v>34359150</v>
      </c>
      <c r="AW79" s="230">
        <v>37074600</v>
      </c>
      <c r="AX79" s="230">
        <v>-2715450</v>
      </c>
      <c r="AY79" s="229">
        <v>-7.3200000000000001E-2</v>
      </c>
      <c r="AZ79" s="230">
        <v>38648400</v>
      </c>
      <c r="BA79" s="230">
        <v>39164400</v>
      </c>
      <c r="BB79" s="230">
        <v>-516000</v>
      </c>
      <c r="BC79" s="229">
        <v>-1.32E-2</v>
      </c>
      <c r="BD79" s="230">
        <v>728850</v>
      </c>
      <c r="BE79" s="230">
        <v>554700</v>
      </c>
      <c r="BF79" s="230">
        <v>174150</v>
      </c>
      <c r="BG79" s="229">
        <v>0.314</v>
      </c>
      <c r="BH79" s="230">
        <v>57721050</v>
      </c>
      <c r="BI79" s="230">
        <v>75897150</v>
      </c>
      <c r="BJ79" s="230">
        <v>-18176100</v>
      </c>
      <c r="BK79" s="229">
        <v>-0.23949999999999999</v>
      </c>
      <c r="BL79" s="230">
        <v>18840450</v>
      </c>
      <c r="BM79" s="230">
        <v>27612450</v>
      </c>
      <c r="BN79" s="230">
        <v>-8772000</v>
      </c>
      <c r="BO79" s="229">
        <v>-0.31769999999999998</v>
      </c>
      <c r="BP79" s="230">
        <v>150297900</v>
      </c>
      <c r="BQ79" s="230">
        <v>180303300</v>
      </c>
      <c r="BR79" s="230">
        <v>-30005400</v>
      </c>
      <c r="BS79" s="229">
        <v>-0.16639999999999999</v>
      </c>
      <c r="BT79" s="230">
        <v>11424292</v>
      </c>
      <c r="BU79" s="230">
        <v>14163914</v>
      </c>
      <c r="BV79" s="230">
        <v>-2739622</v>
      </c>
      <c r="BW79" s="229">
        <v>-0.19339999999999999</v>
      </c>
      <c r="BX79" s="230">
        <v>126497400</v>
      </c>
      <c r="BY79" s="230">
        <v>129025800</v>
      </c>
      <c r="BZ79" s="230">
        <v>-2528400</v>
      </c>
      <c r="CA79" s="229">
        <v>-1.9599999999999999E-2</v>
      </c>
      <c r="CB79" s="230">
        <v>34384950</v>
      </c>
      <c r="CC79" s="230">
        <v>57508200</v>
      </c>
      <c r="CD79" s="230">
        <v>-23123250</v>
      </c>
      <c r="CE79" s="229">
        <v>-0.40210000000000001</v>
      </c>
      <c r="CF79" s="230">
        <v>89474400</v>
      </c>
      <c r="CG79" s="230">
        <v>69092400</v>
      </c>
      <c r="CH79" s="230">
        <v>20382000</v>
      </c>
      <c r="CI79" s="229">
        <v>0.29499999999999998</v>
      </c>
      <c r="CJ79" s="230">
        <v>2638050</v>
      </c>
      <c r="CK79" s="230">
        <v>2425200</v>
      </c>
      <c r="CL79" s="230">
        <v>212850</v>
      </c>
      <c r="CM79" s="229">
        <v>8.7800000000000003E-2</v>
      </c>
      <c r="CN79" s="230">
        <v>62629500</v>
      </c>
      <c r="CO79" s="230">
        <v>56231100</v>
      </c>
      <c r="CP79" s="230">
        <v>6398400</v>
      </c>
      <c r="CQ79" s="229">
        <v>0.1138</v>
      </c>
      <c r="CR79" s="230">
        <v>30450450</v>
      </c>
      <c r="CS79" s="230">
        <v>28444500</v>
      </c>
      <c r="CT79" s="230">
        <v>2005950</v>
      </c>
      <c r="CU79" s="229">
        <v>7.0499999999999993E-2</v>
      </c>
      <c r="CV79" s="230">
        <v>219577350</v>
      </c>
      <c r="CW79" s="230">
        <v>213701400</v>
      </c>
      <c r="CX79" s="230">
        <v>5875950</v>
      </c>
      <c r="CY79" s="229">
        <v>2.75E-2</v>
      </c>
      <c r="CZ79" s="228">
        <v>42.42</v>
      </c>
      <c r="DA79" s="228">
        <v>40.229999999999997</v>
      </c>
      <c r="DB79" s="228">
        <v>2.19</v>
      </c>
      <c r="DC79" s="228">
        <v>2.19</v>
      </c>
      <c r="DD79" s="228">
        <v>54.12</v>
      </c>
      <c r="DE79" s="228">
        <v>54.23</v>
      </c>
      <c r="DF79" s="228">
        <v>-11.7</v>
      </c>
      <c r="DG79" s="228">
        <v>-0.11</v>
      </c>
      <c r="DH79" s="228">
        <v>42.7</v>
      </c>
      <c r="DI79" s="228">
        <v>40.14</v>
      </c>
      <c r="DJ79" s="228">
        <v>2.56</v>
      </c>
      <c r="DK79" s="228">
        <v>2.56</v>
      </c>
      <c r="DL79" s="228">
        <v>41.47</v>
      </c>
      <c r="DM79" s="228">
        <v>40.479999999999997</v>
      </c>
      <c r="DN79" s="228">
        <v>0.99</v>
      </c>
      <c r="DO79" s="228">
        <v>0.99</v>
      </c>
      <c r="DP79" s="228">
        <v>0.49</v>
      </c>
      <c r="DQ79" s="228">
        <v>0.51</v>
      </c>
      <c r="DR79" s="228">
        <v>-0.02</v>
      </c>
      <c r="DS79" s="229">
        <v>-3.9199999999999999E-2</v>
      </c>
      <c r="DT79" s="228">
        <v>75</v>
      </c>
      <c r="DU79" s="228">
        <v>75</v>
      </c>
      <c r="DV79" s="228">
        <v>0.33</v>
      </c>
      <c r="DW79" s="228">
        <v>0.36</v>
      </c>
      <c r="DX79" s="228">
        <v>-0.03</v>
      </c>
      <c r="DY79" s="229">
        <v>-8.3299999999999999E-2</v>
      </c>
      <c r="DZ79" s="229">
        <v>0.72819999999999996</v>
      </c>
      <c r="EA79" s="230">
        <v>71517600</v>
      </c>
      <c r="EB79" s="229">
        <v>5.4999999999999997E-3</v>
      </c>
      <c r="EC79" s="229">
        <v>0.72819999999999996</v>
      </c>
      <c r="ED79" s="228">
        <v>0.4</v>
      </c>
      <c r="EE79" s="229">
        <v>5.1999999999999998E-3</v>
      </c>
      <c r="EF79" s="230">
        <v>3077074</v>
      </c>
      <c r="EG79" s="230">
        <v>3825793</v>
      </c>
      <c r="EH79" s="229">
        <v>-0.19570000000000001</v>
      </c>
      <c r="EI79" s="229">
        <v>0.26929999999999998</v>
      </c>
      <c r="EJ79" s="231">
        <v>46585.19</v>
      </c>
      <c r="EK79" s="231">
        <v>14965.35</v>
      </c>
      <c r="EL79" s="231">
        <v>57134.61</v>
      </c>
      <c r="EM79" s="231">
        <v>7620</v>
      </c>
      <c r="EN79" s="231">
        <v>118685.15</v>
      </c>
      <c r="EO79" s="231">
        <v>142901.60999999999</v>
      </c>
      <c r="EP79" s="231">
        <v>-24216.46</v>
      </c>
      <c r="EQ79" s="229">
        <v>-0.16950000000000001</v>
      </c>
      <c r="ER79" s="231">
        <v>49693</v>
      </c>
      <c r="ES79" s="231">
        <v>22769</v>
      </c>
      <c r="ET79" s="231">
        <v>97626</v>
      </c>
      <c r="EU79" s="231">
        <v>147979599</v>
      </c>
      <c r="EV79" s="231">
        <v>170088</v>
      </c>
      <c r="EW79" s="231">
        <v>166660</v>
      </c>
      <c r="EX79" s="231">
        <v>3428</v>
      </c>
      <c r="EY79" s="229">
        <v>2.06E-2</v>
      </c>
      <c r="EZ79" s="229">
        <v>1.4838</v>
      </c>
      <c r="FA79" s="227" t="s">
        <v>568</v>
      </c>
      <c r="FB79" s="161">
        <f t="shared" si="1"/>
        <v>92112450</v>
      </c>
    </row>
    <row r="80" spans="1:158" ht="17.25" hidden="1" thickBot="1" x14ac:dyDescent="0.3">
      <c r="A80" s="226">
        <v>45957</v>
      </c>
      <c r="B80" s="227" t="s">
        <v>227</v>
      </c>
      <c r="C80" s="227" t="s">
        <v>228</v>
      </c>
      <c r="D80" s="228">
        <v>1400</v>
      </c>
      <c r="E80" s="228">
        <v>840.8</v>
      </c>
      <c r="F80" s="228">
        <v>822.65</v>
      </c>
      <c r="G80" s="228">
        <v>18.149999999999999</v>
      </c>
      <c r="H80" s="229">
        <v>2.2100000000000002E-2</v>
      </c>
      <c r="I80" s="228">
        <v>840.85</v>
      </c>
      <c r="J80" s="228">
        <v>824.45</v>
      </c>
      <c r="K80" s="228">
        <v>16.399999999999999</v>
      </c>
      <c r="L80" s="229">
        <v>1.9900000000000001E-2</v>
      </c>
      <c r="M80" s="228">
        <v>840.8</v>
      </c>
      <c r="N80" s="228">
        <v>822.65</v>
      </c>
      <c r="O80" s="228">
        <v>18.149999999999999</v>
      </c>
      <c r="P80" s="229">
        <v>2.2100000000000002E-2</v>
      </c>
      <c r="Q80" s="228">
        <v>846.05</v>
      </c>
      <c r="R80" s="228">
        <v>827.4</v>
      </c>
      <c r="S80" s="228">
        <v>18.649999999999999</v>
      </c>
      <c r="T80" s="229">
        <v>2.2499999999999999E-2</v>
      </c>
      <c r="U80" s="228">
        <v>851.3</v>
      </c>
      <c r="V80" s="228">
        <v>833.2</v>
      </c>
      <c r="W80" s="228">
        <v>18.100000000000001</v>
      </c>
      <c r="X80" s="229">
        <v>2.1700000000000001E-2</v>
      </c>
      <c r="Y80" s="228">
        <v>-0.05</v>
      </c>
      <c r="Z80" s="228">
        <v>-1.8</v>
      </c>
      <c r="AA80" s="228">
        <v>1.75</v>
      </c>
      <c r="AB80" s="229">
        <v>-1E-4</v>
      </c>
      <c r="AC80" s="228">
        <v>-0.05</v>
      </c>
      <c r="AD80" s="228">
        <v>-1.8</v>
      </c>
      <c r="AE80" s="228">
        <v>1.75</v>
      </c>
      <c r="AF80" s="229">
        <v>-1E-4</v>
      </c>
      <c r="AG80" s="228">
        <v>5.2</v>
      </c>
      <c r="AH80" s="228">
        <v>2.95</v>
      </c>
      <c r="AI80" s="228">
        <v>2.25</v>
      </c>
      <c r="AJ80" s="229">
        <v>6.1999999999999998E-3</v>
      </c>
      <c r="AK80" s="228">
        <v>10.45</v>
      </c>
      <c r="AL80" s="228">
        <v>8.75</v>
      </c>
      <c r="AM80" s="228">
        <v>1.7</v>
      </c>
      <c r="AN80" s="229">
        <v>1.24E-2</v>
      </c>
      <c r="AO80" s="228">
        <v>835.7</v>
      </c>
      <c r="AP80" s="228">
        <v>841.03</v>
      </c>
      <c r="AQ80" s="228">
        <v>0</v>
      </c>
      <c r="AR80" s="230">
        <v>36261400</v>
      </c>
      <c r="AS80" s="230">
        <v>49182000</v>
      </c>
      <c r="AT80" s="230">
        <v>-12920600</v>
      </c>
      <c r="AU80" s="229">
        <v>-0.26269999999999999</v>
      </c>
      <c r="AV80" s="230">
        <v>16473800</v>
      </c>
      <c r="AW80" s="230">
        <v>26125400</v>
      </c>
      <c r="AX80" s="230">
        <v>-9651600</v>
      </c>
      <c r="AY80" s="229">
        <v>-0.36940000000000001</v>
      </c>
      <c r="AZ80" s="230">
        <v>19465600</v>
      </c>
      <c r="BA80" s="230">
        <v>22731800</v>
      </c>
      <c r="BB80" s="230">
        <v>-3266200</v>
      </c>
      <c r="BC80" s="229">
        <v>-0.14369999999999999</v>
      </c>
      <c r="BD80" s="230">
        <v>322000</v>
      </c>
      <c r="BE80" s="230">
        <v>324800</v>
      </c>
      <c r="BF80" s="230">
        <v>-2800</v>
      </c>
      <c r="BG80" s="229">
        <v>-8.6E-3</v>
      </c>
      <c r="BH80" s="230">
        <v>72441600</v>
      </c>
      <c r="BI80" s="230">
        <v>161030800</v>
      </c>
      <c r="BJ80" s="230">
        <v>-88589200</v>
      </c>
      <c r="BK80" s="229">
        <v>-0.55010000000000003</v>
      </c>
      <c r="BL80" s="230">
        <v>44049600</v>
      </c>
      <c r="BM80" s="230">
        <v>67659200</v>
      </c>
      <c r="BN80" s="230">
        <v>-23609600</v>
      </c>
      <c r="BO80" s="229">
        <v>-0.34889999999999999</v>
      </c>
      <c r="BP80" s="230">
        <v>152752600</v>
      </c>
      <c r="BQ80" s="230">
        <v>277872000</v>
      </c>
      <c r="BR80" s="230">
        <v>-125119400</v>
      </c>
      <c r="BS80" s="229">
        <v>-0.45029999999999998</v>
      </c>
      <c r="BT80" s="230">
        <v>8242621</v>
      </c>
      <c r="BU80" s="230">
        <v>17783426</v>
      </c>
      <c r="BV80" s="230">
        <v>-9540805</v>
      </c>
      <c r="BW80" s="229">
        <v>-0.53649999999999998</v>
      </c>
      <c r="BX80" s="230">
        <v>65990400</v>
      </c>
      <c r="BY80" s="230">
        <v>64671600</v>
      </c>
      <c r="BZ80" s="230">
        <v>1318800</v>
      </c>
      <c r="CA80" s="229">
        <v>2.0400000000000001E-2</v>
      </c>
      <c r="CB80" s="230">
        <v>10946600</v>
      </c>
      <c r="CC80" s="230">
        <v>21018200</v>
      </c>
      <c r="CD80" s="230">
        <v>-10071600</v>
      </c>
      <c r="CE80" s="229">
        <v>-0.47920000000000001</v>
      </c>
      <c r="CF80" s="230">
        <v>54635000</v>
      </c>
      <c r="CG80" s="230">
        <v>43334200</v>
      </c>
      <c r="CH80" s="230">
        <v>11300800</v>
      </c>
      <c r="CI80" s="229">
        <v>0.26079999999999998</v>
      </c>
      <c r="CJ80" s="230">
        <v>408800</v>
      </c>
      <c r="CK80" s="230">
        <v>319200</v>
      </c>
      <c r="CL80" s="230">
        <v>89600</v>
      </c>
      <c r="CM80" s="229">
        <v>0.28070000000000001</v>
      </c>
      <c r="CN80" s="230">
        <v>18016600</v>
      </c>
      <c r="CO80" s="230">
        <v>20071800</v>
      </c>
      <c r="CP80" s="230">
        <v>-2055200</v>
      </c>
      <c r="CQ80" s="229">
        <v>-0.1024</v>
      </c>
      <c r="CR80" s="230">
        <v>19131000</v>
      </c>
      <c r="CS80" s="230">
        <v>17154200</v>
      </c>
      <c r="CT80" s="230">
        <v>1976800</v>
      </c>
      <c r="CU80" s="229">
        <v>0.1152</v>
      </c>
      <c r="CV80" s="230">
        <v>103138000</v>
      </c>
      <c r="CW80" s="230">
        <v>101897600</v>
      </c>
      <c r="CX80" s="230">
        <v>1240400</v>
      </c>
      <c r="CY80" s="229">
        <v>1.2200000000000001E-2</v>
      </c>
      <c r="CZ80" s="228">
        <v>28.41</v>
      </c>
      <c r="DA80" s="228">
        <v>28.09</v>
      </c>
      <c r="DB80" s="228">
        <v>0.32</v>
      </c>
      <c r="DC80" s="228">
        <v>0.32</v>
      </c>
      <c r="DD80" s="228">
        <v>33.28</v>
      </c>
      <c r="DE80" s="228">
        <v>33.26</v>
      </c>
      <c r="DF80" s="228">
        <v>-4.87</v>
      </c>
      <c r="DG80" s="228">
        <v>0.02</v>
      </c>
      <c r="DH80" s="228">
        <v>27.71</v>
      </c>
      <c r="DI80" s="228">
        <v>27.86</v>
      </c>
      <c r="DJ80" s="228">
        <v>-0.15</v>
      </c>
      <c r="DK80" s="228">
        <v>-0.15</v>
      </c>
      <c r="DL80" s="228">
        <v>29.49</v>
      </c>
      <c r="DM80" s="228">
        <v>28.5</v>
      </c>
      <c r="DN80" s="228">
        <v>0.99</v>
      </c>
      <c r="DO80" s="228">
        <v>0.99</v>
      </c>
      <c r="DP80" s="228">
        <v>1.06</v>
      </c>
      <c r="DQ80" s="228">
        <v>0.85</v>
      </c>
      <c r="DR80" s="228">
        <v>0.21</v>
      </c>
      <c r="DS80" s="229">
        <v>0.24709999999999999</v>
      </c>
      <c r="DT80" s="228">
        <v>800</v>
      </c>
      <c r="DU80" s="228">
        <v>820</v>
      </c>
      <c r="DV80" s="228">
        <v>0.61</v>
      </c>
      <c r="DW80" s="228">
        <v>0.42</v>
      </c>
      <c r="DX80" s="228">
        <v>0.19</v>
      </c>
      <c r="DY80" s="229">
        <v>0.45240000000000002</v>
      </c>
      <c r="DZ80" s="229">
        <v>0.83409999999999995</v>
      </c>
      <c r="EA80" s="230">
        <v>43653400</v>
      </c>
      <c r="EB80" s="229">
        <v>6.1999999999999998E-3</v>
      </c>
      <c r="EC80" s="229">
        <v>0.83409999999999995</v>
      </c>
      <c r="ED80" s="228">
        <v>5.33</v>
      </c>
      <c r="EE80" s="229">
        <v>6.4000000000000003E-3</v>
      </c>
      <c r="EF80" s="230">
        <v>4066043</v>
      </c>
      <c r="EG80" s="230">
        <v>6733340</v>
      </c>
      <c r="EH80" s="229">
        <v>-0.39610000000000001</v>
      </c>
      <c r="EI80" s="229">
        <v>0.49330000000000002</v>
      </c>
      <c r="EJ80" s="231">
        <v>619371.84</v>
      </c>
      <c r="EK80" s="231">
        <v>360963.18</v>
      </c>
      <c r="EL80" s="231">
        <v>304107.15999999997</v>
      </c>
      <c r="EM80" s="231">
        <v>20819</v>
      </c>
      <c r="EN80" s="231">
        <v>1284442.18</v>
      </c>
      <c r="EO80" s="231">
        <v>2306304.77</v>
      </c>
      <c r="EP80" s="231">
        <v>-1021862.59</v>
      </c>
      <c r="EQ80" s="229">
        <v>-0.44309999999999999</v>
      </c>
      <c r="ER80" s="231">
        <v>149284</v>
      </c>
      <c r="ES80" s="231">
        <v>149279</v>
      </c>
      <c r="ET80" s="231">
        <v>557759</v>
      </c>
      <c r="EU80" s="231">
        <v>176136372</v>
      </c>
      <c r="EV80" s="231">
        <v>856322</v>
      </c>
      <c r="EW80" s="231">
        <v>831103</v>
      </c>
      <c r="EX80" s="231">
        <v>25219</v>
      </c>
      <c r="EY80" s="229">
        <v>3.0300000000000001E-2</v>
      </c>
      <c r="EZ80" s="229">
        <v>0.58560000000000001</v>
      </c>
      <c r="FA80" s="227" t="s">
        <v>555</v>
      </c>
      <c r="FB80" s="161">
        <f t="shared" si="1"/>
        <v>55043800</v>
      </c>
    </row>
    <row r="81" spans="1:158" ht="17.25" hidden="1" thickBot="1" x14ac:dyDescent="0.3">
      <c r="A81" s="226">
        <v>45957</v>
      </c>
      <c r="B81" s="227" t="s">
        <v>193</v>
      </c>
      <c r="C81" s="227" t="s">
        <v>229</v>
      </c>
      <c r="D81" s="228">
        <v>2025</v>
      </c>
      <c r="E81" s="228">
        <v>453.25</v>
      </c>
      <c r="F81" s="228">
        <v>438.8</v>
      </c>
      <c r="G81" s="228">
        <v>14.45</v>
      </c>
      <c r="H81" s="229">
        <v>3.2899999999999999E-2</v>
      </c>
      <c r="I81" s="228">
        <v>453.75</v>
      </c>
      <c r="J81" s="228">
        <v>438.45</v>
      </c>
      <c r="K81" s="228">
        <v>15.3</v>
      </c>
      <c r="L81" s="229">
        <v>3.49E-2</v>
      </c>
      <c r="M81" s="228">
        <v>453.25</v>
      </c>
      <c r="N81" s="228">
        <v>438.8</v>
      </c>
      <c r="O81" s="228">
        <v>14.45</v>
      </c>
      <c r="P81" s="229">
        <v>3.2899999999999999E-2</v>
      </c>
      <c r="Q81" s="228">
        <v>454.5</v>
      </c>
      <c r="R81" s="228">
        <v>438.9</v>
      </c>
      <c r="S81" s="228">
        <v>15.6</v>
      </c>
      <c r="T81" s="229">
        <v>3.5499999999999997E-2</v>
      </c>
      <c r="U81" s="228">
        <v>457.45</v>
      </c>
      <c r="V81" s="228">
        <v>441.45</v>
      </c>
      <c r="W81" s="228">
        <v>16</v>
      </c>
      <c r="X81" s="229">
        <v>3.6200000000000003E-2</v>
      </c>
      <c r="Y81" s="228">
        <v>-0.5</v>
      </c>
      <c r="Z81" s="228">
        <v>0.35</v>
      </c>
      <c r="AA81" s="228">
        <v>-0.85</v>
      </c>
      <c r="AB81" s="229">
        <v>-1.1000000000000001E-3</v>
      </c>
      <c r="AC81" s="228">
        <v>-0.5</v>
      </c>
      <c r="AD81" s="228">
        <v>0.35</v>
      </c>
      <c r="AE81" s="228">
        <v>-0.85</v>
      </c>
      <c r="AF81" s="229">
        <v>-1.1000000000000001E-3</v>
      </c>
      <c r="AG81" s="228">
        <v>0.75</v>
      </c>
      <c r="AH81" s="228">
        <v>0.45</v>
      </c>
      <c r="AI81" s="228">
        <v>0.3</v>
      </c>
      <c r="AJ81" s="229">
        <v>1.6999999999999999E-3</v>
      </c>
      <c r="AK81" s="228">
        <v>3.7</v>
      </c>
      <c r="AL81" s="228">
        <v>3</v>
      </c>
      <c r="AM81" s="228">
        <v>0.7</v>
      </c>
      <c r="AN81" s="229">
        <v>8.2000000000000007E-3</v>
      </c>
      <c r="AO81" s="228">
        <v>449.85</v>
      </c>
      <c r="AP81" s="228">
        <v>450.98</v>
      </c>
      <c r="AQ81" s="228">
        <v>0</v>
      </c>
      <c r="AR81" s="230">
        <v>37395675</v>
      </c>
      <c r="AS81" s="230">
        <v>44778825</v>
      </c>
      <c r="AT81" s="230">
        <v>-7383150</v>
      </c>
      <c r="AU81" s="229">
        <v>-0.16489999999999999</v>
      </c>
      <c r="AV81" s="230">
        <v>18235125</v>
      </c>
      <c r="AW81" s="230">
        <v>23034375</v>
      </c>
      <c r="AX81" s="230">
        <v>-4799250</v>
      </c>
      <c r="AY81" s="229">
        <v>-0.2084</v>
      </c>
      <c r="AZ81" s="230">
        <v>18887175</v>
      </c>
      <c r="BA81" s="230">
        <v>21586500</v>
      </c>
      <c r="BB81" s="230">
        <v>-2699325</v>
      </c>
      <c r="BC81" s="229">
        <v>-0.125</v>
      </c>
      <c r="BD81" s="230">
        <v>273375</v>
      </c>
      <c r="BE81" s="230">
        <v>157950</v>
      </c>
      <c r="BF81" s="230">
        <v>115425</v>
      </c>
      <c r="BG81" s="229">
        <v>0.73080000000000001</v>
      </c>
      <c r="BH81" s="230">
        <v>48348900</v>
      </c>
      <c r="BI81" s="230">
        <v>34609275</v>
      </c>
      <c r="BJ81" s="230">
        <v>13739625</v>
      </c>
      <c r="BK81" s="229">
        <v>0.39700000000000002</v>
      </c>
      <c r="BL81" s="230">
        <v>24615900</v>
      </c>
      <c r="BM81" s="230">
        <v>22809600</v>
      </c>
      <c r="BN81" s="230">
        <v>1806300</v>
      </c>
      <c r="BO81" s="229">
        <v>7.9200000000000007E-2</v>
      </c>
      <c r="BP81" s="230">
        <v>110360475</v>
      </c>
      <c r="BQ81" s="230">
        <v>102197700</v>
      </c>
      <c r="BR81" s="230">
        <v>8162775</v>
      </c>
      <c r="BS81" s="229">
        <v>7.9899999999999999E-2</v>
      </c>
      <c r="BT81" s="230">
        <v>5808519</v>
      </c>
      <c r="BU81" s="230">
        <v>4444121</v>
      </c>
      <c r="BV81" s="230">
        <v>1364398</v>
      </c>
      <c r="BW81" s="229">
        <v>0.307</v>
      </c>
      <c r="BX81" s="230">
        <v>58155975</v>
      </c>
      <c r="BY81" s="230">
        <v>57479625</v>
      </c>
      <c r="BZ81" s="230">
        <v>676350</v>
      </c>
      <c r="CA81" s="229">
        <v>1.18E-2</v>
      </c>
      <c r="CB81" s="230">
        <v>19444050</v>
      </c>
      <c r="CC81" s="230">
        <v>30654450</v>
      </c>
      <c r="CD81" s="230">
        <v>-11210400</v>
      </c>
      <c r="CE81" s="229">
        <v>-0.36570000000000003</v>
      </c>
      <c r="CF81" s="230">
        <v>38234025</v>
      </c>
      <c r="CG81" s="230">
        <v>26371575</v>
      </c>
      <c r="CH81" s="230">
        <v>11862450</v>
      </c>
      <c r="CI81" s="229">
        <v>0.44979999999999998</v>
      </c>
      <c r="CJ81" s="230">
        <v>477900</v>
      </c>
      <c r="CK81" s="230">
        <v>453600</v>
      </c>
      <c r="CL81" s="230">
        <v>24300</v>
      </c>
      <c r="CM81" s="229">
        <v>5.3600000000000002E-2</v>
      </c>
      <c r="CN81" s="230">
        <v>19041075</v>
      </c>
      <c r="CO81" s="230">
        <v>17469675</v>
      </c>
      <c r="CP81" s="230">
        <v>1571400</v>
      </c>
      <c r="CQ81" s="229">
        <v>0.09</v>
      </c>
      <c r="CR81" s="230">
        <v>12820275</v>
      </c>
      <c r="CS81" s="230">
        <v>12710925</v>
      </c>
      <c r="CT81" s="230">
        <v>109350</v>
      </c>
      <c r="CU81" s="229">
        <v>8.6E-3</v>
      </c>
      <c r="CV81" s="230">
        <v>90017325</v>
      </c>
      <c r="CW81" s="230">
        <v>87660225</v>
      </c>
      <c r="CX81" s="230">
        <v>2357100</v>
      </c>
      <c r="CY81" s="229">
        <v>2.69E-2</v>
      </c>
      <c r="CZ81" s="228">
        <v>35.700000000000003</v>
      </c>
      <c r="DA81" s="228">
        <v>32.39</v>
      </c>
      <c r="DB81" s="228">
        <v>3.31</v>
      </c>
      <c r="DC81" s="228">
        <v>3.31</v>
      </c>
      <c r="DD81" s="228">
        <v>40.65</v>
      </c>
      <c r="DE81" s="228">
        <v>40.520000000000003</v>
      </c>
      <c r="DF81" s="228">
        <v>-4.95</v>
      </c>
      <c r="DG81" s="228">
        <v>0.13</v>
      </c>
      <c r="DH81" s="228">
        <v>35.799999999999997</v>
      </c>
      <c r="DI81" s="228">
        <v>32.479999999999997</v>
      </c>
      <c r="DJ81" s="228">
        <v>3.32</v>
      </c>
      <c r="DK81" s="228">
        <v>3.32</v>
      </c>
      <c r="DL81" s="228">
        <v>35.479999999999997</v>
      </c>
      <c r="DM81" s="228">
        <v>32.24</v>
      </c>
      <c r="DN81" s="228">
        <v>3.24</v>
      </c>
      <c r="DO81" s="228">
        <v>3.24</v>
      </c>
      <c r="DP81" s="228">
        <v>0.67</v>
      </c>
      <c r="DQ81" s="228">
        <v>0.73</v>
      </c>
      <c r="DR81" s="228">
        <v>-0.06</v>
      </c>
      <c r="DS81" s="229">
        <v>-8.2199999999999995E-2</v>
      </c>
      <c r="DT81" s="228">
        <v>450</v>
      </c>
      <c r="DU81" s="228">
        <v>440</v>
      </c>
      <c r="DV81" s="228">
        <v>0.51</v>
      </c>
      <c r="DW81" s="228">
        <v>0.66</v>
      </c>
      <c r="DX81" s="228">
        <v>-0.15</v>
      </c>
      <c r="DY81" s="229">
        <v>-0.2273</v>
      </c>
      <c r="DZ81" s="229">
        <v>0.66569999999999996</v>
      </c>
      <c r="EA81" s="230">
        <v>26825175</v>
      </c>
      <c r="EB81" s="229">
        <v>2.8E-3</v>
      </c>
      <c r="EC81" s="229">
        <v>0.66569999999999996</v>
      </c>
      <c r="ED81" s="228">
        <v>1.1299999999999999</v>
      </c>
      <c r="EE81" s="229">
        <v>2.5000000000000001E-3</v>
      </c>
      <c r="EF81" s="230">
        <v>2968176</v>
      </c>
      <c r="EG81" s="230">
        <v>1649914</v>
      </c>
      <c r="EH81" s="229">
        <v>0.79900000000000004</v>
      </c>
      <c r="EI81" s="229">
        <v>0.51100000000000001</v>
      </c>
      <c r="EJ81" s="231">
        <v>224976.28</v>
      </c>
      <c r="EK81" s="231">
        <v>108747.63</v>
      </c>
      <c r="EL81" s="231">
        <v>168444.2</v>
      </c>
      <c r="EM81" s="231">
        <v>11234</v>
      </c>
      <c r="EN81" s="231">
        <v>502168.11</v>
      </c>
      <c r="EO81" s="231">
        <v>454398.02</v>
      </c>
      <c r="EP81" s="231">
        <v>47770.09</v>
      </c>
      <c r="EQ81" s="229">
        <v>0.1051</v>
      </c>
      <c r="ER81" s="231">
        <v>88033</v>
      </c>
      <c r="ES81" s="231">
        <v>54786</v>
      </c>
      <c r="ET81" s="231">
        <v>264090</v>
      </c>
      <c r="EU81" s="231">
        <v>143933168</v>
      </c>
      <c r="EV81" s="231">
        <v>406909</v>
      </c>
      <c r="EW81" s="231">
        <v>387030</v>
      </c>
      <c r="EX81" s="231">
        <v>19879</v>
      </c>
      <c r="EY81" s="229">
        <v>5.1400000000000001E-2</v>
      </c>
      <c r="EZ81" s="229">
        <v>0.62539999999999996</v>
      </c>
      <c r="FA81" s="227" t="s">
        <v>555</v>
      </c>
      <c r="FB81" s="161">
        <f t="shared" si="1"/>
        <v>38711925</v>
      </c>
    </row>
    <row r="82" spans="1:158" ht="17.25" hidden="1" thickBot="1" x14ac:dyDescent="0.3">
      <c r="A82" s="226">
        <v>45957</v>
      </c>
      <c r="B82" s="227" t="s">
        <v>168</v>
      </c>
      <c r="C82" s="227" t="s">
        <v>230</v>
      </c>
      <c r="D82" s="228">
        <v>300</v>
      </c>
      <c r="E82" s="231">
        <v>2517.1999999999998</v>
      </c>
      <c r="F82" s="231">
        <v>2513.8000000000002</v>
      </c>
      <c r="G82" s="228">
        <v>3.4</v>
      </c>
      <c r="H82" s="229">
        <v>1.4E-3</v>
      </c>
      <c r="I82" s="231">
        <v>2511.8000000000002</v>
      </c>
      <c r="J82" s="231">
        <v>2516.4</v>
      </c>
      <c r="K82" s="228">
        <v>-4.5999999999999996</v>
      </c>
      <c r="L82" s="229">
        <v>-1.8E-3</v>
      </c>
      <c r="M82" s="231">
        <v>2517.1999999999998</v>
      </c>
      <c r="N82" s="231">
        <v>2513.8000000000002</v>
      </c>
      <c r="O82" s="228">
        <v>3.4</v>
      </c>
      <c r="P82" s="229">
        <v>1.4E-3</v>
      </c>
      <c r="Q82" s="231">
        <v>2509.5</v>
      </c>
      <c r="R82" s="231">
        <v>2507.4</v>
      </c>
      <c r="S82" s="228">
        <v>2.1</v>
      </c>
      <c r="T82" s="229">
        <v>8.0000000000000004E-4</v>
      </c>
      <c r="U82" s="231">
        <v>2521</v>
      </c>
      <c r="V82" s="231">
        <v>2522.6</v>
      </c>
      <c r="W82" s="228">
        <v>-1.6</v>
      </c>
      <c r="X82" s="229">
        <v>-5.9999999999999995E-4</v>
      </c>
      <c r="Y82" s="228">
        <v>5.4</v>
      </c>
      <c r="Z82" s="228">
        <v>-2.6</v>
      </c>
      <c r="AA82" s="228">
        <v>8</v>
      </c>
      <c r="AB82" s="229">
        <v>2.0999999999999999E-3</v>
      </c>
      <c r="AC82" s="228">
        <v>5.4</v>
      </c>
      <c r="AD82" s="228">
        <v>-2.6</v>
      </c>
      <c r="AE82" s="228">
        <v>8</v>
      </c>
      <c r="AF82" s="229">
        <v>2.0999999999999999E-3</v>
      </c>
      <c r="AG82" s="228">
        <v>-2.2999999999999998</v>
      </c>
      <c r="AH82" s="228">
        <v>-9</v>
      </c>
      <c r="AI82" s="228">
        <v>6.7</v>
      </c>
      <c r="AJ82" s="229">
        <v>-8.9999999999999998E-4</v>
      </c>
      <c r="AK82" s="228">
        <v>9.1999999999999993</v>
      </c>
      <c r="AL82" s="228">
        <v>6.2</v>
      </c>
      <c r="AM82" s="228">
        <v>3</v>
      </c>
      <c r="AN82" s="229">
        <v>3.7000000000000002E-3</v>
      </c>
      <c r="AO82" s="231">
        <v>2512.8000000000002</v>
      </c>
      <c r="AP82" s="231">
        <v>2506.65</v>
      </c>
      <c r="AQ82" s="228">
        <v>0</v>
      </c>
      <c r="AR82" s="230">
        <v>11402100</v>
      </c>
      <c r="AS82" s="230">
        <v>17608200</v>
      </c>
      <c r="AT82" s="230">
        <v>-6206100</v>
      </c>
      <c r="AU82" s="229">
        <v>-0.35249999999999998</v>
      </c>
      <c r="AV82" s="230">
        <v>5319300</v>
      </c>
      <c r="AW82" s="230">
        <v>8913600</v>
      </c>
      <c r="AX82" s="230">
        <v>-3594300</v>
      </c>
      <c r="AY82" s="229">
        <v>-0.4032</v>
      </c>
      <c r="AZ82" s="230">
        <v>6011700</v>
      </c>
      <c r="BA82" s="230">
        <v>8601300</v>
      </c>
      <c r="BB82" s="230">
        <v>-2589600</v>
      </c>
      <c r="BC82" s="229">
        <v>-0.30109999999999998</v>
      </c>
      <c r="BD82" s="230">
        <v>71100</v>
      </c>
      <c r="BE82" s="230">
        <v>93300</v>
      </c>
      <c r="BF82" s="230">
        <v>-22200</v>
      </c>
      <c r="BG82" s="229">
        <v>-0.2379</v>
      </c>
      <c r="BH82" s="230">
        <v>17077500</v>
      </c>
      <c r="BI82" s="230">
        <v>45213000</v>
      </c>
      <c r="BJ82" s="230">
        <v>-28135500</v>
      </c>
      <c r="BK82" s="229">
        <v>-0.62229999999999996</v>
      </c>
      <c r="BL82" s="230">
        <v>7181400</v>
      </c>
      <c r="BM82" s="230">
        <v>25647000</v>
      </c>
      <c r="BN82" s="230">
        <v>-18465600</v>
      </c>
      <c r="BO82" s="229">
        <v>-0.72</v>
      </c>
      <c r="BP82" s="230">
        <v>35661000</v>
      </c>
      <c r="BQ82" s="230">
        <v>88468200</v>
      </c>
      <c r="BR82" s="230">
        <v>-52807200</v>
      </c>
      <c r="BS82" s="229">
        <v>-0.59689999999999999</v>
      </c>
      <c r="BT82" s="230">
        <v>2248742</v>
      </c>
      <c r="BU82" s="230">
        <v>3253628</v>
      </c>
      <c r="BV82" s="230">
        <v>-1004886</v>
      </c>
      <c r="BW82" s="229">
        <v>-0.30890000000000001</v>
      </c>
      <c r="BX82" s="230">
        <v>17795700</v>
      </c>
      <c r="BY82" s="230">
        <v>17202600</v>
      </c>
      <c r="BZ82" s="230">
        <v>593100</v>
      </c>
      <c r="CA82" s="229">
        <v>3.4500000000000003E-2</v>
      </c>
      <c r="CB82" s="230">
        <v>1963800</v>
      </c>
      <c r="CC82" s="230">
        <v>5062200</v>
      </c>
      <c r="CD82" s="230">
        <v>-3098400</v>
      </c>
      <c r="CE82" s="229">
        <v>-0.61209999999999998</v>
      </c>
      <c r="CF82" s="230">
        <v>15658500</v>
      </c>
      <c r="CG82" s="230">
        <v>11992500</v>
      </c>
      <c r="CH82" s="230">
        <v>3666000</v>
      </c>
      <c r="CI82" s="229">
        <v>0.30570000000000003</v>
      </c>
      <c r="CJ82" s="230">
        <v>173400</v>
      </c>
      <c r="CK82" s="230">
        <v>147900</v>
      </c>
      <c r="CL82" s="230">
        <v>25500</v>
      </c>
      <c r="CM82" s="229">
        <v>0.1724</v>
      </c>
      <c r="CN82" s="230">
        <v>9993300</v>
      </c>
      <c r="CO82" s="230">
        <v>11636100</v>
      </c>
      <c r="CP82" s="230">
        <v>-1642800</v>
      </c>
      <c r="CQ82" s="229">
        <v>-0.14119999999999999</v>
      </c>
      <c r="CR82" s="230">
        <v>4742700</v>
      </c>
      <c r="CS82" s="230">
        <v>5137200</v>
      </c>
      <c r="CT82" s="230">
        <v>-394500</v>
      </c>
      <c r="CU82" s="229">
        <v>-7.6799999999999993E-2</v>
      </c>
      <c r="CV82" s="230">
        <v>32531700</v>
      </c>
      <c r="CW82" s="230">
        <v>33975900</v>
      </c>
      <c r="CX82" s="230">
        <v>-1444200</v>
      </c>
      <c r="CY82" s="229">
        <v>-4.2500000000000003E-2</v>
      </c>
      <c r="CZ82" s="228">
        <v>18.04</v>
      </c>
      <c r="DA82" s="228">
        <v>18.75</v>
      </c>
      <c r="DB82" s="228">
        <v>-0.71</v>
      </c>
      <c r="DC82" s="228">
        <v>-0.71</v>
      </c>
      <c r="DD82" s="228">
        <v>22.88</v>
      </c>
      <c r="DE82" s="228">
        <v>22.94</v>
      </c>
      <c r="DF82" s="228">
        <v>-4.84</v>
      </c>
      <c r="DG82" s="228">
        <v>-0.06</v>
      </c>
      <c r="DH82" s="228">
        <v>18.399999999999999</v>
      </c>
      <c r="DI82" s="228">
        <v>19.059999999999999</v>
      </c>
      <c r="DJ82" s="228">
        <v>-0.66</v>
      </c>
      <c r="DK82" s="228">
        <v>-0.66</v>
      </c>
      <c r="DL82" s="228">
        <v>17.32</v>
      </c>
      <c r="DM82" s="228">
        <v>18.11</v>
      </c>
      <c r="DN82" s="228">
        <v>-0.79</v>
      </c>
      <c r="DO82" s="228">
        <v>-0.79</v>
      </c>
      <c r="DP82" s="228">
        <v>0.47</v>
      </c>
      <c r="DQ82" s="228">
        <v>0.44</v>
      </c>
      <c r="DR82" s="228">
        <v>0.03</v>
      </c>
      <c r="DS82" s="229">
        <v>6.8199999999999997E-2</v>
      </c>
      <c r="DT82" s="231">
        <v>2600</v>
      </c>
      <c r="DU82" s="231">
        <v>2500</v>
      </c>
      <c r="DV82" s="228">
        <v>0.42</v>
      </c>
      <c r="DW82" s="228">
        <v>0.56999999999999995</v>
      </c>
      <c r="DX82" s="228">
        <v>-0.15</v>
      </c>
      <c r="DY82" s="229">
        <v>-0.26319999999999999</v>
      </c>
      <c r="DZ82" s="229">
        <v>0.88959999999999995</v>
      </c>
      <c r="EA82" s="230">
        <v>12140400</v>
      </c>
      <c r="EB82" s="229">
        <v>-3.0999999999999999E-3</v>
      </c>
      <c r="EC82" s="229">
        <v>0.88959999999999995</v>
      </c>
      <c r="ED82" s="228">
        <v>-6.15</v>
      </c>
      <c r="EE82" s="229">
        <v>-2.3999999999999998E-3</v>
      </c>
      <c r="EF82" s="230">
        <v>1713838</v>
      </c>
      <c r="EG82" s="230">
        <v>1616905</v>
      </c>
      <c r="EH82" s="229">
        <v>5.9900000000000002E-2</v>
      </c>
      <c r="EI82" s="229">
        <v>0.7621</v>
      </c>
      <c r="EJ82" s="231">
        <v>443193.62</v>
      </c>
      <c r="EK82" s="231">
        <v>180516.65</v>
      </c>
      <c r="EL82" s="231">
        <v>286146.73</v>
      </c>
      <c r="EM82" s="231">
        <v>32023</v>
      </c>
      <c r="EN82" s="231">
        <v>909857</v>
      </c>
      <c r="EO82" s="231">
        <v>2265193.94</v>
      </c>
      <c r="EP82" s="231">
        <v>-1355336.94</v>
      </c>
      <c r="EQ82" s="229">
        <v>-0.59830000000000005</v>
      </c>
      <c r="ER82" s="231">
        <v>262538</v>
      </c>
      <c r="ES82" s="231">
        <v>117967</v>
      </c>
      <c r="ET82" s="231">
        <v>446754</v>
      </c>
      <c r="EU82" s="231">
        <v>89517840</v>
      </c>
      <c r="EV82" s="231">
        <v>827258</v>
      </c>
      <c r="EW82" s="231">
        <v>865587</v>
      </c>
      <c r="EX82" s="231">
        <v>-38329</v>
      </c>
      <c r="EY82" s="229">
        <v>-4.4299999999999999E-2</v>
      </c>
      <c r="EZ82" s="229">
        <v>0.3634</v>
      </c>
      <c r="FA82" s="227" t="s">
        <v>555</v>
      </c>
      <c r="FB82" s="161">
        <f t="shared" si="1"/>
        <v>15831900</v>
      </c>
    </row>
    <row r="83" spans="1:158" ht="17.25" hidden="1" thickBot="1" x14ac:dyDescent="0.3">
      <c r="A83" s="226">
        <v>45957</v>
      </c>
      <c r="B83" s="227" t="s">
        <v>227</v>
      </c>
      <c r="C83" s="227" t="s">
        <v>669</v>
      </c>
      <c r="D83" s="228">
        <v>1225</v>
      </c>
      <c r="E83" s="228">
        <v>483.15</v>
      </c>
      <c r="F83" s="228">
        <v>487.2</v>
      </c>
      <c r="G83" s="228">
        <v>-4.05</v>
      </c>
      <c r="H83" s="229">
        <v>-8.3000000000000001E-3</v>
      </c>
      <c r="I83" s="228">
        <v>482.3</v>
      </c>
      <c r="J83" s="228">
        <v>486.7</v>
      </c>
      <c r="K83" s="228">
        <v>-4.4000000000000004</v>
      </c>
      <c r="L83" s="229">
        <v>-8.9999999999999993E-3</v>
      </c>
      <c r="M83" s="228">
        <v>483.15</v>
      </c>
      <c r="N83" s="228">
        <v>487.2</v>
      </c>
      <c r="O83" s="228">
        <v>-4.05</v>
      </c>
      <c r="P83" s="229">
        <v>-8.3000000000000001E-3</v>
      </c>
      <c r="Q83" s="228">
        <v>485.8</v>
      </c>
      <c r="R83" s="228">
        <v>490.05</v>
      </c>
      <c r="S83" s="228">
        <v>-4.25</v>
      </c>
      <c r="T83" s="229">
        <v>-8.6999999999999994E-3</v>
      </c>
      <c r="U83" s="228">
        <v>488.5</v>
      </c>
      <c r="V83" s="228">
        <v>493.3</v>
      </c>
      <c r="W83" s="228">
        <v>-4.8</v>
      </c>
      <c r="X83" s="229">
        <v>-9.7000000000000003E-3</v>
      </c>
      <c r="Y83" s="228">
        <v>0.85</v>
      </c>
      <c r="Z83" s="228">
        <v>0.5</v>
      </c>
      <c r="AA83" s="228">
        <v>0.35</v>
      </c>
      <c r="AB83" s="229">
        <v>1.8E-3</v>
      </c>
      <c r="AC83" s="228">
        <v>0.85</v>
      </c>
      <c r="AD83" s="228">
        <v>0.5</v>
      </c>
      <c r="AE83" s="228">
        <v>0.35</v>
      </c>
      <c r="AF83" s="229">
        <v>1.8E-3</v>
      </c>
      <c r="AG83" s="228">
        <v>3.5</v>
      </c>
      <c r="AH83" s="228">
        <v>3.35</v>
      </c>
      <c r="AI83" s="228">
        <v>0.15</v>
      </c>
      <c r="AJ83" s="229">
        <v>7.3000000000000001E-3</v>
      </c>
      <c r="AK83" s="228">
        <v>6.2</v>
      </c>
      <c r="AL83" s="228">
        <v>6.6</v>
      </c>
      <c r="AM83" s="228">
        <v>-0.4</v>
      </c>
      <c r="AN83" s="229">
        <v>1.29E-2</v>
      </c>
      <c r="AO83" s="228">
        <v>484.93</v>
      </c>
      <c r="AP83" s="228">
        <v>487.58</v>
      </c>
      <c r="AQ83" s="228">
        <v>0</v>
      </c>
      <c r="AR83" s="230">
        <v>19328050</v>
      </c>
      <c r="AS83" s="230">
        <v>31521700</v>
      </c>
      <c r="AT83" s="230">
        <v>-12193650</v>
      </c>
      <c r="AU83" s="229">
        <v>-0.38679999999999998</v>
      </c>
      <c r="AV83" s="230">
        <v>8213625</v>
      </c>
      <c r="AW83" s="230">
        <v>14469700</v>
      </c>
      <c r="AX83" s="230">
        <v>-6256075</v>
      </c>
      <c r="AY83" s="229">
        <v>-0.43240000000000001</v>
      </c>
      <c r="AZ83" s="230">
        <v>10791025</v>
      </c>
      <c r="BA83" s="230">
        <v>16738400</v>
      </c>
      <c r="BB83" s="230">
        <v>-5947375</v>
      </c>
      <c r="BC83" s="229">
        <v>-0.3553</v>
      </c>
      <c r="BD83" s="230">
        <v>323400</v>
      </c>
      <c r="BE83" s="230">
        <v>313600</v>
      </c>
      <c r="BF83" s="230">
        <v>9800</v>
      </c>
      <c r="BG83" s="229">
        <v>3.1300000000000001E-2</v>
      </c>
      <c r="BH83" s="230">
        <v>33044375</v>
      </c>
      <c r="BI83" s="230">
        <v>74989600</v>
      </c>
      <c r="BJ83" s="230">
        <v>-41945225</v>
      </c>
      <c r="BK83" s="229">
        <v>-0.55930000000000002</v>
      </c>
      <c r="BL83" s="230">
        <v>9659125</v>
      </c>
      <c r="BM83" s="230">
        <v>24281950</v>
      </c>
      <c r="BN83" s="230">
        <v>-14622825</v>
      </c>
      <c r="BO83" s="229">
        <v>-0.60219999999999996</v>
      </c>
      <c r="BP83" s="230">
        <v>62031550</v>
      </c>
      <c r="BQ83" s="230">
        <v>130793250</v>
      </c>
      <c r="BR83" s="230">
        <v>-68761700</v>
      </c>
      <c r="BS83" s="229">
        <v>-0.52569999999999995</v>
      </c>
      <c r="BT83" s="230">
        <v>3882230</v>
      </c>
      <c r="BU83" s="230">
        <v>7448411</v>
      </c>
      <c r="BV83" s="230">
        <v>-3566181</v>
      </c>
      <c r="BW83" s="229">
        <v>-0.4788</v>
      </c>
      <c r="BX83" s="230">
        <v>38515225</v>
      </c>
      <c r="BY83" s="230">
        <v>38638950</v>
      </c>
      <c r="BZ83" s="230">
        <v>-123725</v>
      </c>
      <c r="CA83" s="229">
        <v>-3.2000000000000002E-3</v>
      </c>
      <c r="CB83" s="230">
        <v>8067850</v>
      </c>
      <c r="CC83" s="230">
        <v>14303100</v>
      </c>
      <c r="CD83" s="230">
        <v>-6235250</v>
      </c>
      <c r="CE83" s="229">
        <v>-0.43590000000000001</v>
      </c>
      <c r="CF83" s="230">
        <v>29376725</v>
      </c>
      <c r="CG83" s="230">
        <v>23346050</v>
      </c>
      <c r="CH83" s="230">
        <v>6030675</v>
      </c>
      <c r="CI83" s="229">
        <v>0.25829999999999997</v>
      </c>
      <c r="CJ83" s="230">
        <v>1070650</v>
      </c>
      <c r="CK83" s="230">
        <v>989800</v>
      </c>
      <c r="CL83" s="230">
        <v>80850</v>
      </c>
      <c r="CM83" s="229">
        <v>8.1699999999999995E-2</v>
      </c>
      <c r="CN83" s="230">
        <v>33166875</v>
      </c>
      <c r="CO83" s="230">
        <v>34939450</v>
      </c>
      <c r="CP83" s="230">
        <v>-1772575</v>
      </c>
      <c r="CQ83" s="229">
        <v>-5.0700000000000002E-2</v>
      </c>
      <c r="CR83" s="230">
        <v>13007050</v>
      </c>
      <c r="CS83" s="230">
        <v>13488475</v>
      </c>
      <c r="CT83" s="230">
        <v>-481425</v>
      </c>
      <c r="CU83" s="229">
        <v>-3.5700000000000003E-2</v>
      </c>
      <c r="CV83" s="230">
        <v>84689150</v>
      </c>
      <c r="CW83" s="230">
        <v>87066875</v>
      </c>
      <c r="CX83" s="230">
        <v>-2377725</v>
      </c>
      <c r="CY83" s="229">
        <v>-2.7300000000000001E-2</v>
      </c>
      <c r="CZ83" s="228">
        <v>33.56</v>
      </c>
      <c r="DA83" s="228">
        <v>34.65</v>
      </c>
      <c r="DB83" s="228">
        <v>-1.0900000000000001</v>
      </c>
      <c r="DC83" s="228">
        <v>-1.0900000000000001</v>
      </c>
      <c r="DD83" s="228">
        <v>44.13</v>
      </c>
      <c r="DE83" s="228">
        <v>44.23</v>
      </c>
      <c r="DF83" s="228">
        <v>-10.57</v>
      </c>
      <c r="DG83" s="228">
        <v>-0.1</v>
      </c>
      <c r="DH83" s="228">
        <v>34.020000000000003</v>
      </c>
      <c r="DI83" s="228">
        <v>34.97</v>
      </c>
      <c r="DJ83" s="228">
        <v>-0.95</v>
      </c>
      <c r="DK83" s="228">
        <v>-0.95</v>
      </c>
      <c r="DL83" s="228">
        <v>32.049999999999997</v>
      </c>
      <c r="DM83" s="228">
        <v>33.6</v>
      </c>
      <c r="DN83" s="228">
        <v>-1.55</v>
      </c>
      <c r="DO83" s="228">
        <v>-1.55</v>
      </c>
      <c r="DP83" s="228">
        <v>0.39</v>
      </c>
      <c r="DQ83" s="228">
        <v>0.39</v>
      </c>
      <c r="DR83" s="228">
        <v>0</v>
      </c>
      <c r="DS83" s="229">
        <v>0</v>
      </c>
      <c r="DT83" s="228">
        <v>550</v>
      </c>
      <c r="DU83" s="228">
        <v>450</v>
      </c>
      <c r="DV83" s="228">
        <v>0.28999999999999998</v>
      </c>
      <c r="DW83" s="228">
        <v>0.32</v>
      </c>
      <c r="DX83" s="228">
        <v>-0.03</v>
      </c>
      <c r="DY83" s="229">
        <v>-9.3799999999999994E-2</v>
      </c>
      <c r="DZ83" s="229">
        <v>0.79049999999999998</v>
      </c>
      <c r="EA83" s="230">
        <v>24335850</v>
      </c>
      <c r="EB83" s="229">
        <v>5.4999999999999997E-3</v>
      </c>
      <c r="EC83" s="229">
        <v>0.79049999999999998</v>
      </c>
      <c r="ED83" s="228">
        <v>2.65</v>
      </c>
      <c r="EE83" s="229">
        <v>5.4999999999999997E-3</v>
      </c>
      <c r="EF83" s="230">
        <v>2231731</v>
      </c>
      <c r="EG83" s="230">
        <v>2885131</v>
      </c>
      <c r="EH83" s="229">
        <v>-0.22650000000000001</v>
      </c>
      <c r="EI83" s="229">
        <v>0.57489999999999997</v>
      </c>
      <c r="EJ83" s="231">
        <v>170079.63</v>
      </c>
      <c r="EK83" s="231">
        <v>46497.43</v>
      </c>
      <c r="EL83" s="231">
        <v>94030.93</v>
      </c>
      <c r="EM83" s="231">
        <v>14304</v>
      </c>
      <c r="EN83" s="231">
        <v>310607.99</v>
      </c>
      <c r="EO83" s="231">
        <v>658023.49</v>
      </c>
      <c r="EP83" s="231">
        <v>-347415.5</v>
      </c>
      <c r="EQ83" s="229">
        <v>-0.52800000000000002</v>
      </c>
      <c r="ER83" s="231">
        <v>172967</v>
      </c>
      <c r="ES83" s="231">
        <v>61353</v>
      </c>
      <c r="ET83" s="231">
        <v>186922</v>
      </c>
      <c r="EU83" s="231">
        <v>167680340</v>
      </c>
      <c r="EV83" s="231">
        <v>421242</v>
      </c>
      <c r="EW83" s="231">
        <v>434952</v>
      </c>
      <c r="EX83" s="231">
        <v>-13710</v>
      </c>
      <c r="EY83" s="229">
        <v>-3.15E-2</v>
      </c>
      <c r="EZ83" s="229">
        <v>0.50509999999999999</v>
      </c>
      <c r="FA83" s="227" t="s">
        <v>568</v>
      </c>
      <c r="FB83" s="161">
        <f t="shared" si="1"/>
        <v>30447375</v>
      </c>
    </row>
    <row r="84" spans="1:158" ht="17.25" hidden="1" thickBot="1" x14ac:dyDescent="0.3">
      <c r="A84" s="226">
        <v>45957</v>
      </c>
      <c r="B84" s="227" t="s">
        <v>206</v>
      </c>
      <c r="C84" s="227" t="s">
        <v>608</v>
      </c>
      <c r="D84" s="228">
        <v>2775</v>
      </c>
      <c r="E84" s="228">
        <v>227.44</v>
      </c>
      <c r="F84" s="228">
        <v>226.96</v>
      </c>
      <c r="G84" s="228">
        <v>0.48</v>
      </c>
      <c r="H84" s="229">
        <v>2.0999999999999999E-3</v>
      </c>
      <c r="I84" s="228">
        <v>227.01</v>
      </c>
      <c r="J84" s="228">
        <v>226.85</v>
      </c>
      <c r="K84" s="228">
        <v>0.16</v>
      </c>
      <c r="L84" s="229">
        <v>6.9999999999999999E-4</v>
      </c>
      <c r="M84" s="228">
        <v>227.44</v>
      </c>
      <c r="N84" s="228">
        <v>226.96</v>
      </c>
      <c r="O84" s="228">
        <v>0.48</v>
      </c>
      <c r="P84" s="229">
        <v>2.0999999999999999E-3</v>
      </c>
      <c r="Q84" s="228">
        <v>228.61</v>
      </c>
      <c r="R84" s="228">
        <v>228.04</v>
      </c>
      <c r="S84" s="228">
        <v>0.56999999999999995</v>
      </c>
      <c r="T84" s="229">
        <v>2.5000000000000001E-3</v>
      </c>
      <c r="U84" s="228">
        <v>230.5</v>
      </c>
      <c r="V84" s="228">
        <v>229.64</v>
      </c>
      <c r="W84" s="228">
        <v>0.86</v>
      </c>
      <c r="X84" s="229">
        <v>3.7000000000000002E-3</v>
      </c>
      <c r="Y84" s="228">
        <v>0.43</v>
      </c>
      <c r="Z84" s="228">
        <v>0.11</v>
      </c>
      <c r="AA84" s="228">
        <v>0.32</v>
      </c>
      <c r="AB84" s="229">
        <v>1.9E-3</v>
      </c>
      <c r="AC84" s="228">
        <v>0.43</v>
      </c>
      <c r="AD84" s="228">
        <v>0.11</v>
      </c>
      <c r="AE84" s="228">
        <v>0.32</v>
      </c>
      <c r="AF84" s="229">
        <v>1.9E-3</v>
      </c>
      <c r="AG84" s="228">
        <v>1.6</v>
      </c>
      <c r="AH84" s="228">
        <v>1.19</v>
      </c>
      <c r="AI84" s="228">
        <v>0.41</v>
      </c>
      <c r="AJ84" s="229">
        <v>7.0000000000000001E-3</v>
      </c>
      <c r="AK84" s="228">
        <v>3.49</v>
      </c>
      <c r="AL84" s="228">
        <v>2.79</v>
      </c>
      <c r="AM84" s="228">
        <v>0.7</v>
      </c>
      <c r="AN84" s="229">
        <v>1.54E-2</v>
      </c>
      <c r="AO84" s="228">
        <v>228.09</v>
      </c>
      <c r="AP84" s="228">
        <v>229.26</v>
      </c>
      <c r="AQ84" s="228">
        <v>0</v>
      </c>
      <c r="AR84" s="230">
        <v>21897525</v>
      </c>
      <c r="AS84" s="230">
        <v>19105875</v>
      </c>
      <c r="AT84" s="230">
        <v>2791650</v>
      </c>
      <c r="AU84" s="229">
        <v>0.14610000000000001</v>
      </c>
      <c r="AV84" s="230">
        <v>9601500</v>
      </c>
      <c r="AW84" s="230">
        <v>9365625</v>
      </c>
      <c r="AX84" s="230">
        <v>235875</v>
      </c>
      <c r="AY84" s="229">
        <v>2.52E-2</v>
      </c>
      <c r="AZ84" s="230">
        <v>11993550</v>
      </c>
      <c r="BA84" s="230">
        <v>9593175</v>
      </c>
      <c r="BB84" s="230">
        <v>2400375</v>
      </c>
      <c r="BC84" s="229">
        <v>0.25019999999999998</v>
      </c>
      <c r="BD84" s="230">
        <v>302475</v>
      </c>
      <c r="BE84" s="230">
        <v>147075</v>
      </c>
      <c r="BF84" s="230">
        <v>155400</v>
      </c>
      <c r="BG84" s="229">
        <v>1.0566</v>
      </c>
      <c r="BH84" s="230">
        <v>15839700</v>
      </c>
      <c r="BI84" s="230">
        <v>15262500</v>
      </c>
      <c r="BJ84" s="230">
        <v>577200</v>
      </c>
      <c r="BK84" s="229">
        <v>3.78E-2</v>
      </c>
      <c r="BL84" s="230">
        <v>6543450</v>
      </c>
      <c r="BM84" s="230">
        <v>6240975</v>
      </c>
      <c r="BN84" s="230">
        <v>302475</v>
      </c>
      <c r="BO84" s="229">
        <v>4.8500000000000001E-2</v>
      </c>
      <c r="BP84" s="230">
        <v>44280675</v>
      </c>
      <c r="BQ84" s="230">
        <v>40609350</v>
      </c>
      <c r="BR84" s="230">
        <v>3671325</v>
      </c>
      <c r="BS84" s="229">
        <v>9.0399999999999994E-2</v>
      </c>
      <c r="BT84" s="230">
        <v>3891659</v>
      </c>
      <c r="BU84" s="230">
        <v>1873607</v>
      </c>
      <c r="BV84" s="230">
        <v>2018052</v>
      </c>
      <c r="BW84" s="229">
        <v>1.0770999999999999</v>
      </c>
      <c r="BX84" s="230">
        <v>30175350</v>
      </c>
      <c r="BY84" s="230">
        <v>29376150</v>
      </c>
      <c r="BZ84" s="230">
        <v>799200</v>
      </c>
      <c r="CA84" s="229">
        <v>2.7199999999999998E-2</v>
      </c>
      <c r="CB84" s="230">
        <v>8677425</v>
      </c>
      <c r="CC84" s="230">
        <v>15379050</v>
      </c>
      <c r="CD84" s="230">
        <v>-6701625</v>
      </c>
      <c r="CE84" s="229">
        <v>-0.43580000000000002</v>
      </c>
      <c r="CF84" s="230">
        <v>20831925</v>
      </c>
      <c r="CG84" s="230">
        <v>13511475</v>
      </c>
      <c r="CH84" s="230">
        <v>7320450</v>
      </c>
      <c r="CI84" s="229">
        <v>0.54179999999999995</v>
      </c>
      <c r="CJ84" s="230">
        <v>666000</v>
      </c>
      <c r="CK84" s="230">
        <v>485625</v>
      </c>
      <c r="CL84" s="230">
        <v>180375</v>
      </c>
      <c r="CM84" s="229">
        <v>0.37140000000000001</v>
      </c>
      <c r="CN84" s="230">
        <v>16403025</v>
      </c>
      <c r="CO84" s="230">
        <v>16658325</v>
      </c>
      <c r="CP84" s="230">
        <v>-255300</v>
      </c>
      <c r="CQ84" s="229">
        <v>-1.5299999999999999E-2</v>
      </c>
      <c r="CR84" s="230">
        <v>8716275</v>
      </c>
      <c r="CS84" s="230">
        <v>8777325</v>
      </c>
      <c r="CT84" s="230">
        <v>-61050</v>
      </c>
      <c r="CU84" s="229">
        <v>-7.0000000000000001E-3</v>
      </c>
      <c r="CV84" s="230">
        <v>55294650</v>
      </c>
      <c r="CW84" s="230">
        <v>54811800</v>
      </c>
      <c r="CX84" s="230">
        <v>482850</v>
      </c>
      <c r="CY84" s="229">
        <v>8.8000000000000005E-3</v>
      </c>
      <c r="CZ84" s="228">
        <v>34.71</v>
      </c>
      <c r="DA84" s="228">
        <v>33.76</v>
      </c>
      <c r="DB84" s="228">
        <v>0.95</v>
      </c>
      <c r="DC84" s="228">
        <v>0.95</v>
      </c>
      <c r="DD84" s="228">
        <v>52.87</v>
      </c>
      <c r="DE84" s="228">
        <v>53</v>
      </c>
      <c r="DF84" s="228">
        <v>-18.16</v>
      </c>
      <c r="DG84" s="228">
        <v>-0.13</v>
      </c>
      <c r="DH84" s="228">
        <v>35.159999999999997</v>
      </c>
      <c r="DI84" s="228">
        <v>33.840000000000003</v>
      </c>
      <c r="DJ84" s="228">
        <v>1.32</v>
      </c>
      <c r="DK84" s="228">
        <v>1.32</v>
      </c>
      <c r="DL84" s="228">
        <v>33.5</v>
      </c>
      <c r="DM84" s="228">
        <v>33.61</v>
      </c>
      <c r="DN84" s="228">
        <v>-0.11</v>
      </c>
      <c r="DO84" s="228">
        <v>-0.11</v>
      </c>
      <c r="DP84" s="228">
        <v>0.53</v>
      </c>
      <c r="DQ84" s="228">
        <v>0.53</v>
      </c>
      <c r="DR84" s="228">
        <v>0</v>
      </c>
      <c r="DS84" s="229">
        <v>0</v>
      </c>
      <c r="DT84" s="228">
        <v>240</v>
      </c>
      <c r="DU84" s="228">
        <v>220</v>
      </c>
      <c r="DV84" s="228">
        <v>0.41</v>
      </c>
      <c r="DW84" s="228">
        <v>0.41</v>
      </c>
      <c r="DX84" s="228">
        <v>0</v>
      </c>
      <c r="DY84" s="229">
        <v>0</v>
      </c>
      <c r="DZ84" s="229">
        <v>0.71240000000000003</v>
      </c>
      <c r="EA84" s="230">
        <v>13997100</v>
      </c>
      <c r="EB84" s="229">
        <v>5.1000000000000004E-3</v>
      </c>
      <c r="EC84" s="229">
        <v>0.71240000000000003</v>
      </c>
      <c r="ED84" s="228">
        <v>1.17</v>
      </c>
      <c r="EE84" s="229">
        <v>5.1000000000000004E-3</v>
      </c>
      <c r="EF84" s="230">
        <v>1866810</v>
      </c>
      <c r="EG84" s="230">
        <v>644881</v>
      </c>
      <c r="EH84" s="229">
        <v>1.8948</v>
      </c>
      <c r="EI84" s="229">
        <v>0.47970000000000002</v>
      </c>
      <c r="EJ84" s="231">
        <v>37737.870000000003</v>
      </c>
      <c r="EK84" s="231">
        <v>15005.33</v>
      </c>
      <c r="EL84" s="231">
        <v>50094.45</v>
      </c>
      <c r="EM84" s="231">
        <v>4459</v>
      </c>
      <c r="EN84" s="231">
        <v>102837.65</v>
      </c>
      <c r="EO84" s="231">
        <v>94111.42</v>
      </c>
      <c r="EP84" s="231">
        <v>8726.23</v>
      </c>
      <c r="EQ84" s="229">
        <v>9.2700000000000005E-2</v>
      </c>
      <c r="ER84" s="231">
        <v>39428</v>
      </c>
      <c r="ES84" s="231">
        <v>19413</v>
      </c>
      <c r="ET84" s="231">
        <v>68895</v>
      </c>
      <c r="EU84" s="231">
        <v>75071250</v>
      </c>
      <c r="EV84" s="231">
        <v>127736</v>
      </c>
      <c r="EW84" s="231">
        <v>126290</v>
      </c>
      <c r="EX84" s="231">
        <v>1446</v>
      </c>
      <c r="EY84" s="229">
        <v>1.14E-2</v>
      </c>
      <c r="EZ84" s="229">
        <v>0.73660000000000003</v>
      </c>
      <c r="FA84" s="227" t="s">
        <v>555</v>
      </c>
      <c r="FB84" s="161">
        <f t="shared" si="1"/>
        <v>21497925</v>
      </c>
    </row>
    <row r="85" spans="1:158" ht="17.25" hidden="1" thickBot="1" x14ac:dyDescent="0.3">
      <c r="A85" s="226">
        <v>45957</v>
      </c>
      <c r="B85" s="227" t="s">
        <v>172</v>
      </c>
      <c r="C85" s="227" t="s">
        <v>232</v>
      </c>
      <c r="D85" s="228">
        <v>700</v>
      </c>
      <c r="E85" s="231">
        <v>1378</v>
      </c>
      <c r="F85" s="231">
        <v>1378</v>
      </c>
      <c r="G85" s="228">
        <v>0</v>
      </c>
      <c r="H85" s="229">
        <v>0</v>
      </c>
      <c r="I85" s="231">
        <v>1377.6</v>
      </c>
      <c r="J85" s="231">
        <v>1377.7</v>
      </c>
      <c r="K85" s="228">
        <v>-0.1</v>
      </c>
      <c r="L85" s="229">
        <v>-1E-4</v>
      </c>
      <c r="M85" s="231">
        <v>1378</v>
      </c>
      <c r="N85" s="231">
        <v>1378</v>
      </c>
      <c r="O85" s="228">
        <v>0</v>
      </c>
      <c r="P85" s="229">
        <v>0</v>
      </c>
      <c r="Q85" s="231">
        <v>1385.6</v>
      </c>
      <c r="R85" s="231">
        <v>1385.9</v>
      </c>
      <c r="S85" s="228">
        <v>-0.3</v>
      </c>
      <c r="T85" s="229">
        <v>-2.0000000000000001E-4</v>
      </c>
      <c r="U85" s="231">
        <v>1395</v>
      </c>
      <c r="V85" s="231">
        <v>1394.8</v>
      </c>
      <c r="W85" s="228">
        <v>0.2</v>
      </c>
      <c r="X85" s="229">
        <v>1E-4</v>
      </c>
      <c r="Y85" s="228">
        <v>0.4</v>
      </c>
      <c r="Z85" s="228">
        <v>0.3</v>
      </c>
      <c r="AA85" s="228">
        <v>0.1</v>
      </c>
      <c r="AB85" s="229">
        <v>2.9999999999999997E-4</v>
      </c>
      <c r="AC85" s="228">
        <v>0.4</v>
      </c>
      <c r="AD85" s="228">
        <v>0.3</v>
      </c>
      <c r="AE85" s="228">
        <v>0.1</v>
      </c>
      <c r="AF85" s="229">
        <v>2.9999999999999997E-4</v>
      </c>
      <c r="AG85" s="228">
        <v>8</v>
      </c>
      <c r="AH85" s="228">
        <v>8.1999999999999993</v>
      </c>
      <c r="AI85" s="228">
        <v>-0.2</v>
      </c>
      <c r="AJ85" s="229">
        <v>5.7999999999999996E-3</v>
      </c>
      <c r="AK85" s="228">
        <v>17.399999999999999</v>
      </c>
      <c r="AL85" s="228">
        <v>17.100000000000001</v>
      </c>
      <c r="AM85" s="228">
        <v>0.3</v>
      </c>
      <c r="AN85" s="229">
        <v>1.26E-2</v>
      </c>
      <c r="AO85" s="231">
        <v>1380.57</v>
      </c>
      <c r="AP85" s="231">
        <v>1388.46</v>
      </c>
      <c r="AQ85" s="228">
        <v>0</v>
      </c>
      <c r="AR85" s="230">
        <v>50554000</v>
      </c>
      <c r="AS85" s="230">
        <v>77121100</v>
      </c>
      <c r="AT85" s="230">
        <v>-26567100</v>
      </c>
      <c r="AU85" s="229">
        <v>-0.34449999999999997</v>
      </c>
      <c r="AV85" s="230">
        <v>24371900</v>
      </c>
      <c r="AW85" s="230">
        <v>39208400</v>
      </c>
      <c r="AX85" s="230">
        <v>-14836500</v>
      </c>
      <c r="AY85" s="229">
        <v>-0.37840000000000001</v>
      </c>
      <c r="AZ85" s="230">
        <v>25864300</v>
      </c>
      <c r="BA85" s="230">
        <v>37580200</v>
      </c>
      <c r="BB85" s="230">
        <v>-11715900</v>
      </c>
      <c r="BC85" s="229">
        <v>-0.31180000000000002</v>
      </c>
      <c r="BD85" s="230">
        <v>317800</v>
      </c>
      <c r="BE85" s="230">
        <v>332500</v>
      </c>
      <c r="BF85" s="230">
        <v>-14700</v>
      </c>
      <c r="BG85" s="229">
        <v>-4.4200000000000003E-2</v>
      </c>
      <c r="BH85" s="230">
        <v>55005300</v>
      </c>
      <c r="BI85" s="230">
        <v>82824700</v>
      </c>
      <c r="BJ85" s="230">
        <v>-27819400</v>
      </c>
      <c r="BK85" s="229">
        <v>-0.33589999999999998</v>
      </c>
      <c r="BL85" s="230">
        <v>31615500</v>
      </c>
      <c r="BM85" s="230">
        <v>44389800</v>
      </c>
      <c r="BN85" s="230">
        <v>-12774300</v>
      </c>
      <c r="BO85" s="229">
        <v>-0.2878</v>
      </c>
      <c r="BP85" s="230">
        <v>137174800</v>
      </c>
      <c r="BQ85" s="230">
        <v>204335600</v>
      </c>
      <c r="BR85" s="230">
        <v>-67160800</v>
      </c>
      <c r="BS85" s="229">
        <v>-0.32869999999999999</v>
      </c>
      <c r="BT85" s="230">
        <v>12215641</v>
      </c>
      <c r="BU85" s="230">
        <v>11316252</v>
      </c>
      <c r="BV85" s="230">
        <v>899389</v>
      </c>
      <c r="BW85" s="229">
        <v>7.9500000000000001E-2</v>
      </c>
      <c r="BX85" s="230">
        <v>110733000</v>
      </c>
      <c r="BY85" s="230">
        <v>109902800</v>
      </c>
      <c r="BZ85" s="230">
        <v>830200</v>
      </c>
      <c r="CA85" s="229">
        <v>7.6E-3</v>
      </c>
      <c r="CB85" s="230">
        <v>23053800</v>
      </c>
      <c r="CC85" s="230">
        <v>41221600</v>
      </c>
      <c r="CD85" s="230">
        <v>-18167800</v>
      </c>
      <c r="CE85" s="229">
        <v>-0.44069999999999998</v>
      </c>
      <c r="CF85" s="230">
        <v>84961100</v>
      </c>
      <c r="CG85" s="230">
        <v>66138800</v>
      </c>
      <c r="CH85" s="230">
        <v>18822300</v>
      </c>
      <c r="CI85" s="229">
        <v>0.28460000000000002</v>
      </c>
      <c r="CJ85" s="230">
        <v>2718100</v>
      </c>
      <c r="CK85" s="230">
        <v>2542400</v>
      </c>
      <c r="CL85" s="230">
        <v>175700</v>
      </c>
      <c r="CM85" s="229">
        <v>6.9099999999999995E-2</v>
      </c>
      <c r="CN85" s="230">
        <v>44241400</v>
      </c>
      <c r="CO85" s="230">
        <v>48986000</v>
      </c>
      <c r="CP85" s="230">
        <v>-4744600</v>
      </c>
      <c r="CQ85" s="229">
        <v>-9.69E-2</v>
      </c>
      <c r="CR85" s="230">
        <v>25227300</v>
      </c>
      <c r="CS85" s="230">
        <v>25380600</v>
      </c>
      <c r="CT85" s="230">
        <v>-153300</v>
      </c>
      <c r="CU85" s="229">
        <v>-6.0000000000000001E-3</v>
      </c>
      <c r="CV85" s="230">
        <v>180201700</v>
      </c>
      <c r="CW85" s="230">
        <v>184269400</v>
      </c>
      <c r="CX85" s="230">
        <v>-4067700</v>
      </c>
      <c r="CY85" s="229">
        <v>-2.2100000000000002E-2</v>
      </c>
      <c r="CZ85" s="228">
        <v>17.07</v>
      </c>
      <c r="DA85" s="228">
        <v>16.920000000000002</v>
      </c>
      <c r="DB85" s="228">
        <v>0.15</v>
      </c>
      <c r="DC85" s="228">
        <v>0.15</v>
      </c>
      <c r="DD85" s="228">
        <v>21.25</v>
      </c>
      <c r="DE85" s="228">
        <v>21.31</v>
      </c>
      <c r="DF85" s="228">
        <v>-4.18</v>
      </c>
      <c r="DG85" s="228">
        <v>-0.06</v>
      </c>
      <c r="DH85" s="228">
        <v>17.07</v>
      </c>
      <c r="DI85" s="228">
        <v>16.96</v>
      </c>
      <c r="DJ85" s="228">
        <v>0.11</v>
      </c>
      <c r="DK85" s="228">
        <v>0.11</v>
      </c>
      <c r="DL85" s="228">
        <v>17.059999999999999</v>
      </c>
      <c r="DM85" s="228">
        <v>16.84</v>
      </c>
      <c r="DN85" s="228">
        <v>0.22</v>
      </c>
      <c r="DO85" s="228">
        <v>0.22</v>
      </c>
      <c r="DP85" s="228">
        <v>0.56999999999999995</v>
      </c>
      <c r="DQ85" s="228">
        <v>0.52</v>
      </c>
      <c r="DR85" s="228">
        <v>0.05</v>
      </c>
      <c r="DS85" s="229">
        <v>9.6199999999999994E-2</v>
      </c>
      <c r="DT85" s="231">
        <v>1400</v>
      </c>
      <c r="DU85" s="231">
        <v>1400</v>
      </c>
      <c r="DV85" s="228">
        <v>0.56999999999999995</v>
      </c>
      <c r="DW85" s="228">
        <v>0.54</v>
      </c>
      <c r="DX85" s="228">
        <v>0.03</v>
      </c>
      <c r="DY85" s="229">
        <v>5.5599999999999997E-2</v>
      </c>
      <c r="DZ85" s="229">
        <v>0.79179999999999995</v>
      </c>
      <c r="EA85" s="230">
        <v>68681200</v>
      </c>
      <c r="EB85" s="229">
        <v>5.4999999999999997E-3</v>
      </c>
      <c r="EC85" s="229">
        <v>0.79179999999999995</v>
      </c>
      <c r="ED85" s="228">
        <v>7.89</v>
      </c>
      <c r="EE85" s="229">
        <v>5.7000000000000002E-3</v>
      </c>
      <c r="EF85" s="230">
        <v>9518445</v>
      </c>
      <c r="EG85" s="230">
        <v>6568881</v>
      </c>
      <c r="EH85" s="229">
        <v>0.44900000000000001</v>
      </c>
      <c r="EI85" s="229">
        <v>0.7792</v>
      </c>
      <c r="EJ85" s="231">
        <v>778660.39</v>
      </c>
      <c r="EK85" s="231">
        <v>437726.24</v>
      </c>
      <c r="EL85" s="231">
        <v>700027.29</v>
      </c>
      <c r="EM85" s="231">
        <v>68443</v>
      </c>
      <c r="EN85" s="231">
        <v>1916413.92</v>
      </c>
      <c r="EO85" s="231">
        <v>2842122.13</v>
      </c>
      <c r="EP85" s="231">
        <v>-925708.21</v>
      </c>
      <c r="EQ85" s="229">
        <v>-0.32569999999999999</v>
      </c>
      <c r="ER85" s="231">
        <v>633235</v>
      </c>
      <c r="ES85" s="231">
        <v>345012</v>
      </c>
      <c r="ET85" s="231">
        <v>1532820</v>
      </c>
      <c r="EU85" s="231">
        <v>579785172</v>
      </c>
      <c r="EV85" s="231">
        <v>2511066</v>
      </c>
      <c r="EW85" s="231">
        <v>2568500</v>
      </c>
      <c r="EX85" s="231">
        <v>-57434</v>
      </c>
      <c r="EY85" s="229">
        <v>-2.24E-2</v>
      </c>
      <c r="EZ85" s="229">
        <v>0.31080000000000002</v>
      </c>
      <c r="FA85" s="227" t="s">
        <v>237</v>
      </c>
      <c r="FB85" s="161">
        <f t="shared" si="1"/>
        <v>87679200</v>
      </c>
    </row>
    <row r="86" spans="1:158" ht="17.25" hidden="1" thickBot="1" x14ac:dyDescent="0.3">
      <c r="A86" s="226">
        <v>45957</v>
      </c>
      <c r="B86" s="227" t="s">
        <v>175</v>
      </c>
      <c r="C86" s="227" t="s">
        <v>472</v>
      </c>
      <c r="D86" s="228">
        <v>325</v>
      </c>
      <c r="E86" s="231">
        <v>1989.3</v>
      </c>
      <c r="F86" s="231">
        <v>1992.1</v>
      </c>
      <c r="G86" s="228">
        <v>-2.8</v>
      </c>
      <c r="H86" s="229">
        <v>-1.4E-3</v>
      </c>
      <c r="I86" s="231">
        <v>1986.4</v>
      </c>
      <c r="J86" s="231">
        <v>1993.9</v>
      </c>
      <c r="K86" s="228">
        <v>-7.5</v>
      </c>
      <c r="L86" s="229">
        <v>-3.8E-3</v>
      </c>
      <c r="M86" s="231">
        <v>1989.3</v>
      </c>
      <c r="N86" s="231">
        <v>1992.1</v>
      </c>
      <c r="O86" s="228">
        <v>-2.8</v>
      </c>
      <c r="P86" s="229">
        <v>-1.4E-3</v>
      </c>
      <c r="Q86" s="231">
        <v>2000</v>
      </c>
      <c r="R86" s="231">
        <v>2003</v>
      </c>
      <c r="S86" s="228">
        <v>-3</v>
      </c>
      <c r="T86" s="229">
        <v>-1.5E-3</v>
      </c>
      <c r="U86" s="231">
        <v>2012.5</v>
      </c>
      <c r="V86" s="231">
        <v>1992.7</v>
      </c>
      <c r="W86" s="228">
        <v>19.8</v>
      </c>
      <c r="X86" s="229">
        <v>9.9000000000000008E-3</v>
      </c>
      <c r="Y86" s="228">
        <v>2.9</v>
      </c>
      <c r="Z86" s="228">
        <v>-1.8</v>
      </c>
      <c r="AA86" s="228">
        <v>4.7</v>
      </c>
      <c r="AB86" s="229">
        <v>1.5E-3</v>
      </c>
      <c r="AC86" s="228">
        <v>2.9</v>
      </c>
      <c r="AD86" s="228">
        <v>-1.8</v>
      </c>
      <c r="AE86" s="228">
        <v>4.7</v>
      </c>
      <c r="AF86" s="229">
        <v>1.5E-3</v>
      </c>
      <c r="AG86" s="228">
        <v>13.6</v>
      </c>
      <c r="AH86" s="228">
        <v>9.1</v>
      </c>
      <c r="AI86" s="228">
        <v>4.5</v>
      </c>
      <c r="AJ86" s="229">
        <v>6.7999999999999996E-3</v>
      </c>
      <c r="AK86" s="228">
        <v>26.1</v>
      </c>
      <c r="AL86" s="228">
        <v>-1.2</v>
      </c>
      <c r="AM86" s="228">
        <v>27.3</v>
      </c>
      <c r="AN86" s="229">
        <v>1.3100000000000001E-2</v>
      </c>
      <c r="AO86" s="231">
        <v>1996.18</v>
      </c>
      <c r="AP86" s="231">
        <v>2007.11</v>
      </c>
      <c r="AQ86" s="228">
        <v>0</v>
      </c>
      <c r="AR86" s="230">
        <v>3755050</v>
      </c>
      <c r="AS86" s="230">
        <v>5889000</v>
      </c>
      <c r="AT86" s="230">
        <v>-2133950</v>
      </c>
      <c r="AU86" s="229">
        <v>-0.3624</v>
      </c>
      <c r="AV86" s="230">
        <v>1833650</v>
      </c>
      <c r="AW86" s="230">
        <v>2884700</v>
      </c>
      <c r="AX86" s="230">
        <v>-1051050</v>
      </c>
      <c r="AY86" s="229">
        <v>-0.3644</v>
      </c>
      <c r="AZ86" s="230">
        <v>1916850</v>
      </c>
      <c r="BA86" s="230">
        <v>3000725</v>
      </c>
      <c r="BB86" s="230">
        <v>-1083875</v>
      </c>
      <c r="BC86" s="229">
        <v>-0.36120000000000002</v>
      </c>
      <c r="BD86" s="230">
        <v>4550</v>
      </c>
      <c r="BE86" s="230">
        <v>3575</v>
      </c>
      <c r="BF86" s="228">
        <v>975</v>
      </c>
      <c r="BG86" s="229">
        <v>0.2727</v>
      </c>
      <c r="BH86" s="230">
        <v>1444625</v>
      </c>
      <c r="BI86" s="230">
        <v>1872650</v>
      </c>
      <c r="BJ86" s="230">
        <v>-428025</v>
      </c>
      <c r="BK86" s="229">
        <v>-0.2286</v>
      </c>
      <c r="BL86" s="230">
        <v>1158625</v>
      </c>
      <c r="BM86" s="230">
        <v>2430350</v>
      </c>
      <c r="BN86" s="230">
        <v>-1271725</v>
      </c>
      <c r="BO86" s="229">
        <v>-0.52329999999999999</v>
      </c>
      <c r="BP86" s="230">
        <v>6358300</v>
      </c>
      <c r="BQ86" s="230">
        <v>10192000</v>
      </c>
      <c r="BR86" s="230">
        <v>-3833700</v>
      </c>
      <c r="BS86" s="229">
        <v>-0.37609999999999999</v>
      </c>
      <c r="BT86" s="230">
        <v>342746</v>
      </c>
      <c r="BU86" s="230">
        <v>480728</v>
      </c>
      <c r="BV86" s="230">
        <v>-137982</v>
      </c>
      <c r="BW86" s="229">
        <v>-0.28699999999999998</v>
      </c>
      <c r="BX86" s="230">
        <v>6047275</v>
      </c>
      <c r="BY86" s="230">
        <v>6105125</v>
      </c>
      <c r="BZ86" s="230">
        <v>-57850</v>
      </c>
      <c r="CA86" s="229">
        <v>-9.4999999999999998E-3</v>
      </c>
      <c r="CB86" s="230">
        <v>800475</v>
      </c>
      <c r="CC86" s="230">
        <v>2366000</v>
      </c>
      <c r="CD86" s="230">
        <v>-1565525</v>
      </c>
      <c r="CE86" s="229">
        <v>-0.66169999999999995</v>
      </c>
      <c r="CF86" s="230">
        <v>5230875</v>
      </c>
      <c r="CG86" s="230">
        <v>3724825</v>
      </c>
      <c r="CH86" s="230">
        <v>1506050</v>
      </c>
      <c r="CI86" s="229">
        <v>0.40429999999999999</v>
      </c>
      <c r="CJ86" s="230">
        <v>15925</v>
      </c>
      <c r="CK86" s="230">
        <v>14300</v>
      </c>
      <c r="CL86" s="230">
        <v>1625</v>
      </c>
      <c r="CM86" s="229">
        <v>0.11360000000000001</v>
      </c>
      <c r="CN86" s="230">
        <v>1584700</v>
      </c>
      <c r="CO86" s="230">
        <v>1689350</v>
      </c>
      <c r="CP86" s="230">
        <v>-104650</v>
      </c>
      <c r="CQ86" s="229">
        <v>-6.1899999999999997E-2</v>
      </c>
      <c r="CR86" s="230">
        <v>1904825</v>
      </c>
      <c r="CS86" s="230">
        <v>2134925</v>
      </c>
      <c r="CT86" s="230">
        <v>-230100</v>
      </c>
      <c r="CU86" s="229">
        <v>-0.10780000000000001</v>
      </c>
      <c r="CV86" s="230">
        <v>9536800</v>
      </c>
      <c r="CW86" s="230">
        <v>9929400</v>
      </c>
      <c r="CX86" s="230">
        <v>-392600</v>
      </c>
      <c r="CY86" s="229">
        <v>-3.95E-2</v>
      </c>
      <c r="CZ86" s="228">
        <v>20.75</v>
      </c>
      <c r="DA86" s="228">
        <v>20.96</v>
      </c>
      <c r="DB86" s="228">
        <v>-0.21</v>
      </c>
      <c r="DC86" s="228">
        <v>-0.21</v>
      </c>
      <c r="DD86" s="228">
        <v>29.89</v>
      </c>
      <c r="DE86" s="228">
        <v>29.96</v>
      </c>
      <c r="DF86" s="228">
        <v>-9.14</v>
      </c>
      <c r="DG86" s="228">
        <v>-7.0000000000000007E-2</v>
      </c>
      <c r="DH86" s="228">
        <v>20.73</v>
      </c>
      <c r="DI86" s="228">
        <v>21.27</v>
      </c>
      <c r="DJ86" s="228">
        <v>-0.54</v>
      </c>
      <c r="DK86" s="228">
        <v>-0.54</v>
      </c>
      <c r="DL86" s="228">
        <v>20.79</v>
      </c>
      <c r="DM86" s="228">
        <v>20.59</v>
      </c>
      <c r="DN86" s="228">
        <v>0.2</v>
      </c>
      <c r="DO86" s="228">
        <v>0.2</v>
      </c>
      <c r="DP86" s="228">
        <v>1.2</v>
      </c>
      <c r="DQ86" s="228">
        <v>1.26</v>
      </c>
      <c r="DR86" s="228">
        <v>-0.06</v>
      </c>
      <c r="DS86" s="229">
        <v>-4.7600000000000003E-2</v>
      </c>
      <c r="DT86" s="231">
        <v>2020</v>
      </c>
      <c r="DU86" s="231">
        <v>1900</v>
      </c>
      <c r="DV86" s="228">
        <v>0.8</v>
      </c>
      <c r="DW86" s="228">
        <v>1.3</v>
      </c>
      <c r="DX86" s="228">
        <v>-0.5</v>
      </c>
      <c r="DY86" s="229">
        <v>-0.3846</v>
      </c>
      <c r="DZ86" s="229">
        <v>0.86760000000000004</v>
      </c>
      <c r="EA86" s="230">
        <v>3739125</v>
      </c>
      <c r="EB86" s="229">
        <v>5.4000000000000003E-3</v>
      </c>
      <c r="EC86" s="229">
        <v>0.86760000000000004</v>
      </c>
      <c r="ED86" s="228">
        <v>10.93</v>
      </c>
      <c r="EE86" s="229">
        <v>5.4999999999999997E-3</v>
      </c>
      <c r="EF86" s="230">
        <v>217874</v>
      </c>
      <c r="EG86" s="230">
        <v>258033</v>
      </c>
      <c r="EH86" s="229">
        <v>-0.15559999999999999</v>
      </c>
      <c r="EI86" s="229">
        <v>0.63570000000000004</v>
      </c>
      <c r="EJ86" s="231">
        <v>29518.38</v>
      </c>
      <c r="EK86" s="231">
        <v>22348.63</v>
      </c>
      <c r="EL86" s="231">
        <v>75168.06</v>
      </c>
      <c r="EM86" s="231">
        <v>7426</v>
      </c>
      <c r="EN86" s="231">
        <v>127035.07</v>
      </c>
      <c r="EO86" s="231">
        <v>202706.1</v>
      </c>
      <c r="EP86" s="231">
        <v>-75671.03</v>
      </c>
      <c r="EQ86" s="229">
        <v>-0.37330000000000002</v>
      </c>
      <c r="ER86" s="231">
        <v>32221</v>
      </c>
      <c r="ES86" s="231">
        <v>35998</v>
      </c>
      <c r="ET86" s="231">
        <v>120862</v>
      </c>
      <c r="EU86" s="231">
        <v>26688038</v>
      </c>
      <c r="EV86" s="231">
        <v>189081</v>
      </c>
      <c r="EW86" s="231">
        <v>196662</v>
      </c>
      <c r="EX86" s="231">
        <v>-7581</v>
      </c>
      <c r="EY86" s="229">
        <v>-3.85E-2</v>
      </c>
      <c r="EZ86" s="229">
        <v>0.35730000000000001</v>
      </c>
      <c r="FA86" s="227" t="s">
        <v>568</v>
      </c>
      <c r="FB86" s="161">
        <f t="shared" si="1"/>
        <v>5246800</v>
      </c>
    </row>
    <row r="87" spans="1:158" ht="17.25" hidden="1" thickBot="1" x14ac:dyDescent="0.3">
      <c r="A87" s="226">
        <v>45957</v>
      </c>
      <c r="B87" s="227" t="s">
        <v>175</v>
      </c>
      <c r="C87" s="227" t="s">
        <v>233</v>
      </c>
      <c r="D87" s="228">
        <v>925</v>
      </c>
      <c r="E87" s="228">
        <v>601.6</v>
      </c>
      <c r="F87" s="228">
        <v>601.5</v>
      </c>
      <c r="G87" s="228">
        <v>0.1</v>
      </c>
      <c r="H87" s="229">
        <v>2.0000000000000001E-4</v>
      </c>
      <c r="I87" s="228">
        <v>600.75</v>
      </c>
      <c r="J87" s="228">
        <v>601.95000000000005</v>
      </c>
      <c r="K87" s="228">
        <v>-1.2</v>
      </c>
      <c r="L87" s="229">
        <v>-2E-3</v>
      </c>
      <c r="M87" s="228">
        <v>601.6</v>
      </c>
      <c r="N87" s="228">
        <v>601.5</v>
      </c>
      <c r="O87" s="228">
        <v>0.1</v>
      </c>
      <c r="P87" s="229">
        <v>2.0000000000000001E-4</v>
      </c>
      <c r="Q87" s="228">
        <v>604.65</v>
      </c>
      <c r="R87" s="228">
        <v>604.95000000000005</v>
      </c>
      <c r="S87" s="228">
        <v>-0.3</v>
      </c>
      <c r="T87" s="229">
        <v>-5.0000000000000001E-4</v>
      </c>
      <c r="U87" s="228">
        <v>608</v>
      </c>
      <c r="V87" s="228">
        <v>609.85</v>
      </c>
      <c r="W87" s="228">
        <v>-1.85</v>
      </c>
      <c r="X87" s="229">
        <v>-3.0000000000000001E-3</v>
      </c>
      <c r="Y87" s="228">
        <v>0.85</v>
      </c>
      <c r="Z87" s="228">
        <v>-0.45</v>
      </c>
      <c r="AA87" s="228">
        <v>1.3</v>
      </c>
      <c r="AB87" s="229">
        <v>1.4E-3</v>
      </c>
      <c r="AC87" s="228">
        <v>0.85</v>
      </c>
      <c r="AD87" s="228">
        <v>-0.45</v>
      </c>
      <c r="AE87" s="228">
        <v>1.3</v>
      </c>
      <c r="AF87" s="229">
        <v>1.4E-3</v>
      </c>
      <c r="AG87" s="228">
        <v>3.9</v>
      </c>
      <c r="AH87" s="228">
        <v>3</v>
      </c>
      <c r="AI87" s="228">
        <v>0.9</v>
      </c>
      <c r="AJ87" s="229">
        <v>6.4999999999999997E-3</v>
      </c>
      <c r="AK87" s="228">
        <v>7.25</v>
      </c>
      <c r="AL87" s="228">
        <v>7.9</v>
      </c>
      <c r="AM87" s="228">
        <v>-0.65</v>
      </c>
      <c r="AN87" s="229">
        <v>1.21E-2</v>
      </c>
      <c r="AO87" s="228">
        <v>602.04</v>
      </c>
      <c r="AP87" s="228">
        <v>605.39</v>
      </c>
      <c r="AQ87" s="228">
        <v>0</v>
      </c>
      <c r="AR87" s="230">
        <v>9109400</v>
      </c>
      <c r="AS87" s="230">
        <v>9215775</v>
      </c>
      <c r="AT87" s="230">
        <v>-106375</v>
      </c>
      <c r="AU87" s="229">
        <v>-1.15E-2</v>
      </c>
      <c r="AV87" s="230">
        <v>4168050</v>
      </c>
      <c r="AW87" s="230">
        <v>4723975</v>
      </c>
      <c r="AX87" s="230">
        <v>-555925</v>
      </c>
      <c r="AY87" s="229">
        <v>-0.1177</v>
      </c>
      <c r="AZ87" s="230">
        <v>4889550</v>
      </c>
      <c r="BA87" s="230">
        <v>4467750</v>
      </c>
      <c r="BB87" s="230">
        <v>421800</v>
      </c>
      <c r="BC87" s="229">
        <v>9.4399999999999998E-2</v>
      </c>
      <c r="BD87" s="230">
        <v>51800</v>
      </c>
      <c r="BE87" s="230">
        <v>24050</v>
      </c>
      <c r="BF87" s="230">
        <v>27750</v>
      </c>
      <c r="BG87" s="229">
        <v>1.1537999999999999</v>
      </c>
      <c r="BH87" s="230">
        <v>4171750</v>
      </c>
      <c r="BI87" s="230">
        <v>3537200</v>
      </c>
      <c r="BJ87" s="230">
        <v>634550</v>
      </c>
      <c r="BK87" s="229">
        <v>0.1794</v>
      </c>
      <c r="BL87" s="230">
        <v>1522550</v>
      </c>
      <c r="BM87" s="230">
        <v>2193175</v>
      </c>
      <c r="BN87" s="230">
        <v>-670625</v>
      </c>
      <c r="BO87" s="229">
        <v>-0.30580000000000002</v>
      </c>
      <c r="BP87" s="230">
        <v>14803700</v>
      </c>
      <c r="BQ87" s="230">
        <v>14946150</v>
      </c>
      <c r="BR87" s="230">
        <v>-142450</v>
      </c>
      <c r="BS87" s="229">
        <v>-9.4999999999999998E-3</v>
      </c>
      <c r="BT87" s="230">
        <v>2230135</v>
      </c>
      <c r="BU87" s="230">
        <v>405560</v>
      </c>
      <c r="BV87" s="230">
        <v>1824575</v>
      </c>
      <c r="BW87" s="229">
        <v>4.4988999999999999</v>
      </c>
      <c r="BX87" s="230">
        <v>12363550</v>
      </c>
      <c r="BY87" s="230">
        <v>12095300</v>
      </c>
      <c r="BZ87" s="230">
        <v>268250</v>
      </c>
      <c r="CA87" s="229">
        <v>2.2200000000000001E-2</v>
      </c>
      <c r="CB87" s="230">
        <v>1464275</v>
      </c>
      <c r="CC87" s="230">
        <v>4874750</v>
      </c>
      <c r="CD87" s="230">
        <v>-3410475</v>
      </c>
      <c r="CE87" s="229">
        <v>-0.6996</v>
      </c>
      <c r="CF87" s="230">
        <v>10755900</v>
      </c>
      <c r="CG87" s="230">
        <v>7106775</v>
      </c>
      <c r="CH87" s="230">
        <v>3649125</v>
      </c>
      <c r="CI87" s="229">
        <v>0.51349999999999996</v>
      </c>
      <c r="CJ87" s="230">
        <v>143375</v>
      </c>
      <c r="CK87" s="230">
        <v>113775</v>
      </c>
      <c r="CL87" s="230">
        <v>29600</v>
      </c>
      <c r="CM87" s="229">
        <v>0.26019999999999999</v>
      </c>
      <c r="CN87" s="230">
        <v>4818325</v>
      </c>
      <c r="CO87" s="230">
        <v>4990375</v>
      </c>
      <c r="CP87" s="230">
        <v>-172050</v>
      </c>
      <c r="CQ87" s="229">
        <v>-3.4500000000000003E-2</v>
      </c>
      <c r="CR87" s="230">
        <v>2840675</v>
      </c>
      <c r="CS87" s="230">
        <v>2979425</v>
      </c>
      <c r="CT87" s="230">
        <v>-138750</v>
      </c>
      <c r="CU87" s="229">
        <v>-4.6600000000000003E-2</v>
      </c>
      <c r="CV87" s="230">
        <v>20022550</v>
      </c>
      <c r="CW87" s="230">
        <v>20065100</v>
      </c>
      <c r="CX87" s="230">
        <v>-42550</v>
      </c>
      <c r="CY87" s="229">
        <v>-2.0999999999999999E-3</v>
      </c>
      <c r="CZ87" s="228">
        <v>21.84</v>
      </c>
      <c r="DA87" s="228">
        <v>21.95</v>
      </c>
      <c r="DB87" s="228">
        <v>-0.11</v>
      </c>
      <c r="DC87" s="228">
        <v>-0.11</v>
      </c>
      <c r="DD87" s="228">
        <v>27.95</v>
      </c>
      <c r="DE87" s="228">
        <v>28.02</v>
      </c>
      <c r="DF87" s="228">
        <v>-6.11</v>
      </c>
      <c r="DG87" s="228">
        <v>-7.0000000000000007E-2</v>
      </c>
      <c r="DH87" s="228">
        <v>21.84</v>
      </c>
      <c r="DI87" s="228">
        <v>22.12</v>
      </c>
      <c r="DJ87" s="228">
        <v>-0.28000000000000003</v>
      </c>
      <c r="DK87" s="228">
        <v>-0.28000000000000003</v>
      </c>
      <c r="DL87" s="228">
        <v>21.82</v>
      </c>
      <c r="DM87" s="228">
        <v>21.76</v>
      </c>
      <c r="DN87" s="228">
        <v>0.06</v>
      </c>
      <c r="DO87" s="228">
        <v>0.06</v>
      </c>
      <c r="DP87" s="228">
        <v>0.59</v>
      </c>
      <c r="DQ87" s="228">
        <v>0.6</v>
      </c>
      <c r="DR87" s="228">
        <v>-0.01</v>
      </c>
      <c r="DS87" s="229">
        <v>-1.67E-2</v>
      </c>
      <c r="DT87" s="228">
        <v>620</v>
      </c>
      <c r="DU87" s="228">
        <v>600</v>
      </c>
      <c r="DV87" s="228">
        <v>0.36</v>
      </c>
      <c r="DW87" s="228">
        <v>0.62</v>
      </c>
      <c r="DX87" s="228">
        <v>-0.26</v>
      </c>
      <c r="DY87" s="229">
        <v>-0.4194</v>
      </c>
      <c r="DZ87" s="229">
        <v>0.88160000000000005</v>
      </c>
      <c r="EA87" s="230">
        <v>7220550</v>
      </c>
      <c r="EB87" s="229">
        <v>5.1000000000000004E-3</v>
      </c>
      <c r="EC87" s="229">
        <v>0.88160000000000005</v>
      </c>
      <c r="ED87" s="228">
        <v>3.35</v>
      </c>
      <c r="EE87" s="229">
        <v>5.5999999999999999E-3</v>
      </c>
      <c r="EF87" s="230">
        <v>1762554</v>
      </c>
      <c r="EG87" s="230">
        <v>258796</v>
      </c>
      <c r="EH87" s="229">
        <v>5.8106</v>
      </c>
      <c r="EI87" s="229">
        <v>0.7903</v>
      </c>
      <c r="EJ87" s="231">
        <v>26023.79</v>
      </c>
      <c r="EK87" s="231">
        <v>9092.83</v>
      </c>
      <c r="EL87" s="231">
        <v>55009.919999999998</v>
      </c>
      <c r="EM87" s="231">
        <v>5422</v>
      </c>
      <c r="EN87" s="231">
        <v>90126.54</v>
      </c>
      <c r="EO87" s="231">
        <v>90704.33</v>
      </c>
      <c r="EP87" s="228">
        <v>-577.79</v>
      </c>
      <c r="EQ87" s="229">
        <v>-6.4000000000000003E-3</v>
      </c>
      <c r="ER87" s="231">
        <v>30060</v>
      </c>
      <c r="ES87" s="231">
        <v>16621</v>
      </c>
      <c r="ET87" s="231">
        <v>74716</v>
      </c>
      <c r="EU87" s="231">
        <v>48653643</v>
      </c>
      <c r="EV87" s="231">
        <v>121397</v>
      </c>
      <c r="EW87" s="231">
        <v>121576</v>
      </c>
      <c r="EX87" s="228">
        <v>-179</v>
      </c>
      <c r="EY87" s="229">
        <v>-1.5E-3</v>
      </c>
      <c r="EZ87" s="229">
        <v>0.41149999999999998</v>
      </c>
      <c r="FA87" s="227" t="s">
        <v>555</v>
      </c>
      <c r="FB87" s="161">
        <f t="shared" si="1"/>
        <v>10899275</v>
      </c>
    </row>
    <row r="88" spans="1:158" ht="17.25" hidden="1" thickBot="1" x14ac:dyDescent="0.3">
      <c r="A88" s="226">
        <v>45957</v>
      </c>
      <c r="B88" s="227" t="s">
        <v>188</v>
      </c>
      <c r="C88" s="227" t="s">
        <v>234</v>
      </c>
      <c r="D88" s="228">
        <v>40000</v>
      </c>
      <c r="E88" s="228">
        <v>9.99</v>
      </c>
      <c r="F88" s="228">
        <v>9.64</v>
      </c>
      <c r="G88" s="228">
        <v>0.35</v>
      </c>
      <c r="H88" s="229">
        <v>3.6299999999999999E-2</v>
      </c>
      <c r="I88" s="228">
        <v>9.9700000000000006</v>
      </c>
      <c r="J88" s="228">
        <v>9.6199999999999992</v>
      </c>
      <c r="K88" s="228">
        <v>0.35</v>
      </c>
      <c r="L88" s="229">
        <v>3.6400000000000002E-2</v>
      </c>
      <c r="M88" s="228">
        <v>9.99</v>
      </c>
      <c r="N88" s="228">
        <v>9.64</v>
      </c>
      <c r="O88" s="228">
        <v>0.35</v>
      </c>
      <c r="P88" s="229">
        <v>3.6299999999999999E-2</v>
      </c>
      <c r="Q88" s="228">
        <v>10.050000000000001</v>
      </c>
      <c r="R88" s="228">
        <v>9.69</v>
      </c>
      <c r="S88" s="228">
        <v>0.36</v>
      </c>
      <c r="T88" s="229">
        <v>3.7199999999999997E-2</v>
      </c>
      <c r="U88" s="228">
        <v>10.11</v>
      </c>
      <c r="V88" s="228">
        <v>9.75</v>
      </c>
      <c r="W88" s="228">
        <v>0.36</v>
      </c>
      <c r="X88" s="229">
        <v>3.6900000000000002E-2</v>
      </c>
      <c r="Y88" s="228">
        <v>0.02</v>
      </c>
      <c r="Z88" s="228">
        <v>0.02</v>
      </c>
      <c r="AA88" s="228">
        <v>0</v>
      </c>
      <c r="AB88" s="229">
        <v>2E-3</v>
      </c>
      <c r="AC88" s="228">
        <v>0.02</v>
      </c>
      <c r="AD88" s="228">
        <v>0.02</v>
      </c>
      <c r="AE88" s="228">
        <v>0</v>
      </c>
      <c r="AF88" s="229">
        <v>2E-3</v>
      </c>
      <c r="AG88" s="228">
        <v>0.08</v>
      </c>
      <c r="AH88" s="228">
        <v>7.0000000000000007E-2</v>
      </c>
      <c r="AI88" s="228">
        <v>0.01</v>
      </c>
      <c r="AJ88" s="229">
        <v>8.0000000000000002E-3</v>
      </c>
      <c r="AK88" s="228">
        <v>0.14000000000000001</v>
      </c>
      <c r="AL88" s="228">
        <v>0.13</v>
      </c>
      <c r="AM88" s="228">
        <v>0.01</v>
      </c>
      <c r="AN88" s="229">
        <v>1.4E-2</v>
      </c>
      <c r="AO88" s="228">
        <v>17.93</v>
      </c>
      <c r="AP88" s="228">
        <v>10.1</v>
      </c>
      <c r="AQ88" s="228">
        <v>0</v>
      </c>
      <c r="AR88" s="230">
        <v>4913800000</v>
      </c>
      <c r="AS88" s="230">
        <v>2420640000</v>
      </c>
      <c r="AT88" s="230">
        <v>2493160000</v>
      </c>
      <c r="AU88" s="229">
        <v>1.03</v>
      </c>
      <c r="AV88" s="230">
        <v>2267480000</v>
      </c>
      <c r="AW88" s="230">
        <v>1228840000</v>
      </c>
      <c r="AX88" s="230">
        <v>1038640000</v>
      </c>
      <c r="AY88" s="229">
        <v>0.84519999999999995</v>
      </c>
      <c r="AZ88" s="230">
        <v>2540200000</v>
      </c>
      <c r="BA88" s="230">
        <v>1159480000</v>
      </c>
      <c r="BB88" s="230">
        <v>1380720000</v>
      </c>
      <c r="BC88" s="229">
        <v>1.1908000000000001</v>
      </c>
      <c r="BD88" s="230">
        <v>106120000</v>
      </c>
      <c r="BE88" s="230">
        <v>32320000</v>
      </c>
      <c r="BF88" s="230">
        <v>73800000</v>
      </c>
      <c r="BG88" s="229">
        <v>2.2833999999999999</v>
      </c>
      <c r="BH88" s="230">
        <v>3615200000</v>
      </c>
      <c r="BI88" s="230">
        <v>982600000</v>
      </c>
      <c r="BJ88" s="230">
        <v>2632600000</v>
      </c>
      <c r="BK88" s="229">
        <v>2.6791999999999998</v>
      </c>
      <c r="BL88" s="230">
        <v>1088920000</v>
      </c>
      <c r="BM88" s="230">
        <v>377160000</v>
      </c>
      <c r="BN88" s="230">
        <v>711760000</v>
      </c>
      <c r="BO88" s="229">
        <v>1.8872</v>
      </c>
      <c r="BP88" s="230">
        <v>9617920000</v>
      </c>
      <c r="BQ88" s="230">
        <v>3780400000</v>
      </c>
      <c r="BR88" s="230">
        <v>5837520000</v>
      </c>
      <c r="BS88" s="229">
        <v>1.5442</v>
      </c>
      <c r="BT88" s="230">
        <v>3477798259</v>
      </c>
      <c r="BU88" s="230">
        <v>968094297</v>
      </c>
      <c r="BV88" s="230">
        <v>2509703962</v>
      </c>
      <c r="BW88" s="229">
        <v>2.5924</v>
      </c>
      <c r="BX88" s="230">
        <v>6376642125</v>
      </c>
      <c r="BY88" s="230">
        <v>6281437425</v>
      </c>
      <c r="BZ88" s="230">
        <v>95204700</v>
      </c>
      <c r="CA88" s="229">
        <v>1.52E-2</v>
      </c>
      <c r="CB88" s="230">
        <v>1202638350</v>
      </c>
      <c r="CC88" s="230">
        <v>2732846625</v>
      </c>
      <c r="CD88" s="230">
        <v>-1530208275</v>
      </c>
      <c r="CE88" s="229">
        <v>-0.55989999999999995</v>
      </c>
      <c r="CF88" s="230">
        <v>5018831550</v>
      </c>
      <c r="CG88" s="230">
        <v>3435588825</v>
      </c>
      <c r="CH88" s="230">
        <v>1583242725</v>
      </c>
      <c r="CI88" s="229">
        <v>0.46079999999999999</v>
      </c>
      <c r="CJ88" s="230">
        <v>155172225</v>
      </c>
      <c r="CK88" s="230">
        <v>113001975</v>
      </c>
      <c r="CL88" s="230">
        <v>42170250</v>
      </c>
      <c r="CM88" s="229">
        <v>0.37319999999999998</v>
      </c>
      <c r="CN88" s="230">
        <v>2429077875</v>
      </c>
      <c r="CO88" s="230">
        <v>2383834200</v>
      </c>
      <c r="CP88" s="230">
        <v>45243675</v>
      </c>
      <c r="CQ88" s="229">
        <v>1.9E-2</v>
      </c>
      <c r="CR88" s="230">
        <v>1895659950</v>
      </c>
      <c r="CS88" s="230">
        <v>1640208300</v>
      </c>
      <c r="CT88" s="230">
        <v>255451650</v>
      </c>
      <c r="CU88" s="229">
        <v>0.15570000000000001</v>
      </c>
      <c r="CV88" s="230">
        <v>10701379950</v>
      </c>
      <c r="CW88" s="230">
        <v>10305479925</v>
      </c>
      <c r="CX88" s="230">
        <v>395900025</v>
      </c>
      <c r="CY88" s="229">
        <v>3.8399999999999997E-2</v>
      </c>
      <c r="CZ88" s="228">
        <v>69.56</v>
      </c>
      <c r="DA88" s="228">
        <v>76.069999999999993</v>
      </c>
      <c r="DB88" s="228">
        <v>-6.51</v>
      </c>
      <c r="DC88" s="228">
        <v>-6.51</v>
      </c>
      <c r="DD88" s="228">
        <v>68.13</v>
      </c>
      <c r="DE88" s="228">
        <v>68.13</v>
      </c>
      <c r="DF88" s="228">
        <v>1.43</v>
      </c>
      <c r="DG88" s="228">
        <v>0</v>
      </c>
      <c r="DH88" s="228">
        <v>70.2</v>
      </c>
      <c r="DI88" s="228">
        <v>74.19</v>
      </c>
      <c r="DJ88" s="228">
        <v>-3.99</v>
      </c>
      <c r="DK88" s="228">
        <v>-3.99</v>
      </c>
      <c r="DL88" s="228">
        <v>67.37</v>
      </c>
      <c r="DM88" s="228">
        <v>79.349999999999994</v>
      </c>
      <c r="DN88" s="228">
        <v>-11.98</v>
      </c>
      <c r="DO88" s="228">
        <v>-11.98</v>
      </c>
      <c r="DP88" s="228">
        <v>0.78</v>
      </c>
      <c r="DQ88" s="228">
        <v>0.69</v>
      </c>
      <c r="DR88" s="228">
        <v>0.09</v>
      </c>
      <c r="DS88" s="229">
        <v>0.13039999999999999</v>
      </c>
      <c r="DT88" s="228">
        <v>11</v>
      </c>
      <c r="DU88" s="228">
        <v>7</v>
      </c>
      <c r="DV88" s="228">
        <v>0.3</v>
      </c>
      <c r="DW88" s="228">
        <v>0.38</v>
      </c>
      <c r="DX88" s="228">
        <v>-0.08</v>
      </c>
      <c r="DY88" s="229">
        <v>-0.21049999999999999</v>
      </c>
      <c r="DZ88" s="229">
        <v>0.81140000000000001</v>
      </c>
      <c r="EA88" s="230">
        <v>3548590800</v>
      </c>
      <c r="EB88" s="229">
        <v>6.0000000000000001E-3</v>
      </c>
      <c r="EC88" s="229">
        <v>0.81140000000000001</v>
      </c>
      <c r="ED88" s="228">
        <v>-7.83</v>
      </c>
      <c r="EE88" s="229">
        <v>-0.43669999999999998</v>
      </c>
      <c r="EF88" s="230">
        <v>529970826</v>
      </c>
      <c r="EG88" s="230">
        <v>234367140</v>
      </c>
      <c r="EH88" s="229">
        <v>1.2613000000000001</v>
      </c>
      <c r="EI88" s="229">
        <v>0.15240000000000001</v>
      </c>
      <c r="EJ88" s="231">
        <v>711316.3</v>
      </c>
      <c r="EK88" s="231">
        <v>192070.84</v>
      </c>
      <c r="EL88" s="231">
        <v>884038.84</v>
      </c>
      <c r="EM88" s="231">
        <v>34437</v>
      </c>
      <c r="EN88" s="231">
        <v>1787425.98</v>
      </c>
      <c r="EO88" s="231">
        <v>654399.81999999995</v>
      </c>
      <c r="EP88" s="231">
        <v>1133026.1599999999</v>
      </c>
      <c r="EQ88" s="229">
        <v>1.7314000000000001</v>
      </c>
      <c r="ER88" s="231">
        <v>258109</v>
      </c>
      <c r="ES88" s="231">
        <v>153690</v>
      </c>
      <c r="ET88" s="231">
        <v>640224</v>
      </c>
      <c r="EU88" s="231">
        <v>8713529091</v>
      </c>
      <c r="EV88" s="231">
        <v>1052023</v>
      </c>
      <c r="EW88" s="231">
        <v>982250</v>
      </c>
      <c r="EX88" s="231">
        <v>69773</v>
      </c>
      <c r="EY88" s="229">
        <v>7.0999999999999994E-2</v>
      </c>
      <c r="EZ88" s="229">
        <v>1.2281</v>
      </c>
      <c r="FA88" s="227" t="s">
        <v>555</v>
      </c>
      <c r="FB88" s="161">
        <f t="shared" si="1"/>
        <v>5174003775</v>
      </c>
    </row>
    <row r="89" spans="1:158" ht="17.25" hidden="1" thickBot="1" x14ac:dyDescent="0.3">
      <c r="A89" s="226">
        <v>45957</v>
      </c>
      <c r="B89" s="227" t="s">
        <v>172</v>
      </c>
      <c r="C89" s="227" t="s">
        <v>235</v>
      </c>
      <c r="D89" s="228">
        <v>9275</v>
      </c>
      <c r="E89" s="228">
        <v>78.13</v>
      </c>
      <c r="F89" s="228">
        <v>78.239999999999995</v>
      </c>
      <c r="G89" s="228">
        <v>-0.11</v>
      </c>
      <c r="H89" s="229">
        <v>-1.4E-3</v>
      </c>
      <c r="I89" s="228">
        <v>78.03</v>
      </c>
      <c r="J89" s="228">
        <v>78.2</v>
      </c>
      <c r="K89" s="228">
        <v>-0.17</v>
      </c>
      <c r="L89" s="229">
        <v>-2.2000000000000001E-3</v>
      </c>
      <c r="M89" s="228">
        <v>78.13</v>
      </c>
      <c r="N89" s="228">
        <v>78.239999999999995</v>
      </c>
      <c r="O89" s="228">
        <v>-0.11</v>
      </c>
      <c r="P89" s="229">
        <v>-1.4E-3</v>
      </c>
      <c r="Q89" s="228">
        <v>78.569999999999993</v>
      </c>
      <c r="R89" s="228">
        <v>78.69</v>
      </c>
      <c r="S89" s="228">
        <v>-0.12</v>
      </c>
      <c r="T89" s="229">
        <v>-1.5E-3</v>
      </c>
      <c r="U89" s="228">
        <v>79.05</v>
      </c>
      <c r="V89" s="228">
        <v>79.27</v>
      </c>
      <c r="W89" s="228">
        <v>-0.22</v>
      </c>
      <c r="X89" s="229">
        <v>-2.8E-3</v>
      </c>
      <c r="Y89" s="228">
        <v>0.1</v>
      </c>
      <c r="Z89" s="228">
        <v>0.04</v>
      </c>
      <c r="AA89" s="228">
        <v>0.06</v>
      </c>
      <c r="AB89" s="229">
        <v>1.2999999999999999E-3</v>
      </c>
      <c r="AC89" s="228">
        <v>0.1</v>
      </c>
      <c r="AD89" s="228">
        <v>0.04</v>
      </c>
      <c r="AE89" s="228">
        <v>0.06</v>
      </c>
      <c r="AF89" s="229">
        <v>1.2999999999999999E-3</v>
      </c>
      <c r="AG89" s="228">
        <v>0.54</v>
      </c>
      <c r="AH89" s="228">
        <v>0.49</v>
      </c>
      <c r="AI89" s="228">
        <v>0.05</v>
      </c>
      <c r="AJ89" s="229">
        <v>6.8999999999999999E-3</v>
      </c>
      <c r="AK89" s="228">
        <v>1.02</v>
      </c>
      <c r="AL89" s="228">
        <v>1.07</v>
      </c>
      <c r="AM89" s="228">
        <v>-0.05</v>
      </c>
      <c r="AN89" s="229">
        <v>1.3100000000000001E-2</v>
      </c>
      <c r="AO89" s="228">
        <v>78.31</v>
      </c>
      <c r="AP89" s="228">
        <v>78.760000000000005</v>
      </c>
      <c r="AQ89" s="228">
        <v>0</v>
      </c>
      <c r="AR89" s="230">
        <v>211367975</v>
      </c>
      <c r="AS89" s="230">
        <v>244832175</v>
      </c>
      <c r="AT89" s="230">
        <v>-33464200</v>
      </c>
      <c r="AU89" s="229">
        <v>-0.13669999999999999</v>
      </c>
      <c r="AV89" s="230">
        <v>97869800</v>
      </c>
      <c r="AW89" s="230">
        <v>121929150</v>
      </c>
      <c r="AX89" s="230">
        <v>-24059350</v>
      </c>
      <c r="AY89" s="229">
        <v>-0.1973</v>
      </c>
      <c r="AZ89" s="230">
        <v>109602675</v>
      </c>
      <c r="BA89" s="230">
        <v>120370950</v>
      </c>
      <c r="BB89" s="230">
        <v>-10768275</v>
      </c>
      <c r="BC89" s="229">
        <v>-8.9499999999999996E-2</v>
      </c>
      <c r="BD89" s="230">
        <v>3895500</v>
      </c>
      <c r="BE89" s="230">
        <v>2532075</v>
      </c>
      <c r="BF89" s="230">
        <v>1363425</v>
      </c>
      <c r="BG89" s="229">
        <v>0.53849999999999998</v>
      </c>
      <c r="BH89" s="230">
        <v>131779200</v>
      </c>
      <c r="BI89" s="230">
        <v>163926350</v>
      </c>
      <c r="BJ89" s="230">
        <v>-32147150</v>
      </c>
      <c r="BK89" s="229">
        <v>-0.1961</v>
      </c>
      <c r="BL89" s="230">
        <v>73986675</v>
      </c>
      <c r="BM89" s="230">
        <v>80182375</v>
      </c>
      <c r="BN89" s="230">
        <v>-6195700</v>
      </c>
      <c r="BO89" s="229">
        <v>-7.7299999999999994E-2</v>
      </c>
      <c r="BP89" s="230">
        <v>417133850</v>
      </c>
      <c r="BQ89" s="230">
        <v>488940900</v>
      </c>
      <c r="BR89" s="230">
        <v>-71807050</v>
      </c>
      <c r="BS89" s="229">
        <v>-0.1469</v>
      </c>
      <c r="BT89" s="230">
        <v>21658219</v>
      </c>
      <c r="BU89" s="230">
        <v>26834980</v>
      </c>
      <c r="BV89" s="230">
        <v>-5176761</v>
      </c>
      <c r="BW89" s="229">
        <v>-0.19289999999999999</v>
      </c>
      <c r="BX89" s="230">
        <v>401106650</v>
      </c>
      <c r="BY89" s="230">
        <v>396710300</v>
      </c>
      <c r="BZ89" s="230">
        <v>4396350</v>
      </c>
      <c r="CA89" s="229">
        <v>1.11E-2</v>
      </c>
      <c r="CB89" s="230">
        <v>57709050</v>
      </c>
      <c r="CC89" s="230">
        <v>129952025</v>
      </c>
      <c r="CD89" s="230">
        <v>-72242975</v>
      </c>
      <c r="CE89" s="229">
        <v>-0.55589999999999995</v>
      </c>
      <c r="CF89" s="230">
        <v>331210250</v>
      </c>
      <c r="CG89" s="230">
        <v>255396400</v>
      </c>
      <c r="CH89" s="230">
        <v>75813850</v>
      </c>
      <c r="CI89" s="229">
        <v>0.29680000000000001</v>
      </c>
      <c r="CJ89" s="230">
        <v>12187350</v>
      </c>
      <c r="CK89" s="230">
        <v>11361875</v>
      </c>
      <c r="CL89" s="230">
        <v>825475</v>
      </c>
      <c r="CM89" s="229">
        <v>7.2700000000000001E-2</v>
      </c>
      <c r="CN89" s="230">
        <v>145506200</v>
      </c>
      <c r="CO89" s="230">
        <v>148659700</v>
      </c>
      <c r="CP89" s="230">
        <v>-3153500</v>
      </c>
      <c r="CQ89" s="229">
        <v>-2.12E-2</v>
      </c>
      <c r="CR89" s="230">
        <v>140905800</v>
      </c>
      <c r="CS89" s="230">
        <v>141221150</v>
      </c>
      <c r="CT89" s="230">
        <v>-315350</v>
      </c>
      <c r="CU89" s="229">
        <v>-2.2000000000000001E-3</v>
      </c>
      <c r="CV89" s="230">
        <v>687518650</v>
      </c>
      <c r="CW89" s="230">
        <v>686591150</v>
      </c>
      <c r="CX89" s="230">
        <v>927500</v>
      </c>
      <c r="CY89" s="229">
        <v>1.4E-3</v>
      </c>
      <c r="CZ89" s="228">
        <v>27.8</v>
      </c>
      <c r="DA89" s="228">
        <v>27.3</v>
      </c>
      <c r="DB89" s="228">
        <v>0.5</v>
      </c>
      <c r="DC89" s="228">
        <v>0.5</v>
      </c>
      <c r="DD89" s="228">
        <v>34.630000000000003</v>
      </c>
      <c r="DE89" s="228">
        <v>34.72</v>
      </c>
      <c r="DF89" s="228">
        <v>-6.83</v>
      </c>
      <c r="DG89" s="228">
        <v>-0.09</v>
      </c>
      <c r="DH89" s="228">
        <v>27.8</v>
      </c>
      <c r="DI89" s="228">
        <v>27.54</v>
      </c>
      <c r="DJ89" s="228">
        <v>0.26</v>
      </c>
      <c r="DK89" s="228">
        <v>0.26</v>
      </c>
      <c r="DL89" s="228">
        <v>27.79</v>
      </c>
      <c r="DM89" s="228">
        <v>26.78</v>
      </c>
      <c r="DN89" s="228">
        <v>1.01</v>
      </c>
      <c r="DO89" s="228">
        <v>1.01</v>
      </c>
      <c r="DP89" s="228">
        <v>0.97</v>
      </c>
      <c r="DQ89" s="228">
        <v>0.95</v>
      </c>
      <c r="DR89" s="228">
        <v>0.02</v>
      </c>
      <c r="DS89" s="229">
        <v>2.1100000000000001E-2</v>
      </c>
      <c r="DT89" s="228">
        <v>80</v>
      </c>
      <c r="DU89" s="228">
        <v>70</v>
      </c>
      <c r="DV89" s="228">
        <v>0.56000000000000005</v>
      </c>
      <c r="DW89" s="228">
        <v>0.49</v>
      </c>
      <c r="DX89" s="228">
        <v>7.0000000000000007E-2</v>
      </c>
      <c r="DY89" s="229">
        <v>0.1429</v>
      </c>
      <c r="DZ89" s="229">
        <v>0.85609999999999997</v>
      </c>
      <c r="EA89" s="230">
        <v>266758275</v>
      </c>
      <c r="EB89" s="229">
        <v>5.5999999999999999E-3</v>
      </c>
      <c r="EC89" s="229">
        <v>0.85609999999999997</v>
      </c>
      <c r="ED89" s="228">
        <v>0.45</v>
      </c>
      <c r="EE89" s="229">
        <v>5.7000000000000002E-3</v>
      </c>
      <c r="EF89" s="230">
        <v>10880120</v>
      </c>
      <c r="EG89" s="230">
        <v>11710373</v>
      </c>
      <c r="EH89" s="229">
        <v>-7.0900000000000005E-2</v>
      </c>
      <c r="EI89" s="229">
        <v>0.50239999999999996</v>
      </c>
      <c r="EJ89" s="231">
        <v>106216.74</v>
      </c>
      <c r="EK89" s="231">
        <v>57322.09</v>
      </c>
      <c r="EL89" s="231">
        <v>166053.82</v>
      </c>
      <c r="EM89" s="231">
        <v>22287</v>
      </c>
      <c r="EN89" s="231">
        <v>329592.65000000002</v>
      </c>
      <c r="EO89" s="231">
        <v>387886.45</v>
      </c>
      <c r="EP89" s="231">
        <v>-58293.8</v>
      </c>
      <c r="EQ89" s="229">
        <v>-0.15029999999999999</v>
      </c>
      <c r="ER89" s="231">
        <v>114385</v>
      </c>
      <c r="ES89" s="231">
        <v>101795</v>
      </c>
      <c r="ET89" s="231">
        <v>314954</v>
      </c>
      <c r="EU89" s="231">
        <v>761294821</v>
      </c>
      <c r="EV89" s="231">
        <v>531134</v>
      </c>
      <c r="EW89" s="231">
        <v>530142</v>
      </c>
      <c r="EX89" s="228">
        <v>992</v>
      </c>
      <c r="EY89" s="229">
        <v>1.9E-3</v>
      </c>
      <c r="EZ89" s="229">
        <v>0.90310000000000001</v>
      </c>
      <c r="FA89" s="227" t="s">
        <v>567</v>
      </c>
      <c r="FB89" s="161">
        <f t="shared" si="1"/>
        <v>343397600</v>
      </c>
    </row>
    <row r="90" spans="1:158" ht="17.25" hidden="1" thickBot="1" x14ac:dyDescent="0.3">
      <c r="A90" s="226">
        <v>45957</v>
      </c>
      <c r="B90" s="227" t="s">
        <v>161</v>
      </c>
      <c r="C90" s="227" t="s">
        <v>514</v>
      </c>
      <c r="D90" s="228">
        <v>3750</v>
      </c>
      <c r="E90" s="228">
        <v>147.16</v>
      </c>
      <c r="F90" s="228">
        <v>147.38</v>
      </c>
      <c r="G90" s="228">
        <v>-0.22</v>
      </c>
      <c r="H90" s="229">
        <v>-1.5E-3</v>
      </c>
      <c r="I90" s="228">
        <v>147.13999999999999</v>
      </c>
      <c r="J90" s="228">
        <v>147.05000000000001</v>
      </c>
      <c r="K90" s="228">
        <v>0.09</v>
      </c>
      <c r="L90" s="229">
        <v>5.9999999999999995E-4</v>
      </c>
      <c r="M90" s="228">
        <v>147.16</v>
      </c>
      <c r="N90" s="228">
        <v>147.38</v>
      </c>
      <c r="O90" s="228">
        <v>-0.22</v>
      </c>
      <c r="P90" s="229">
        <v>-1.5E-3</v>
      </c>
      <c r="Q90" s="228">
        <v>148.02000000000001</v>
      </c>
      <c r="R90" s="228">
        <v>148.19</v>
      </c>
      <c r="S90" s="228">
        <v>-0.17</v>
      </c>
      <c r="T90" s="229">
        <v>-1.1000000000000001E-3</v>
      </c>
      <c r="U90" s="228">
        <v>148.88999999999999</v>
      </c>
      <c r="V90" s="228">
        <v>148.94</v>
      </c>
      <c r="W90" s="228">
        <v>-0.05</v>
      </c>
      <c r="X90" s="229">
        <v>-2.9999999999999997E-4</v>
      </c>
      <c r="Y90" s="228">
        <v>0.02</v>
      </c>
      <c r="Z90" s="228">
        <v>0.33</v>
      </c>
      <c r="AA90" s="228">
        <v>-0.31</v>
      </c>
      <c r="AB90" s="229">
        <v>1E-4</v>
      </c>
      <c r="AC90" s="228">
        <v>0.02</v>
      </c>
      <c r="AD90" s="228">
        <v>0.33</v>
      </c>
      <c r="AE90" s="228">
        <v>-0.31</v>
      </c>
      <c r="AF90" s="229">
        <v>1E-4</v>
      </c>
      <c r="AG90" s="228">
        <v>0.88</v>
      </c>
      <c r="AH90" s="228">
        <v>1.1399999999999999</v>
      </c>
      <c r="AI90" s="228">
        <v>-0.26</v>
      </c>
      <c r="AJ90" s="229">
        <v>6.0000000000000001E-3</v>
      </c>
      <c r="AK90" s="228">
        <v>1.75</v>
      </c>
      <c r="AL90" s="228">
        <v>1.89</v>
      </c>
      <c r="AM90" s="228">
        <v>-0.14000000000000001</v>
      </c>
      <c r="AN90" s="229">
        <v>1.1900000000000001E-2</v>
      </c>
      <c r="AO90" s="228">
        <v>147.49</v>
      </c>
      <c r="AP90" s="228">
        <v>148.33000000000001</v>
      </c>
      <c r="AQ90" s="228">
        <v>0</v>
      </c>
      <c r="AR90" s="230">
        <v>43736250</v>
      </c>
      <c r="AS90" s="230">
        <v>61353750</v>
      </c>
      <c r="AT90" s="230">
        <v>-17617500</v>
      </c>
      <c r="AU90" s="229">
        <v>-0.28710000000000002</v>
      </c>
      <c r="AV90" s="230">
        <v>19173750</v>
      </c>
      <c r="AW90" s="230">
        <v>29426250</v>
      </c>
      <c r="AX90" s="230">
        <v>-10252500</v>
      </c>
      <c r="AY90" s="229">
        <v>-0.34839999999999999</v>
      </c>
      <c r="AZ90" s="230">
        <v>23707500</v>
      </c>
      <c r="BA90" s="230">
        <v>31286250</v>
      </c>
      <c r="BB90" s="230">
        <v>-7578750</v>
      </c>
      <c r="BC90" s="229">
        <v>-0.2422</v>
      </c>
      <c r="BD90" s="230">
        <v>855000</v>
      </c>
      <c r="BE90" s="230">
        <v>641250</v>
      </c>
      <c r="BF90" s="230">
        <v>213750</v>
      </c>
      <c r="BG90" s="229">
        <v>0.33329999999999999</v>
      </c>
      <c r="BH90" s="230">
        <v>53951250</v>
      </c>
      <c r="BI90" s="230">
        <v>109976250</v>
      </c>
      <c r="BJ90" s="230">
        <v>-56025000</v>
      </c>
      <c r="BK90" s="229">
        <v>-0.50939999999999996</v>
      </c>
      <c r="BL90" s="230">
        <v>21476250</v>
      </c>
      <c r="BM90" s="230">
        <v>47238750</v>
      </c>
      <c r="BN90" s="230">
        <v>-25762500</v>
      </c>
      <c r="BO90" s="229">
        <v>-0.5454</v>
      </c>
      <c r="BP90" s="230">
        <v>119163750</v>
      </c>
      <c r="BQ90" s="230">
        <v>218568750</v>
      </c>
      <c r="BR90" s="230">
        <v>-99405000</v>
      </c>
      <c r="BS90" s="229">
        <v>-0.45479999999999998</v>
      </c>
      <c r="BT90" s="230">
        <v>8174511</v>
      </c>
      <c r="BU90" s="230">
        <v>13590476</v>
      </c>
      <c r="BV90" s="230">
        <v>-5415965</v>
      </c>
      <c r="BW90" s="229">
        <v>-0.39850000000000002</v>
      </c>
      <c r="BX90" s="230">
        <v>73053750</v>
      </c>
      <c r="BY90" s="230">
        <v>71730000</v>
      </c>
      <c r="BZ90" s="230">
        <v>1323750</v>
      </c>
      <c r="CA90" s="229">
        <v>1.8499999999999999E-2</v>
      </c>
      <c r="CB90" s="230">
        <v>12157500</v>
      </c>
      <c r="CC90" s="230">
        <v>23681250</v>
      </c>
      <c r="CD90" s="230">
        <v>-11523750</v>
      </c>
      <c r="CE90" s="229">
        <v>-0.48659999999999998</v>
      </c>
      <c r="CF90" s="230">
        <v>59643750</v>
      </c>
      <c r="CG90" s="230">
        <v>46755000</v>
      </c>
      <c r="CH90" s="230">
        <v>12888750</v>
      </c>
      <c r="CI90" s="229">
        <v>0.2757</v>
      </c>
      <c r="CJ90" s="230">
        <v>1252500</v>
      </c>
      <c r="CK90" s="230">
        <v>1293750</v>
      </c>
      <c r="CL90" s="230">
        <v>-41250</v>
      </c>
      <c r="CM90" s="229">
        <v>-3.1899999999999998E-2</v>
      </c>
      <c r="CN90" s="230">
        <v>38883750</v>
      </c>
      <c r="CO90" s="230">
        <v>34923750</v>
      </c>
      <c r="CP90" s="230">
        <v>3960000</v>
      </c>
      <c r="CQ90" s="229">
        <v>0.1134</v>
      </c>
      <c r="CR90" s="230">
        <v>27405000</v>
      </c>
      <c r="CS90" s="230">
        <v>26797500</v>
      </c>
      <c r="CT90" s="230">
        <v>607500</v>
      </c>
      <c r="CU90" s="229">
        <v>2.2700000000000001E-2</v>
      </c>
      <c r="CV90" s="230">
        <v>139342500</v>
      </c>
      <c r="CW90" s="230">
        <v>133451250</v>
      </c>
      <c r="CX90" s="230">
        <v>5891250</v>
      </c>
      <c r="CY90" s="229">
        <v>4.41E-2</v>
      </c>
      <c r="CZ90" s="228">
        <v>43.63</v>
      </c>
      <c r="DA90" s="228">
        <v>41.09</v>
      </c>
      <c r="DB90" s="228">
        <v>2.54</v>
      </c>
      <c r="DC90" s="228">
        <v>2.54</v>
      </c>
      <c r="DD90" s="228">
        <v>56.72</v>
      </c>
      <c r="DE90" s="228">
        <v>56.87</v>
      </c>
      <c r="DF90" s="228">
        <v>-13.09</v>
      </c>
      <c r="DG90" s="228">
        <v>-0.15</v>
      </c>
      <c r="DH90" s="228">
        <v>43.55</v>
      </c>
      <c r="DI90" s="228">
        <v>41.06</v>
      </c>
      <c r="DJ90" s="228">
        <v>2.4900000000000002</v>
      </c>
      <c r="DK90" s="228">
        <v>2.4900000000000002</v>
      </c>
      <c r="DL90" s="228">
        <v>43.86</v>
      </c>
      <c r="DM90" s="228">
        <v>41.15</v>
      </c>
      <c r="DN90" s="228">
        <v>2.71</v>
      </c>
      <c r="DO90" s="228">
        <v>2.71</v>
      </c>
      <c r="DP90" s="228">
        <v>0.7</v>
      </c>
      <c r="DQ90" s="228">
        <v>0.77</v>
      </c>
      <c r="DR90" s="228">
        <v>-7.0000000000000007E-2</v>
      </c>
      <c r="DS90" s="229">
        <v>-9.0899999999999995E-2</v>
      </c>
      <c r="DT90" s="228">
        <v>150</v>
      </c>
      <c r="DU90" s="228">
        <v>140</v>
      </c>
      <c r="DV90" s="228">
        <v>0.4</v>
      </c>
      <c r="DW90" s="228">
        <v>0.43</v>
      </c>
      <c r="DX90" s="228">
        <v>-0.03</v>
      </c>
      <c r="DY90" s="229">
        <v>-6.9800000000000001E-2</v>
      </c>
      <c r="DZ90" s="229">
        <v>0.83360000000000001</v>
      </c>
      <c r="EA90" s="230">
        <v>48048750</v>
      </c>
      <c r="EB90" s="229">
        <v>5.7999999999999996E-3</v>
      </c>
      <c r="EC90" s="229">
        <v>0.83360000000000001</v>
      </c>
      <c r="ED90" s="228">
        <v>0.84</v>
      </c>
      <c r="EE90" s="229">
        <v>5.7000000000000002E-3</v>
      </c>
      <c r="EF90" s="230">
        <v>3640890</v>
      </c>
      <c r="EG90" s="230">
        <v>4380773</v>
      </c>
      <c r="EH90" s="229">
        <v>-0.16889999999999999</v>
      </c>
      <c r="EI90" s="229">
        <v>0.44540000000000002</v>
      </c>
      <c r="EJ90" s="231">
        <v>83457.48</v>
      </c>
      <c r="EK90" s="231">
        <v>32090.09</v>
      </c>
      <c r="EL90" s="231">
        <v>64721.41</v>
      </c>
      <c r="EM90" s="231">
        <v>9684</v>
      </c>
      <c r="EN90" s="231">
        <v>180268.98</v>
      </c>
      <c r="EO90" s="231">
        <v>327246.28000000003</v>
      </c>
      <c r="EP90" s="231">
        <v>-146977.29999999999</v>
      </c>
      <c r="EQ90" s="229">
        <v>-0.4491</v>
      </c>
      <c r="ER90" s="231">
        <v>58670</v>
      </c>
      <c r="ES90" s="231">
        <v>38721</v>
      </c>
      <c r="ET90" s="231">
        <v>108041</v>
      </c>
      <c r="EU90" s="231">
        <v>133395043</v>
      </c>
      <c r="EV90" s="231">
        <v>205431</v>
      </c>
      <c r="EW90" s="231">
        <v>196088</v>
      </c>
      <c r="EX90" s="231">
        <v>9343</v>
      </c>
      <c r="EY90" s="229">
        <v>4.7600000000000003E-2</v>
      </c>
      <c r="EZ90" s="229">
        <v>1.0446</v>
      </c>
      <c r="FA90" s="227" t="s">
        <v>567</v>
      </c>
      <c r="FB90" s="161">
        <f t="shared" si="1"/>
        <v>60896250</v>
      </c>
    </row>
    <row r="91" spans="1:158" ht="17.25" hidden="1" thickBot="1" x14ac:dyDescent="0.3">
      <c r="A91" s="226">
        <v>45957</v>
      </c>
      <c r="B91" s="227" t="s">
        <v>193</v>
      </c>
      <c r="C91" s="227" t="s">
        <v>236</v>
      </c>
      <c r="D91" s="228">
        <v>2750</v>
      </c>
      <c r="E91" s="228">
        <v>213.88</v>
      </c>
      <c r="F91" s="228">
        <v>211.56</v>
      </c>
      <c r="G91" s="228">
        <v>2.3199999999999998</v>
      </c>
      <c r="H91" s="229">
        <v>1.0999999999999999E-2</v>
      </c>
      <c r="I91" s="228">
        <v>213.47</v>
      </c>
      <c r="J91" s="228">
        <v>211.16</v>
      </c>
      <c r="K91" s="228">
        <v>2.31</v>
      </c>
      <c r="L91" s="229">
        <v>1.09E-2</v>
      </c>
      <c r="M91" s="228">
        <v>213.88</v>
      </c>
      <c r="N91" s="228">
        <v>211.56</v>
      </c>
      <c r="O91" s="228">
        <v>2.3199999999999998</v>
      </c>
      <c r="P91" s="229">
        <v>1.0999999999999999E-2</v>
      </c>
      <c r="Q91" s="228">
        <v>213.21</v>
      </c>
      <c r="R91" s="228">
        <v>210.63</v>
      </c>
      <c r="S91" s="228">
        <v>2.58</v>
      </c>
      <c r="T91" s="229">
        <v>1.2200000000000001E-2</v>
      </c>
      <c r="U91" s="228">
        <v>0</v>
      </c>
      <c r="V91" s="228">
        <v>0</v>
      </c>
      <c r="W91" s="228">
        <v>0</v>
      </c>
      <c r="X91" s="229">
        <v>0</v>
      </c>
      <c r="Y91" s="228">
        <v>0.41</v>
      </c>
      <c r="Z91" s="228">
        <v>0.4</v>
      </c>
      <c r="AA91" s="228">
        <v>0.01</v>
      </c>
      <c r="AB91" s="229">
        <v>1.9E-3</v>
      </c>
      <c r="AC91" s="228">
        <v>0.41</v>
      </c>
      <c r="AD91" s="228">
        <v>0.4</v>
      </c>
      <c r="AE91" s="228">
        <v>0.01</v>
      </c>
      <c r="AF91" s="229">
        <v>1.9E-3</v>
      </c>
      <c r="AG91" s="228">
        <v>-0.26</v>
      </c>
      <c r="AH91" s="228">
        <v>-0.53</v>
      </c>
      <c r="AI91" s="228">
        <v>0.27</v>
      </c>
      <c r="AJ91" s="229">
        <v>-1.1999999999999999E-3</v>
      </c>
      <c r="AK91" s="228">
        <v>0</v>
      </c>
      <c r="AL91" s="228">
        <v>0</v>
      </c>
      <c r="AM91" s="228">
        <v>0</v>
      </c>
      <c r="AN91" s="229">
        <v>0</v>
      </c>
      <c r="AO91" s="228">
        <v>213.62</v>
      </c>
      <c r="AP91" s="228">
        <v>212.91</v>
      </c>
      <c r="AQ91" s="228">
        <v>0</v>
      </c>
      <c r="AR91" s="230">
        <v>13378750</v>
      </c>
      <c r="AS91" s="230">
        <v>13378750</v>
      </c>
      <c r="AT91" s="228">
        <v>0</v>
      </c>
      <c r="AU91" s="229">
        <v>0</v>
      </c>
      <c r="AV91" s="230">
        <v>6985000</v>
      </c>
      <c r="AW91" s="230">
        <v>7378250</v>
      </c>
      <c r="AX91" s="230">
        <v>-393250</v>
      </c>
      <c r="AY91" s="229">
        <v>-5.33E-2</v>
      </c>
      <c r="AZ91" s="230">
        <v>6393750</v>
      </c>
      <c r="BA91" s="230">
        <v>6000500</v>
      </c>
      <c r="BB91" s="230">
        <v>393250</v>
      </c>
      <c r="BC91" s="229">
        <v>6.5500000000000003E-2</v>
      </c>
      <c r="BD91" s="228">
        <v>0</v>
      </c>
      <c r="BE91" s="228">
        <v>0</v>
      </c>
      <c r="BF91" s="228">
        <v>0</v>
      </c>
      <c r="BG91" s="229">
        <v>0</v>
      </c>
      <c r="BH91" s="230">
        <v>16062750</v>
      </c>
      <c r="BI91" s="230">
        <v>15746500</v>
      </c>
      <c r="BJ91" s="230">
        <v>316250</v>
      </c>
      <c r="BK91" s="229">
        <v>2.01E-2</v>
      </c>
      <c r="BL91" s="230">
        <v>5442250</v>
      </c>
      <c r="BM91" s="230">
        <v>6305750</v>
      </c>
      <c r="BN91" s="230">
        <v>-863500</v>
      </c>
      <c r="BO91" s="229">
        <v>-0.13689999999999999</v>
      </c>
      <c r="BP91" s="230">
        <v>34883750</v>
      </c>
      <c r="BQ91" s="230">
        <v>35431000</v>
      </c>
      <c r="BR91" s="230">
        <v>-547250</v>
      </c>
      <c r="BS91" s="229">
        <v>-1.54E-2</v>
      </c>
      <c r="BT91" s="230">
        <v>1637112</v>
      </c>
      <c r="BU91" s="230">
        <v>2090135</v>
      </c>
      <c r="BV91" s="230">
        <v>-453023</v>
      </c>
      <c r="BW91" s="229">
        <v>-0.2167</v>
      </c>
      <c r="BX91" s="230">
        <v>20971500</v>
      </c>
      <c r="BY91" s="230">
        <v>21026500</v>
      </c>
      <c r="BZ91" s="230">
        <v>-55000</v>
      </c>
      <c r="CA91" s="229">
        <v>-2.5999999999999999E-3</v>
      </c>
      <c r="CB91" s="230">
        <v>7771500</v>
      </c>
      <c r="CC91" s="230">
        <v>10804750</v>
      </c>
      <c r="CD91" s="230">
        <v>-3033250</v>
      </c>
      <c r="CE91" s="229">
        <v>-0.28070000000000001</v>
      </c>
      <c r="CF91" s="230">
        <v>13200000</v>
      </c>
      <c r="CG91" s="230">
        <v>10221750</v>
      </c>
      <c r="CH91" s="230">
        <v>2978250</v>
      </c>
      <c r="CI91" s="229">
        <v>0.29139999999999999</v>
      </c>
      <c r="CJ91" s="228">
        <v>0</v>
      </c>
      <c r="CK91" s="228">
        <v>0</v>
      </c>
      <c r="CL91" s="228">
        <v>0</v>
      </c>
      <c r="CM91" s="229">
        <v>0</v>
      </c>
      <c r="CN91" s="230">
        <v>17630250</v>
      </c>
      <c r="CO91" s="230">
        <v>18832000</v>
      </c>
      <c r="CP91" s="230">
        <v>-1201750</v>
      </c>
      <c r="CQ91" s="229">
        <v>-6.3799999999999996E-2</v>
      </c>
      <c r="CR91" s="230">
        <v>9347250</v>
      </c>
      <c r="CS91" s="230">
        <v>9842250</v>
      </c>
      <c r="CT91" s="230">
        <v>-495000</v>
      </c>
      <c r="CU91" s="229">
        <v>-5.0299999999999997E-2</v>
      </c>
      <c r="CV91" s="230">
        <v>47949000</v>
      </c>
      <c r="CW91" s="230">
        <v>49700750</v>
      </c>
      <c r="CX91" s="230">
        <v>-1751750</v>
      </c>
      <c r="CY91" s="229">
        <v>-3.5200000000000002E-2</v>
      </c>
      <c r="CZ91" s="228">
        <v>30.98</v>
      </c>
      <c r="DA91" s="228">
        <v>29.81</v>
      </c>
      <c r="DB91" s="228">
        <v>1.17</v>
      </c>
      <c r="DC91" s="228">
        <v>1.17</v>
      </c>
      <c r="DD91" s="228">
        <v>41.87</v>
      </c>
      <c r="DE91" s="228">
        <v>41.95</v>
      </c>
      <c r="DF91" s="228">
        <v>-10.89</v>
      </c>
      <c r="DG91" s="228">
        <v>-0.08</v>
      </c>
      <c r="DH91" s="228">
        <v>31.42</v>
      </c>
      <c r="DI91" s="228">
        <v>30.31</v>
      </c>
      <c r="DJ91" s="228">
        <v>1.1100000000000001</v>
      </c>
      <c r="DK91" s="228">
        <v>1.1100000000000001</v>
      </c>
      <c r="DL91" s="228">
        <v>29.71</v>
      </c>
      <c r="DM91" s="228">
        <v>29</v>
      </c>
      <c r="DN91" s="228">
        <v>0.71</v>
      </c>
      <c r="DO91" s="228">
        <v>0.71</v>
      </c>
      <c r="DP91" s="228">
        <v>0.53</v>
      </c>
      <c r="DQ91" s="228">
        <v>0.52</v>
      </c>
      <c r="DR91" s="228">
        <v>0.01</v>
      </c>
      <c r="DS91" s="229">
        <v>1.9199999999999998E-2</v>
      </c>
      <c r="DT91" s="228">
        <v>220</v>
      </c>
      <c r="DU91" s="228">
        <v>200</v>
      </c>
      <c r="DV91" s="228">
        <v>0.34</v>
      </c>
      <c r="DW91" s="228">
        <v>0.4</v>
      </c>
      <c r="DX91" s="228">
        <v>-0.06</v>
      </c>
      <c r="DY91" s="229">
        <v>-0.15</v>
      </c>
      <c r="DZ91" s="229">
        <v>0.62939999999999996</v>
      </c>
      <c r="EA91" s="230">
        <v>10221750</v>
      </c>
      <c r="EB91" s="229">
        <v>-3.0999999999999999E-3</v>
      </c>
      <c r="EC91" s="229">
        <v>0.62939999999999996</v>
      </c>
      <c r="ED91" s="228">
        <v>-0.71</v>
      </c>
      <c r="EE91" s="229">
        <v>-3.3E-3</v>
      </c>
      <c r="EF91" s="230">
        <v>719401</v>
      </c>
      <c r="EG91" s="230">
        <v>1134372</v>
      </c>
      <c r="EH91" s="229">
        <v>-0.36580000000000001</v>
      </c>
      <c r="EI91" s="229">
        <v>0.43940000000000001</v>
      </c>
      <c r="EJ91" s="231">
        <v>35914.370000000003</v>
      </c>
      <c r="EK91" s="231">
        <v>11572.4</v>
      </c>
      <c r="EL91" s="231">
        <v>28534.55</v>
      </c>
      <c r="EM91" s="231">
        <v>3267</v>
      </c>
      <c r="EN91" s="231">
        <v>76021.320000000007</v>
      </c>
      <c r="EO91" s="231">
        <v>76441.84</v>
      </c>
      <c r="EP91" s="228">
        <v>-420.52</v>
      </c>
      <c r="EQ91" s="229">
        <v>-5.4999999999999997E-3</v>
      </c>
      <c r="ER91" s="231">
        <v>39675</v>
      </c>
      <c r="ES91" s="231">
        <v>19352</v>
      </c>
      <c r="ET91" s="231">
        <v>44765</v>
      </c>
      <c r="EU91" s="231">
        <v>94000476</v>
      </c>
      <c r="EV91" s="231">
        <v>103793</v>
      </c>
      <c r="EW91" s="231">
        <v>106996</v>
      </c>
      <c r="EX91" s="231">
        <v>-3203</v>
      </c>
      <c r="EY91" s="229">
        <v>-2.9899999999999999E-2</v>
      </c>
      <c r="EZ91" s="229">
        <v>0.5101</v>
      </c>
      <c r="FA91" s="227" t="s">
        <v>556</v>
      </c>
      <c r="FB91" s="161">
        <f t="shared" si="1"/>
        <v>13200000</v>
      </c>
    </row>
    <row r="92" spans="1:158" ht="17.25" hidden="1" thickBot="1" x14ac:dyDescent="0.3">
      <c r="A92" s="226">
        <v>45957</v>
      </c>
      <c r="B92" s="227" t="s">
        <v>175</v>
      </c>
      <c r="C92" s="227" t="s">
        <v>667</v>
      </c>
      <c r="D92" s="228">
        <v>1650</v>
      </c>
      <c r="E92" s="228">
        <v>505.75</v>
      </c>
      <c r="F92" s="228">
        <v>490.25</v>
      </c>
      <c r="G92" s="228">
        <v>15.5</v>
      </c>
      <c r="H92" s="229">
        <v>3.1600000000000003E-2</v>
      </c>
      <c r="I92" s="228">
        <v>505.35</v>
      </c>
      <c r="J92" s="228">
        <v>489.8</v>
      </c>
      <c r="K92" s="228">
        <v>15.55</v>
      </c>
      <c r="L92" s="229">
        <v>3.1699999999999999E-2</v>
      </c>
      <c r="M92" s="228">
        <v>505.75</v>
      </c>
      <c r="N92" s="228">
        <v>490.25</v>
      </c>
      <c r="O92" s="228">
        <v>15.5</v>
      </c>
      <c r="P92" s="229">
        <v>3.1600000000000003E-2</v>
      </c>
      <c r="Q92" s="228">
        <v>508.65</v>
      </c>
      <c r="R92" s="228">
        <v>493.1</v>
      </c>
      <c r="S92" s="228">
        <v>15.55</v>
      </c>
      <c r="T92" s="229">
        <v>3.15E-2</v>
      </c>
      <c r="U92" s="228">
        <v>511.45</v>
      </c>
      <c r="V92" s="228">
        <v>496.1</v>
      </c>
      <c r="W92" s="228">
        <v>15.35</v>
      </c>
      <c r="X92" s="229">
        <v>3.09E-2</v>
      </c>
      <c r="Y92" s="228">
        <v>0.4</v>
      </c>
      <c r="Z92" s="228">
        <v>0.45</v>
      </c>
      <c r="AA92" s="228">
        <v>-0.05</v>
      </c>
      <c r="AB92" s="229">
        <v>8.0000000000000004E-4</v>
      </c>
      <c r="AC92" s="228">
        <v>0.4</v>
      </c>
      <c r="AD92" s="228">
        <v>0.45</v>
      </c>
      <c r="AE92" s="228">
        <v>-0.05</v>
      </c>
      <c r="AF92" s="229">
        <v>8.0000000000000004E-4</v>
      </c>
      <c r="AG92" s="228">
        <v>3.3</v>
      </c>
      <c r="AH92" s="228">
        <v>3.3</v>
      </c>
      <c r="AI92" s="228">
        <v>0</v>
      </c>
      <c r="AJ92" s="229">
        <v>6.4999999999999997E-3</v>
      </c>
      <c r="AK92" s="228">
        <v>6.1</v>
      </c>
      <c r="AL92" s="228">
        <v>6.3</v>
      </c>
      <c r="AM92" s="228">
        <v>-0.2</v>
      </c>
      <c r="AN92" s="229">
        <v>1.21E-2</v>
      </c>
      <c r="AO92" s="228">
        <v>501.3</v>
      </c>
      <c r="AP92" s="228">
        <v>504.53</v>
      </c>
      <c r="AQ92" s="228">
        <v>0</v>
      </c>
      <c r="AR92" s="230">
        <v>14879700</v>
      </c>
      <c r="AS92" s="230">
        <v>12584550</v>
      </c>
      <c r="AT92" s="230">
        <v>2295150</v>
      </c>
      <c r="AU92" s="229">
        <v>0.18240000000000001</v>
      </c>
      <c r="AV92" s="230">
        <v>6098400</v>
      </c>
      <c r="AW92" s="230">
        <v>6200700</v>
      </c>
      <c r="AX92" s="230">
        <v>-102300</v>
      </c>
      <c r="AY92" s="229">
        <v>-1.6500000000000001E-2</v>
      </c>
      <c r="AZ92" s="230">
        <v>8702100</v>
      </c>
      <c r="BA92" s="230">
        <v>6375600</v>
      </c>
      <c r="BB92" s="230">
        <v>2326500</v>
      </c>
      <c r="BC92" s="229">
        <v>0.3649</v>
      </c>
      <c r="BD92" s="230">
        <v>79200</v>
      </c>
      <c r="BE92" s="230">
        <v>8250</v>
      </c>
      <c r="BF92" s="230">
        <v>70950</v>
      </c>
      <c r="BG92" s="229">
        <v>8.6</v>
      </c>
      <c r="BH92" s="230">
        <v>11492250</v>
      </c>
      <c r="BI92" s="230">
        <v>3077250</v>
      </c>
      <c r="BJ92" s="230">
        <v>8415000</v>
      </c>
      <c r="BK92" s="229">
        <v>2.7345999999999999</v>
      </c>
      <c r="BL92" s="230">
        <v>3857700</v>
      </c>
      <c r="BM92" s="230">
        <v>1610400</v>
      </c>
      <c r="BN92" s="230">
        <v>2247300</v>
      </c>
      <c r="BO92" s="229">
        <v>1.3955</v>
      </c>
      <c r="BP92" s="230">
        <v>30229650</v>
      </c>
      <c r="BQ92" s="230">
        <v>17272200</v>
      </c>
      <c r="BR92" s="230">
        <v>12957450</v>
      </c>
      <c r="BS92" s="229">
        <v>0.75019999999999998</v>
      </c>
      <c r="BT92" s="230">
        <v>1755387</v>
      </c>
      <c r="BU92" s="230">
        <v>521898</v>
      </c>
      <c r="BV92" s="230">
        <v>1233489</v>
      </c>
      <c r="BW92" s="229">
        <v>2.3635000000000002</v>
      </c>
      <c r="BX92" s="230">
        <v>16217850</v>
      </c>
      <c r="BY92" s="230">
        <v>15681600</v>
      </c>
      <c r="BZ92" s="230">
        <v>536250</v>
      </c>
      <c r="CA92" s="229">
        <v>3.4200000000000001E-2</v>
      </c>
      <c r="CB92" s="230">
        <v>1981650</v>
      </c>
      <c r="CC92" s="230">
        <v>5700750</v>
      </c>
      <c r="CD92" s="230">
        <v>-3719100</v>
      </c>
      <c r="CE92" s="229">
        <v>-0.65239999999999998</v>
      </c>
      <c r="CF92" s="230">
        <v>14107500</v>
      </c>
      <c r="CG92" s="230">
        <v>9890100</v>
      </c>
      <c r="CH92" s="230">
        <v>4217400</v>
      </c>
      <c r="CI92" s="229">
        <v>0.4264</v>
      </c>
      <c r="CJ92" s="230">
        <v>128700</v>
      </c>
      <c r="CK92" s="230">
        <v>90750</v>
      </c>
      <c r="CL92" s="230">
        <v>37950</v>
      </c>
      <c r="CM92" s="229">
        <v>0.41820000000000002</v>
      </c>
      <c r="CN92" s="230">
        <v>4928550</v>
      </c>
      <c r="CO92" s="230">
        <v>4281750</v>
      </c>
      <c r="CP92" s="230">
        <v>646800</v>
      </c>
      <c r="CQ92" s="229">
        <v>0.15110000000000001</v>
      </c>
      <c r="CR92" s="230">
        <v>2988150</v>
      </c>
      <c r="CS92" s="230">
        <v>2928750</v>
      </c>
      <c r="CT92" s="230">
        <v>59400</v>
      </c>
      <c r="CU92" s="229">
        <v>2.0299999999999999E-2</v>
      </c>
      <c r="CV92" s="230">
        <v>24134550</v>
      </c>
      <c r="CW92" s="230">
        <v>22892100</v>
      </c>
      <c r="CX92" s="230">
        <v>1242450</v>
      </c>
      <c r="CY92" s="229">
        <v>5.4300000000000001E-2</v>
      </c>
      <c r="CZ92" s="228">
        <v>38.22</v>
      </c>
      <c r="DA92" s="228">
        <v>35.99</v>
      </c>
      <c r="DB92" s="228">
        <v>2.23</v>
      </c>
      <c r="DC92" s="228">
        <v>2.23</v>
      </c>
      <c r="DD92" s="228">
        <v>51.91</v>
      </c>
      <c r="DE92" s="228">
        <v>51.87</v>
      </c>
      <c r="DF92" s="228">
        <v>-13.69</v>
      </c>
      <c r="DG92" s="228">
        <v>0.04</v>
      </c>
      <c r="DH92" s="228">
        <v>38.08</v>
      </c>
      <c r="DI92" s="228">
        <v>36.26</v>
      </c>
      <c r="DJ92" s="228">
        <v>1.82</v>
      </c>
      <c r="DK92" s="228">
        <v>1.82</v>
      </c>
      <c r="DL92" s="228">
        <v>39.049999999999997</v>
      </c>
      <c r="DM92" s="228">
        <v>35.25</v>
      </c>
      <c r="DN92" s="228">
        <v>3.8</v>
      </c>
      <c r="DO92" s="228">
        <v>3.8</v>
      </c>
      <c r="DP92" s="228">
        <v>0.61</v>
      </c>
      <c r="DQ92" s="228">
        <v>0.68</v>
      </c>
      <c r="DR92" s="228">
        <v>-7.0000000000000007E-2</v>
      </c>
      <c r="DS92" s="229">
        <v>-0.10290000000000001</v>
      </c>
      <c r="DT92" s="228">
        <v>520</v>
      </c>
      <c r="DU92" s="228">
        <v>480</v>
      </c>
      <c r="DV92" s="228">
        <v>0.34</v>
      </c>
      <c r="DW92" s="228">
        <v>0.52</v>
      </c>
      <c r="DX92" s="228">
        <v>-0.18</v>
      </c>
      <c r="DY92" s="229">
        <v>-0.34620000000000001</v>
      </c>
      <c r="DZ92" s="229">
        <v>0.87780000000000002</v>
      </c>
      <c r="EA92" s="230">
        <v>9980850</v>
      </c>
      <c r="EB92" s="229">
        <v>5.7000000000000002E-3</v>
      </c>
      <c r="EC92" s="229">
        <v>0.87780000000000002</v>
      </c>
      <c r="ED92" s="228">
        <v>3.23</v>
      </c>
      <c r="EE92" s="229">
        <v>6.4000000000000003E-3</v>
      </c>
      <c r="EF92" s="230">
        <v>696156</v>
      </c>
      <c r="EG92" s="230">
        <v>222447</v>
      </c>
      <c r="EH92" s="229">
        <v>2.1295000000000002</v>
      </c>
      <c r="EI92" s="229">
        <v>0.39660000000000001</v>
      </c>
      <c r="EJ92" s="231">
        <v>59864.94</v>
      </c>
      <c r="EK92" s="231">
        <v>19049.580000000002</v>
      </c>
      <c r="EL92" s="231">
        <v>74877</v>
      </c>
      <c r="EM92" s="231">
        <v>4357</v>
      </c>
      <c r="EN92" s="231">
        <v>153791.51999999999</v>
      </c>
      <c r="EO92" s="231">
        <v>85510.2</v>
      </c>
      <c r="EP92" s="231">
        <v>68281.320000000007</v>
      </c>
      <c r="EQ92" s="229">
        <v>0.79849999999999999</v>
      </c>
      <c r="ER92" s="231">
        <v>24989</v>
      </c>
      <c r="ES92" s="231">
        <v>13977</v>
      </c>
      <c r="ET92" s="231">
        <v>82438</v>
      </c>
      <c r="EU92" s="231">
        <v>47888370</v>
      </c>
      <c r="EV92" s="231">
        <v>121404</v>
      </c>
      <c r="EW92" s="231">
        <v>112376</v>
      </c>
      <c r="EX92" s="231">
        <v>9028</v>
      </c>
      <c r="EY92" s="229">
        <v>8.0299999999999996E-2</v>
      </c>
      <c r="EZ92" s="229">
        <v>0.504</v>
      </c>
      <c r="FA92" s="227" t="s">
        <v>555</v>
      </c>
      <c r="FB92" s="161">
        <f t="shared" si="1"/>
        <v>14236200</v>
      </c>
    </row>
    <row r="93" spans="1:158" ht="17.25" hidden="1" thickBot="1" x14ac:dyDescent="0.3">
      <c r="A93" s="226">
        <v>45957</v>
      </c>
      <c r="B93" s="227" t="s">
        <v>206</v>
      </c>
      <c r="C93" s="227" t="s">
        <v>501</v>
      </c>
      <c r="D93" s="228">
        <v>1000</v>
      </c>
      <c r="E93" s="228">
        <v>746.45</v>
      </c>
      <c r="F93" s="228">
        <v>735</v>
      </c>
      <c r="G93" s="228">
        <v>11.45</v>
      </c>
      <c r="H93" s="229">
        <v>1.5599999999999999E-2</v>
      </c>
      <c r="I93" s="228">
        <v>746.55</v>
      </c>
      <c r="J93" s="228">
        <v>735.9</v>
      </c>
      <c r="K93" s="228">
        <v>10.65</v>
      </c>
      <c r="L93" s="229">
        <v>1.4500000000000001E-2</v>
      </c>
      <c r="M93" s="228">
        <v>746.45</v>
      </c>
      <c r="N93" s="228">
        <v>735</v>
      </c>
      <c r="O93" s="228">
        <v>11.45</v>
      </c>
      <c r="P93" s="229">
        <v>1.5599999999999999E-2</v>
      </c>
      <c r="Q93" s="228">
        <v>750.8</v>
      </c>
      <c r="R93" s="228">
        <v>739.05</v>
      </c>
      <c r="S93" s="228">
        <v>11.75</v>
      </c>
      <c r="T93" s="229">
        <v>1.5900000000000001E-2</v>
      </c>
      <c r="U93" s="228">
        <v>756</v>
      </c>
      <c r="V93" s="228">
        <v>744.5</v>
      </c>
      <c r="W93" s="228">
        <v>11.5</v>
      </c>
      <c r="X93" s="229">
        <v>1.54E-2</v>
      </c>
      <c r="Y93" s="228">
        <v>-0.1</v>
      </c>
      <c r="Z93" s="228">
        <v>-0.9</v>
      </c>
      <c r="AA93" s="228">
        <v>0.8</v>
      </c>
      <c r="AB93" s="229">
        <v>-1E-4</v>
      </c>
      <c r="AC93" s="228">
        <v>-0.1</v>
      </c>
      <c r="AD93" s="228">
        <v>-0.9</v>
      </c>
      <c r="AE93" s="228">
        <v>0.8</v>
      </c>
      <c r="AF93" s="229">
        <v>-1E-4</v>
      </c>
      <c r="AG93" s="228">
        <v>4.25</v>
      </c>
      <c r="AH93" s="228">
        <v>3.15</v>
      </c>
      <c r="AI93" s="228">
        <v>1.1000000000000001</v>
      </c>
      <c r="AJ93" s="229">
        <v>5.7000000000000002E-3</v>
      </c>
      <c r="AK93" s="228">
        <v>9.4499999999999993</v>
      </c>
      <c r="AL93" s="228">
        <v>8.6</v>
      </c>
      <c r="AM93" s="228">
        <v>0.85</v>
      </c>
      <c r="AN93" s="229">
        <v>1.2699999999999999E-2</v>
      </c>
      <c r="AO93" s="228">
        <v>743.04</v>
      </c>
      <c r="AP93" s="228">
        <v>747.13</v>
      </c>
      <c r="AQ93" s="228">
        <v>0</v>
      </c>
      <c r="AR93" s="230">
        <v>21954000</v>
      </c>
      <c r="AS93" s="230">
        <v>17485000</v>
      </c>
      <c r="AT93" s="230">
        <v>4469000</v>
      </c>
      <c r="AU93" s="229">
        <v>0.25559999999999999</v>
      </c>
      <c r="AV93" s="230">
        <v>10987000</v>
      </c>
      <c r="AW93" s="230">
        <v>8866000</v>
      </c>
      <c r="AX93" s="230">
        <v>2121000</v>
      </c>
      <c r="AY93" s="229">
        <v>0.2392</v>
      </c>
      <c r="AZ93" s="230">
        <v>10776000</v>
      </c>
      <c r="BA93" s="230">
        <v>8549000</v>
      </c>
      <c r="BB93" s="230">
        <v>2227000</v>
      </c>
      <c r="BC93" s="229">
        <v>0.26050000000000001</v>
      </c>
      <c r="BD93" s="230">
        <v>191000</v>
      </c>
      <c r="BE93" s="230">
        <v>70000</v>
      </c>
      <c r="BF93" s="230">
        <v>121000</v>
      </c>
      <c r="BG93" s="229">
        <v>1.7285999999999999</v>
      </c>
      <c r="BH93" s="230">
        <v>14545000</v>
      </c>
      <c r="BI93" s="230">
        <v>12349000</v>
      </c>
      <c r="BJ93" s="230">
        <v>2196000</v>
      </c>
      <c r="BK93" s="229">
        <v>0.17780000000000001</v>
      </c>
      <c r="BL93" s="230">
        <v>8953000</v>
      </c>
      <c r="BM93" s="230">
        <v>6176000</v>
      </c>
      <c r="BN93" s="230">
        <v>2777000</v>
      </c>
      <c r="BO93" s="229">
        <v>0.4496</v>
      </c>
      <c r="BP93" s="230">
        <v>45452000</v>
      </c>
      <c r="BQ93" s="230">
        <v>36010000</v>
      </c>
      <c r="BR93" s="230">
        <v>9442000</v>
      </c>
      <c r="BS93" s="229">
        <v>0.26219999999999999</v>
      </c>
      <c r="BT93" s="230">
        <v>1671033</v>
      </c>
      <c r="BU93" s="230">
        <v>1730274</v>
      </c>
      <c r="BV93" s="230">
        <v>-59241</v>
      </c>
      <c r="BW93" s="229">
        <v>-3.4200000000000001E-2</v>
      </c>
      <c r="BX93" s="230">
        <v>27369000</v>
      </c>
      <c r="BY93" s="230">
        <v>28834000</v>
      </c>
      <c r="BZ93" s="230">
        <v>-1465000</v>
      </c>
      <c r="CA93" s="229">
        <v>-5.0799999999999998E-2</v>
      </c>
      <c r="CB93" s="230">
        <v>4532000</v>
      </c>
      <c r="CC93" s="230">
        <v>13937000</v>
      </c>
      <c r="CD93" s="230">
        <v>-9405000</v>
      </c>
      <c r="CE93" s="229">
        <v>-0.67479999999999996</v>
      </c>
      <c r="CF93" s="230">
        <v>22481000</v>
      </c>
      <c r="CG93" s="230">
        <v>14629000</v>
      </c>
      <c r="CH93" s="230">
        <v>7852000</v>
      </c>
      <c r="CI93" s="229">
        <v>0.53669999999999995</v>
      </c>
      <c r="CJ93" s="230">
        <v>356000</v>
      </c>
      <c r="CK93" s="230">
        <v>268000</v>
      </c>
      <c r="CL93" s="230">
        <v>88000</v>
      </c>
      <c r="CM93" s="229">
        <v>0.32840000000000003</v>
      </c>
      <c r="CN93" s="230">
        <v>9274000</v>
      </c>
      <c r="CO93" s="230">
        <v>11576000</v>
      </c>
      <c r="CP93" s="230">
        <v>-2302000</v>
      </c>
      <c r="CQ93" s="229">
        <v>-0.19889999999999999</v>
      </c>
      <c r="CR93" s="230">
        <v>7078000</v>
      </c>
      <c r="CS93" s="230">
        <v>6960000</v>
      </c>
      <c r="CT93" s="230">
        <v>118000</v>
      </c>
      <c r="CU93" s="229">
        <v>1.7000000000000001E-2</v>
      </c>
      <c r="CV93" s="230">
        <v>43721000</v>
      </c>
      <c r="CW93" s="230">
        <v>47370000</v>
      </c>
      <c r="CX93" s="230">
        <v>-3649000</v>
      </c>
      <c r="CY93" s="229">
        <v>-7.6999999999999999E-2</v>
      </c>
      <c r="CZ93" s="228">
        <v>23.71</v>
      </c>
      <c r="DA93" s="228">
        <v>24.73</v>
      </c>
      <c r="DB93" s="228">
        <v>-1.02</v>
      </c>
      <c r="DC93" s="228">
        <v>-1.02</v>
      </c>
      <c r="DD93" s="228">
        <v>35.11</v>
      </c>
      <c r="DE93" s="228">
        <v>35.15</v>
      </c>
      <c r="DF93" s="228">
        <v>-11.4</v>
      </c>
      <c r="DG93" s="228">
        <v>-0.04</v>
      </c>
      <c r="DH93" s="228">
        <v>24.04</v>
      </c>
      <c r="DI93" s="228">
        <v>24.91</v>
      </c>
      <c r="DJ93" s="228">
        <v>-0.87</v>
      </c>
      <c r="DK93" s="228">
        <v>-0.87</v>
      </c>
      <c r="DL93" s="228">
        <v>23.37</v>
      </c>
      <c r="DM93" s="228">
        <v>24.51</v>
      </c>
      <c r="DN93" s="228">
        <v>-1.1399999999999999</v>
      </c>
      <c r="DO93" s="228">
        <v>-1.1399999999999999</v>
      </c>
      <c r="DP93" s="228">
        <v>0.76</v>
      </c>
      <c r="DQ93" s="228">
        <v>0.6</v>
      </c>
      <c r="DR93" s="228">
        <v>0.16</v>
      </c>
      <c r="DS93" s="229">
        <v>0.26669999999999999</v>
      </c>
      <c r="DT93" s="228">
        <v>800</v>
      </c>
      <c r="DU93" s="228">
        <v>700</v>
      </c>
      <c r="DV93" s="228">
        <v>0.62</v>
      </c>
      <c r="DW93" s="228">
        <v>0.5</v>
      </c>
      <c r="DX93" s="228">
        <v>0.12</v>
      </c>
      <c r="DY93" s="229">
        <v>0.24</v>
      </c>
      <c r="DZ93" s="229">
        <v>0.83440000000000003</v>
      </c>
      <c r="EA93" s="230">
        <v>14897000</v>
      </c>
      <c r="EB93" s="229">
        <v>5.7999999999999996E-3</v>
      </c>
      <c r="EC93" s="229">
        <v>0.83440000000000003</v>
      </c>
      <c r="ED93" s="228">
        <v>4.09</v>
      </c>
      <c r="EE93" s="229">
        <v>5.4999999999999997E-3</v>
      </c>
      <c r="EF93" s="230">
        <v>1116455</v>
      </c>
      <c r="EG93" s="230">
        <v>1003058</v>
      </c>
      <c r="EH93" s="229">
        <v>0.11310000000000001</v>
      </c>
      <c r="EI93" s="229">
        <v>0.66810000000000003</v>
      </c>
      <c r="EJ93" s="231">
        <v>111368.19</v>
      </c>
      <c r="EK93" s="231">
        <v>66857.990000000005</v>
      </c>
      <c r="EL93" s="231">
        <v>163584.65</v>
      </c>
      <c r="EM93" s="231">
        <v>9094</v>
      </c>
      <c r="EN93" s="231">
        <v>341810.83</v>
      </c>
      <c r="EO93" s="231">
        <v>269155.76</v>
      </c>
      <c r="EP93" s="231">
        <v>72655.070000000007</v>
      </c>
      <c r="EQ93" s="229">
        <v>0.26989999999999997</v>
      </c>
      <c r="ER93" s="231">
        <v>71552</v>
      </c>
      <c r="ES93" s="231">
        <v>52042</v>
      </c>
      <c r="ET93" s="231">
        <v>205308</v>
      </c>
      <c r="EU93" s="231">
        <v>111956321</v>
      </c>
      <c r="EV93" s="231">
        <v>328902</v>
      </c>
      <c r="EW93" s="231">
        <v>352745</v>
      </c>
      <c r="EX93" s="231">
        <v>-23843</v>
      </c>
      <c r="EY93" s="229">
        <v>-6.7599999999999993E-2</v>
      </c>
      <c r="EZ93" s="229">
        <v>0.39050000000000001</v>
      </c>
      <c r="FA93" s="227" t="s">
        <v>556</v>
      </c>
      <c r="FB93" s="161">
        <f t="shared" si="1"/>
        <v>22837000</v>
      </c>
    </row>
    <row r="94" spans="1:158" ht="17.25" hidden="1" thickBot="1" x14ac:dyDescent="0.3">
      <c r="A94" s="226">
        <v>45957</v>
      </c>
      <c r="B94" s="227" t="s">
        <v>172</v>
      </c>
      <c r="C94" s="227" t="s">
        <v>578</v>
      </c>
      <c r="D94" s="228">
        <v>1000</v>
      </c>
      <c r="E94" s="228">
        <v>829.9</v>
      </c>
      <c r="F94" s="228">
        <v>820.05</v>
      </c>
      <c r="G94" s="228">
        <v>9.85</v>
      </c>
      <c r="H94" s="229">
        <v>1.2E-2</v>
      </c>
      <c r="I94" s="228">
        <v>825.85</v>
      </c>
      <c r="J94" s="228">
        <v>820.05</v>
      </c>
      <c r="K94" s="228">
        <v>5.8</v>
      </c>
      <c r="L94" s="229">
        <v>7.1000000000000004E-3</v>
      </c>
      <c r="M94" s="228">
        <v>829.9</v>
      </c>
      <c r="N94" s="228">
        <v>820.05</v>
      </c>
      <c r="O94" s="228">
        <v>9.85</v>
      </c>
      <c r="P94" s="229">
        <v>1.2E-2</v>
      </c>
      <c r="Q94" s="228">
        <v>834.1</v>
      </c>
      <c r="R94" s="228">
        <v>822.85</v>
      </c>
      <c r="S94" s="228">
        <v>11.25</v>
      </c>
      <c r="T94" s="229">
        <v>1.37E-2</v>
      </c>
      <c r="U94" s="228">
        <v>834.9</v>
      </c>
      <c r="V94" s="228">
        <v>821</v>
      </c>
      <c r="W94" s="228">
        <v>13.9</v>
      </c>
      <c r="X94" s="229">
        <v>1.6899999999999998E-2</v>
      </c>
      <c r="Y94" s="228">
        <v>4.05</v>
      </c>
      <c r="Z94" s="228">
        <v>0</v>
      </c>
      <c r="AA94" s="228">
        <v>4.05</v>
      </c>
      <c r="AB94" s="229">
        <v>4.8999999999999998E-3</v>
      </c>
      <c r="AC94" s="228">
        <v>4.05</v>
      </c>
      <c r="AD94" s="228">
        <v>0</v>
      </c>
      <c r="AE94" s="228">
        <v>4.05</v>
      </c>
      <c r="AF94" s="229">
        <v>4.8999999999999998E-3</v>
      </c>
      <c r="AG94" s="228">
        <v>8.25</v>
      </c>
      <c r="AH94" s="228">
        <v>2.8</v>
      </c>
      <c r="AI94" s="228">
        <v>5.45</v>
      </c>
      <c r="AJ94" s="229">
        <v>0.01</v>
      </c>
      <c r="AK94" s="228">
        <v>9.0500000000000007</v>
      </c>
      <c r="AL94" s="228">
        <v>0.95</v>
      </c>
      <c r="AM94" s="228">
        <v>8.1</v>
      </c>
      <c r="AN94" s="229">
        <v>1.0999999999999999E-2</v>
      </c>
      <c r="AO94" s="228">
        <v>828.4</v>
      </c>
      <c r="AP94" s="228">
        <v>831.59</v>
      </c>
      <c r="AQ94" s="228">
        <v>0</v>
      </c>
      <c r="AR94" s="230">
        <v>7443000</v>
      </c>
      <c r="AS94" s="230">
        <v>8511000</v>
      </c>
      <c r="AT94" s="230">
        <v>-1068000</v>
      </c>
      <c r="AU94" s="229">
        <v>-0.1255</v>
      </c>
      <c r="AV94" s="230">
        <v>3257000</v>
      </c>
      <c r="AW94" s="230">
        <v>4337000</v>
      </c>
      <c r="AX94" s="230">
        <v>-1080000</v>
      </c>
      <c r="AY94" s="229">
        <v>-0.249</v>
      </c>
      <c r="AZ94" s="230">
        <v>4151000</v>
      </c>
      <c r="BA94" s="230">
        <v>4162000</v>
      </c>
      <c r="BB94" s="230">
        <v>-11000</v>
      </c>
      <c r="BC94" s="229">
        <v>-2.5999999999999999E-3</v>
      </c>
      <c r="BD94" s="230">
        <v>35000</v>
      </c>
      <c r="BE94" s="230">
        <v>12000</v>
      </c>
      <c r="BF94" s="230">
        <v>23000</v>
      </c>
      <c r="BG94" s="229">
        <v>1.9167000000000001</v>
      </c>
      <c r="BH94" s="230">
        <v>8255000</v>
      </c>
      <c r="BI94" s="230">
        <v>9084000</v>
      </c>
      <c r="BJ94" s="230">
        <v>-829000</v>
      </c>
      <c r="BK94" s="229">
        <v>-9.1300000000000006E-2</v>
      </c>
      <c r="BL94" s="230">
        <v>5029000</v>
      </c>
      <c r="BM94" s="230">
        <v>5795000</v>
      </c>
      <c r="BN94" s="230">
        <v>-766000</v>
      </c>
      <c r="BO94" s="229">
        <v>-0.13220000000000001</v>
      </c>
      <c r="BP94" s="230">
        <v>20727000</v>
      </c>
      <c r="BQ94" s="230">
        <v>23390000</v>
      </c>
      <c r="BR94" s="230">
        <v>-2663000</v>
      </c>
      <c r="BS94" s="229">
        <v>-0.1139</v>
      </c>
      <c r="BT94" s="230">
        <v>1886598</v>
      </c>
      <c r="BU94" s="230">
        <v>1816453</v>
      </c>
      <c r="BV94" s="230">
        <v>70145</v>
      </c>
      <c r="BW94" s="229">
        <v>3.8600000000000002E-2</v>
      </c>
      <c r="BX94" s="230">
        <v>8944000</v>
      </c>
      <c r="BY94" s="230">
        <v>8856000</v>
      </c>
      <c r="BZ94" s="230">
        <v>88000</v>
      </c>
      <c r="CA94" s="229">
        <v>9.9000000000000008E-3</v>
      </c>
      <c r="CB94" s="230">
        <v>1632000</v>
      </c>
      <c r="CC94" s="230">
        <v>3247000</v>
      </c>
      <c r="CD94" s="230">
        <v>-1615000</v>
      </c>
      <c r="CE94" s="229">
        <v>-0.49740000000000001</v>
      </c>
      <c r="CF94" s="230">
        <v>7255000</v>
      </c>
      <c r="CG94" s="230">
        <v>5567000</v>
      </c>
      <c r="CH94" s="230">
        <v>1688000</v>
      </c>
      <c r="CI94" s="229">
        <v>0.30320000000000003</v>
      </c>
      <c r="CJ94" s="230">
        <v>57000</v>
      </c>
      <c r="CK94" s="230">
        <v>42000</v>
      </c>
      <c r="CL94" s="230">
        <v>15000</v>
      </c>
      <c r="CM94" s="229">
        <v>0.35709999999999997</v>
      </c>
      <c r="CN94" s="230">
        <v>3986000</v>
      </c>
      <c r="CO94" s="230">
        <v>4448000</v>
      </c>
      <c r="CP94" s="230">
        <v>-462000</v>
      </c>
      <c r="CQ94" s="229">
        <v>-0.10390000000000001</v>
      </c>
      <c r="CR94" s="230">
        <v>4740000</v>
      </c>
      <c r="CS94" s="230">
        <v>4901000</v>
      </c>
      <c r="CT94" s="230">
        <v>-161000</v>
      </c>
      <c r="CU94" s="229">
        <v>-3.2899999999999999E-2</v>
      </c>
      <c r="CV94" s="230">
        <v>17670000</v>
      </c>
      <c r="CW94" s="230">
        <v>18205000</v>
      </c>
      <c r="CX94" s="230">
        <v>-535000</v>
      </c>
      <c r="CY94" s="229">
        <v>-2.9399999999999999E-2</v>
      </c>
      <c r="CZ94" s="228">
        <v>27.43</v>
      </c>
      <c r="DA94" s="228">
        <v>27.36</v>
      </c>
      <c r="DB94" s="228">
        <v>7.0000000000000007E-2</v>
      </c>
      <c r="DC94" s="228">
        <v>7.0000000000000007E-2</v>
      </c>
      <c r="DD94" s="228">
        <v>38.159999999999997</v>
      </c>
      <c r="DE94" s="228">
        <v>38.24</v>
      </c>
      <c r="DF94" s="228">
        <v>-10.73</v>
      </c>
      <c r="DG94" s="228">
        <v>-0.08</v>
      </c>
      <c r="DH94" s="228">
        <v>27.86</v>
      </c>
      <c r="DI94" s="228">
        <v>27.38</v>
      </c>
      <c r="DJ94" s="228">
        <v>0.48</v>
      </c>
      <c r="DK94" s="228">
        <v>0.48</v>
      </c>
      <c r="DL94" s="228">
        <v>26.66</v>
      </c>
      <c r="DM94" s="228">
        <v>27.34</v>
      </c>
      <c r="DN94" s="228">
        <v>-0.68</v>
      </c>
      <c r="DO94" s="228">
        <v>-0.68</v>
      </c>
      <c r="DP94" s="228">
        <v>1.19</v>
      </c>
      <c r="DQ94" s="228">
        <v>1.1000000000000001</v>
      </c>
      <c r="DR94" s="228">
        <v>0.09</v>
      </c>
      <c r="DS94" s="229">
        <v>8.1799999999999998E-2</v>
      </c>
      <c r="DT94" s="228">
        <v>840</v>
      </c>
      <c r="DU94" s="228">
        <v>800</v>
      </c>
      <c r="DV94" s="228">
        <v>0.61</v>
      </c>
      <c r="DW94" s="228">
        <v>0.64</v>
      </c>
      <c r="DX94" s="228">
        <v>-0.03</v>
      </c>
      <c r="DY94" s="229">
        <v>-4.6899999999999997E-2</v>
      </c>
      <c r="DZ94" s="229">
        <v>0.8175</v>
      </c>
      <c r="EA94" s="230">
        <v>5609000</v>
      </c>
      <c r="EB94" s="229">
        <v>5.1000000000000004E-3</v>
      </c>
      <c r="EC94" s="229">
        <v>0.8175</v>
      </c>
      <c r="ED94" s="228">
        <v>3.19</v>
      </c>
      <c r="EE94" s="229">
        <v>3.8999999999999998E-3</v>
      </c>
      <c r="EF94" s="230">
        <v>1106563</v>
      </c>
      <c r="EG94" s="230">
        <v>788304</v>
      </c>
      <c r="EH94" s="229">
        <v>0.4037</v>
      </c>
      <c r="EI94" s="229">
        <v>0.58650000000000002</v>
      </c>
      <c r="EJ94" s="231">
        <v>70164.14</v>
      </c>
      <c r="EK94" s="231">
        <v>40845.339999999997</v>
      </c>
      <c r="EL94" s="231">
        <v>61790.85</v>
      </c>
      <c r="EM94" s="231">
        <v>5308</v>
      </c>
      <c r="EN94" s="231">
        <v>172800.33</v>
      </c>
      <c r="EO94" s="231">
        <v>193389.88</v>
      </c>
      <c r="EP94" s="231">
        <v>-20589.55</v>
      </c>
      <c r="EQ94" s="229">
        <v>-0.1065</v>
      </c>
      <c r="ER94" s="231">
        <v>32441</v>
      </c>
      <c r="ES94" s="231">
        <v>36299</v>
      </c>
      <c r="ET94" s="231">
        <v>74534</v>
      </c>
      <c r="EU94" s="231">
        <v>52862157</v>
      </c>
      <c r="EV94" s="231">
        <v>143274</v>
      </c>
      <c r="EW94" s="231">
        <v>146357</v>
      </c>
      <c r="EX94" s="231">
        <v>-3083</v>
      </c>
      <c r="EY94" s="229">
        <v>-2.1100000000000001E-2</v>
      </c>
      <c r="EZ94" s="229">
        <v>0.33429999999999999</v>
      </c>
      <c r="FA94" s="227" t="s">
        <v>555</v>
      </c>
      <c r="FB94" s="161">
        <f t="shared" si="1"/>
        <v>7312000</v>
      </c>
    </row>
    <row r="95" spans="1:158" ht="17.25" hidden="1" thickBot="1" x14ac:dyDescent="0.3">
      <c r="A95" s="226">
        <v>45957</v>
      </c>
      <c r="B95" s="227" t="s">
        <v>181</v>
      </c>
      <c r="C95" s="227" t="s">
        <v>689</v>
      </c>
      <c r="D95" s="228">
        <v>1</v>
      </c>
      <c r="E95" s="228">
        <v>11.86</v>
      </c>
      <c r="F95" s="228">
        <v>11.59</v>
      </c>
      <c r="G95" s="228">
        <v>0.27</v>
      </c>
      <c r="H95" s="229">
        <v>2.3099999999999999E-2</v>
      </c>
      <c r="I95" s="228">
        <v>11.86</v>
      </c>
      <c r="J95" s="228">
        <v>11.59</v>
      </c>
      <c r="K95" s="228">
        <v>0.27</v>
      </c>
      <c r="L95" s="229">
        <v>2.3099999999999999E-2</v>
      </c>
      <c r="M95" s="228">
        <v>0</v>
      </c>
      <c r="N95" s="228">
        <v>0</v>
      </c>
      <c r="O95" s="228">
        <v>0</v>
      </c>
      <c r="P95" s="229">
        <v>0</v>
      </c>
      <c r="Q95" s="228">
        <v>0</v>
      </c>
      <c r="R95" s="228">
        <v>0</v>
      </c>
      <c r="S95" s="228">
        <v>0</v>
      </c>
      <c r="T95" s="229">
        <v>0</v>
      </c>
      <c r="U95" s="228">
        <v>0</v>
      </c>
      <c r="V95" s="228">
        <v>0</v>
      </c>
      <c r="W95" s="228">
        <v>0</v>
      </c>
      <c r="X95" s="229">
        <v>0</v>
      </c>
      <c r="Y95" s="228">
        <v>0</v>
      </c>
      <c r="Z95" s="228">
        <v>0</v>
      </c>
      <c r="AA95" s="228">
        <v>0</v>
      </c>
      <c r="AB95" s="229">
        <v>0</v>
      </c>
      <c r="AC95" s="228">
        <v>0</v>
      </c>
      <c r="AD95" s="228">
        <v>0</v>
      </c>
      <c r="AE95" s="228">
        <v>0</v>
      </c>
      <c r="AF95" s="229">
        <v>0</v>
      </c>
      <c r="AG95" s="228">
        <v>0</v>
      </c>
      <c r="AH95" s="228">
        <v>0</v>
      </c>
      <c r="AI95" s="228">
        <v>0</v>
      </c>
      <c r="AJ95" s="229">
        <v>0</v>
      </c>
      <c r="AK95" s="228">
        <v>0</v>
      </c>
      <c r="AL95" s="228">
        <v>0</v>
      </c>
      <c r="AM95" s="228">
        <v>0</v>
      </c>
      <c r="AN95" s="229">
        <v>0</v>
      </c>
      <c r="AO95" s="228">
        <v>0</v>
      </c>
      <c r="AP95" s="228">
        <v>0</v>
      </c>
      <c r="AQ95" s="228">
        <v>0</v>
      </c>
      <c r="AR95" s="228">
        <v>0</v>
      </c>
      <c r="AS95" s="228">
        <v>0</v>
      </c>
      <c r="AT95" s="228">
        <v>0</v>
      </c>
      <c r="AU95" s="229">
        <v>0</v>
      </c>
      <c r="AV95" s="228">
        <v>0</v>
      </c>
      <c r="AW95" s="228">
        <v>0</v>
      </c>
      <c r="AX95" s="228">
        <v>0</v>
      </c>
      <c r="AY95" s="229">
        <v>0</v>
      </c>
      <c r="AZ95" s="228">
        <v>0</v>
      </c>
      <c r="BA95" s="228">
        <v>0</v>
      </c>
      <c r="BB95" s="228">
        <v>0</v>
      </c>
      <c r="BC95" s="229">
        <v>0</v>
      </c>
      <c r="BD95" s="228">
        <v>0</v>
      </c>
      <c r="BE95" s="228">
        <v>0</v>
      </c>
      <c r="BF95" s="228">
        <v>0</v>
      </c>
      <c r="BG95" s="229">
        <v>0</v>
      </c>
      <c r="BH95" s="228">
        <v>0</v>
      </c>
      <c r="BI95" s="228">
        <v>0</v>
      </c>
      <c r="BJ95" s="228">
        <v>0</v>
      </c>
      <c r="BK95" s="229">
        <v>0</v>
      </c>
      <c r="BL95" s="228">
        <v>0</v>
      </c>
      <c r="BM95" s="228">
        <v>0</v>
      </c>
      <c r="BN95" s="228">
        <v>0</v>
      </c>
      <c r="BO95" s="229">
        <v>0</v>
      </c>
      <c r="BP95" s="228">
        <v>0</v>
      </c>
      <c r="BQ95" s="228">
        <v>0</v>
      </c>
      <c r="BR95" s="228">
        <v>0</v>
      </c>
      <c r="BS95" s="229">
        <v>0</v>
      </c>
      <c r="BT95" s="228">
        <v>0</v>
      </c>
      <c r="BU95" s="228">
        <v>0</v>
      </c>
      <c r="BV95" s="228">
        <v>0</v>
      </c>
      <c r="BW95" s="229">
        <v>0</v>
      </c>
      <c r="BX95" s="228">
        <v>0</v>
      </c>
      <c r="BY95" s="228">
        <v>0</v>
      </c>
      <c r="BZ95" s="228">
        <v>0</v>
      </c>
      <c r="CA95" s="229">
        <v>0</v>
      </c>
      <c r="CB95" s="228">
        <v>0</v>
      </c>
      <c r="CC95" s="228">
        <v>0</v>
      </c>
      <c r="CD95" s="228">
        <v>0</v>
      </c>
      <c r="CE95" s="229">
        <v>0</v>
      </c>
      <c r="CF95" s="228">
        <v>0</v>
      </c>
      <c r="CG95" s="228">
        <v>0</v>
      </c>
      <c r="CH95" s="228">
        <v>0</v>
      </c>
      <c r="CI95" s="229">
        <v>0</v>
      </c>
      <c r="CJ95" s="228">
        <v>0</v>
      </c>
      <c r="CK95" s="228">
        <v>0</v>
      </c>
      <c r="CL95" s="228">
        <v>0</v>
      </c>
      <c r="CM95" s="229">
        <v>0</v>
      </c>
      <c r="CN95" s="228">
        <v>0</v>
      </c>
      <c r="CO95" s="228">
        <v>0</v>
      </c>
      <c r="CP95" s="228">
        <v>0</v>
      </c>
      <c r="CQ95" s="229">
        <v>0</v>
      </c>
      <c r="CR95" s="228">
        <v>0</v>
      </c>
      <c r="CS95" s="228">
        <v>0</v>
      </c>
      <c r="CT95" s="228">
        <v>0</v>
      </c>
      <c r="CU95" s="229">
        <v>0</v>
      </c>
      <c r="CV95" s="228">
        <v>0</v>
      </c>
      <c r="CW95" s="228">
        <v>0</v>
      </c>
      <c r="CX95" s="228">
        <v>0</v>
      </c>
      <c r="CY95" s="229">
        <v>0</v>
      </c>
      <c r="CZ95" s="228">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9">
        <v>0</v>
      </c>
      <c r="DT95" s="228">
        <v>0</v>
      </c>
      <c r="DU95" s="228">
        <v>0</v>
      </c>
      <c r="DV95" s="228">
        <v>0</v>
      </c>
      <c r="DW95" s="228">
        <v>0</v>
      </c>
      <c r="DX95" s="228">
        <v>0</v>
      </c>
      <c r="DY95" s="229">
        <v>0</v>
      </c>
      <c r="DZ95" s="229">
        <v>0</v>
      </c>
      <c r="EA95" s="228">
        <v>0</v>
      </c>
      <c r="EB95" s="229">
        <v>0</v>
      </c>
      <c r="EC95" s="229">
        <v>0</v>
      </c>
      <c r="ED95" s="228">
        <v>0</v>
      </c>
      <c r="EE95" s="229">
        <v>0</v>
      </c>
      <c r="EF95" s="228">
        <v>0</v>
      </c>
      <c r="EG95" s="228">
        <v>0</v>
      </c>
      <c r="EH95" s="229">
        <v>0</v>
      </c>
      <c r="EI95" s="229">
        <v>0</v>
      </c>
      <c r="EJ95" s="228">
        <v>0</v>
      </c>
      <c r="EK95" s="228">
        <v>0</v>
      </c>
      <c r="EL95" s="228">
        <v>0</v>
      </c>
      <c r="EM95" s="228">
        <v>0</v>
      </c>
      <c r="EN95" s="228">
        <v>0</v>
      </c>
      <c r="EO95" s="228">
        <v>0</v>
      </c>
      <c r="EP95" s="228">
        <v>0</v>
      </c>
      <c r="EQ95" s="229">
        <v>0</v>
      </c>
      <c r="ER95" s="228">
        <v>0</v>
      </c>
      <c r="ES95" s="228">
        <v>0</v>
      </c>
      <c r="ET95" s="228">
        <v>0</v>
      </c>
      <c r="EU95" s="228">
        <v>0</v>
      </c>
      <c r="EV95" s="228">
        <v>0</v>
      </c>
      <c r="EW95" s="228">
        <v>0</v>
      </c>
      <c r="EX95" s="228">
        <v>0</v>
      </c>
      <c r="EY95" s="229">
        <v>0</v>
      </c>
      <c r="EZ95" s="229">
        <v>0</v>
      </c>
      <c r="FA95" s="227" t="s">
        <v>237</v>
      </c>
      <c r="FB95" s="161">
        <f t="shared" si="1"/>
        <v>0</v>
      </c>
    </row>
    <row r="96" spans="1:158" ht="17.25" hidden="1" thickBot="1" x14ac:dyDescent="0.3">
      <c r="A96" s="226">
        <v>45957</v>
      </c>
      <c r="B96" s="227" t="s">
        <v>215</v>
      </c>
      <c r="C96" s="227" t="s">
        <v>238</v>
      </c>
      <c r="D96" s="228">
        <v>150</v>
      </c>
      <c r="E96" s="231">
        <v>5836.5</v>
      </c>
      <c r="F96" s="231">
        <v>5765</v>
      </c>
      <c r="G96" s="228">
        <v>71.5</v>
      </c>
      <c r="H96" s="229">
        <v>1.24E-2</v>
      </c>
      <c r="I96" s="231">
        <v>5835</v>
      </c>
      <c r="J96" s="231">
        <v>5779</v>
      </c>
      <c r="K96" s="228">
        <v>56</v>
      </c>
      <c r="L96" s="229">
        <v>9.7000000000000003E-3</v>
      </c>
      <c r="M96" s="231">
        <v>5836.5</v>
      </c>
      <c r="N96" s="231">
        <v>5765</v>
      </c>
      <c r="O96" s="228">
        <v>71.5</v>
      </c>
      <c r="P96" s="229">
        <v>1.24E-2</v>
      </c>
      <c r="Q96" s="231">
        <v>5862.5</v>
      </c>
      <c r="R96" s="231">
        <v>5792</v>
      </c>
      <c r="S96" s="228">
        <v>70.5</v>
      </c>
      <c r="T96" s="229">
        <v>1.2200000000000001E-2</v>
      </c>
      <c r="U96" s="231">
        <v>5894</v>
      </c>
      <c r="V96" s="231">
        <v>5828.5</v>
      </c>
      <c r="W96" s="228">
        <v>65.5</v>
      </c>
      <c r="X96" s="229">
        <v>1.12E-2</v>
      </c>
      <c r="Y96" s="228">
        <v>1.5</v>
      </c>
      <c r="Z96" s="228">
        <v>-14</v>
      </c>
      <c r="AA96" s="228">
        <v>15.5</v>
      </c>
      <c r="AB96" s="229">
        <v>2.9999999999999997E-4</v>
      </c>
      <c r="AC96" s="228">
        <v>1.5</v>
      </c>
      <c r="AD96" s="228">
        <v>-14</v>
      </c>
      <c r="AE96" s="228">
        <v>15.5</v>
      </c>
      <c r="AF96" s="229">
        <v>2.9999999999999997E-4</v>
      </c>
      <c r="AG96" s="228">
        <v>27.5</v>
      </c>
      <c r="AH96" s="228">
        <v>13</v>
      </c>
      <c r="AI96" s="228">
        <v>14.5</v>
      </c>
      <c r="AJ96" s="229">
        <v>4.7000000000000002E-3</v>
      </c>
      <c r="AK96" s="228">
        <v>59</v>
      </c>
      <c r="AL96" s="228">
        <v>49.5</v>
      </c>
      <c r="AM96" s="228">
        <v>9.5</v>
      </c>
      <c r="AN96" s="229">
        <v>1.01E-2</v>
      </c>
      <c r="AO96" s="231">
        <v>5846.88</v>
      </c>
      <c r="AP96" s="231">
        <v>5875.04</v>
      </c>
      <c r="AQ96" s="228">
        <v>0</v>
      </c>
      <c r="AR96" s="230">
        <v>6166200</v>
      </c>
      <c r="AS96" s="230">
        <v>7124700</v>
      </c>
      <c r="AT96" s="230">
        <v>-958500</v>
      </c>
      <c r="AU96" s="229">
        <v>-0.13450000000000001</v>
      </c>
      <c r="AV96" s="230">
        <v>2883900</v>
      </c>
      <c r="AW96" s="230">
        <v>3528300</v>
      </c>
      <c r="AX96" s="230">
        <v>-644400</v>
      </c>
      <c r="AY96" s="229">
        <v>-0.18260000000000001</v>
      </c>
      <c r="AZ96" s="230">
        <v>3256500</v>
      </c>
      <c r="BA96" s="230">
        <v>3573900</v>
      </c>
      <c r="BB96" s="230">
        <v>-317400</v>
      </c>
      <c r="BC96" s="229">
        <v>-8.8800000000000004E-2</v>
      </c>
      <c r="BD96" s="230">
        <v>25800</v>
      </c>
      <c r="BE96" s="230">
        <v>22500</v>
      </c>
      <c r="BF96" s="230">
        <v>3300</v>
      </c>
      <c r="BG96" s="229">
        <v>0.1467</v>
      </c>
      <c r="BH96" s="230">
        <v>4993650</v>
      </c>
      <c r="BI96" s="230">
        <v>4935600</v>
      </c>
      <c r="BJ96" s="230">
        <v>58050</v>
      </c>
      <c r="BK96" s="229">
        <v>1.18E-2</v>
      </c>
      <c r="BL96" s="230">
        <v>3638700</v>
      </c>
      <c r="BM96" s="230">
        <v>3136050</v>
      </c>
      <c r="BN96" s="230">
        <v>502650</v>
      </c>
      <c r="BO96" s="229">
        <v>0.1603</v>
      </c>
      <c r="BP96" s="230">
        <v>14798550</v>
      </c>
      <c r="BQ96" s="230">
        <v>15196350</v>
      </c>
      <c r="BR96" s="230">
        <v>-397800</v>
      </c>
      <c r="BS96" s="229">
        <v>-2.6200000000000001E-2</v>
      </c>
      <c r="BT96" s="230">
        <v>483507</v>
      </c>
      <c r="BU96" s="230">
        <v>575639</v>
      </c>
      <c r="BV96" s="230">
        <v>-92132</v>
      </c>
      <c r="BW96" s="229">
        <v>-0.16009999999999999</v>
      </c>
      <c r="BX96" s="230">
        <v>7933800</v>
      </c>
      <c r="BY96" s="230">
        <v>8157000</v>
      </c>
      <c r="BZ96" s="230">
        <v>-223200</v>
      </c>
      <c r="CA96" s="229">
        <v>-2.7400000000000001E-2</v>
      </c>
      <c r="CB96" s="230">
        <v>1195650</v>
      </c>
      <c r="CC96" s="230">
        <v>3361500</v>
      </c>
      <c r="CD96" s="230">
        <v>-2165850</v>
      </c>
      <c r="CE96" s="229">
        <v>-0.64429999999999998</v>
      </c>
      <c r="CF96" s="230">
        <v>6626400</v>
      </c>
      <c r="CG96" s="230">
        <v>4683150</v>
      </c>
      <c r="CH96" s="230">
        <v>1943250</v>
      </c>
      <c r="CI96" s="229">
        <v>0.41489999999999999</v>
      </c>
      <c r="CJ96" s="230">
        <v>111750</v>
      </c>
      <c r="CK96" s="230">
        <v>112350</v>
      </c>
      <c r="CL96" s="228">
        <v>-600</v>
      </c>
      <c r="CM96" s="229">
        <v>-5.3E-3</v>
      </c>
      <c r="CN96" s="230">
        <v>1927200</v>
      </c>
      <c r="CO96" s="230">
        <v>2031450</v>
      </c>
      <c r="CP96" s="230">
        <v>-104250</v>
      </c>
      <c r="CQ96" s="229">
        <v>-5.1299999999999998E-2</v>
      </c>
      <c r="CR96" s="230">
        <v>1751400</v>
      </c>
      <c r="CS96" s="230">
        <v>1566300</v>
      </c>
      <c r="CT96" s="230">
        <v>185100</v>
      </c>
      <c r="CU96" s="229">
        <v>0.1182</v>
      </c>
      <c r="CV96" s="230">
        <v>11612400</v>
      </c>
      <c r="CW96" s="230">
        <v>11754750</v>
      </c>
      <c r="CX96" s="230">
        <v>-142350</v>
      </c>
      <c r="CY96" s="229">
        <v>-1.21E-2</v>
      </c>
      <c r="CZ96" s="228">
        <v>24.93</v>
      </c>
      <c r="DA96" s="228">
        <v>24.15</v>
      </c>
      <c r="DB96" s="228">
        <v>0.78</v>
      </c>
      <c r="DC96" s="228">
        <v>0.78</v>
      </c>
      <c r="DD96" s="228">
        <v>32.43</v>
      </c>
      <c r="DE96" s="228">
        <v>32.49</v>
      </c>
      <c r="DF96" s="228">
        <v>-7.5</v>
      </c>
      <c r="DG96" s="228">
        <v>-0.06</v>
      </c>
      <c r="DH96" s="228">
        <v>24.8</v>
      </c>
      <c r="DI96" s="228">
        <v>24.14</v>
      </c>
      <c r="DJ96" s="228">
        <v>0.66</v>
      </c>
      <c r="DK96" s="228">
        <v>0.66</v>
      </c>
      <c r="DL96" s="228">
        <v>25.08</v>
      </c>
      <c r="DM96" s="228">
        <v>24.16</v>
      </c>
      <c r="DN96" s="228">
        <v>0.92</v>
      </c>
      <c r="DO96" s="228">
        <v>0.92</v>
      </c>
      <c r="DP96" s="228">
        <v>0.91</v>
      </c>
      <c r="DQ96" s="228">
        <v>0.77</v>
      </c>
      <c r="DR96" s="228">
        <v>0.14000000000000001</v>
      </c>
      <c r="DS96" s="229">
        <v>0.18179999999999999</v>
      </c>
      <c r="DT96" s="231">
        <v>6000</v>
      </c>
      <c r="DU96" s="231">
        <v>5400</v>
      </c>
      <c r="DV96" s="228">
        <v>0.73</v>
      </c>
      <c r="DW96" s="228">
        <v>0.64</v>
      </c>
      <c r="DX96" s="228">
        <v>0.09</v>
      </c>
      <c r="DY96" s="229">
        <v>0.1406</v>
      </c>
      <c r="DZ96" s="229">
        <v>0.84930000000000005</v>
      </c>
      <c r="EA96" s="230">
        <v>4795500</v>
      </c>
      <c r="EB96" s="229">
        <v>4.4999999999999997E-3</v>
      </c>
      <c r="EC96" s="229">
        <v>0.84930000000000005</v>
      </c>
      <c r="ED96" s="228">
        <v>28.16</v>
      </c>
      <c r="EE96" s="229">
        <v>4.7999999999999996E-3</v>
      </c>
      <c r="EF96" s="230">
        <v>291908</v>
      </c>
      <c r="EG96" s="230">
        <v>295157</v>
      </c>
      <c r="EH96" s="229">
        <v>-1.0999999999999999E-2</v>
      </c>
      <c r="EI96" s="229">
        <v>0.60370000000000001</v>
      </c>
      <c r="EJ96" s="231">
        <v>299800.53999999998</v>
      </c>
      <c r="EK96" s="231">
        <v>209121.81</v>
      </c>
      <c r="EL96" s="231">
        <v>361458.89</v>
      </c>
      <c r="EM96" s="231">
        <v>20480</v>
      </c>
      <c r="EN96" s="231">
        <v>870381.24</v>
      </c>
      <c r="EO96" s="231">
        <v>880650.65</v>
      </c>
      <c r="EP96" s="231">
        <v>-10269.41</v>
      </c>
      <c r="EQ96" s="229">
        <v>-1.17E-2</v>
      </c>
      <c r="ER96" s="231">
        <v>114938</v>
      </c>
      <c r="ES96" s="231">
        <v>99277</v>
      </c>
      <c r="ET96" s="231">
        <v>464843</v>
      </c>
      <c r="EU96" s="231">
        <v>32732860</v>
      </c>
      <c r="EV96" s="231">
        <v>679059</v>
      </c>
      <c r="EW96" s="231">
        <v>680668</v>
      </c>
      <c r="EX96" s="231">
        <v>-1609</v>
      </c>
      <c r="EY96" s="229">
        <v>-2.3999999999999998E-3</v>
      </c>
      <c r="EZ96" s="229">
        <v>0.3548</v>
      </c>
      <c r="FA96" s="227" t="s">
        <v>556</v>
      </c>
      <c r="FB96" s="161">
        <f t="shared" si="1"/>
        <v>6738150</v>
      </c>
    </row>
    <row r="97" spans="1:158" ht="17.25" hidden="1" thickBot="1" x14ac:dyDescent="0.3">
      <c r="A97" s="226">
        <v>45957</v>
      </c>
      <c r="B97" s="227" t="s">
        <v>172</v>
      </c>
      <c r="C97" s="227" t="s">
        <v>239</v>
      </c>
      <c r="D97" s="228">
        <v>700</v>
      </c>
      <c r="E97" s="228">
        <v>770</v>
      </c>
      <c r="F97" s="228">
        <v>754.4</v>
      </c>
      <c r="G97" s="228">
        <v>15.6</v>
      </c>
      <c r="H97" s="229">
        <v>2.07E-2</v>
      </c>
      <c r="I97" s="228">
        <v>770.05</v>
      </c>
      <c r="J97" s="228">
        <v>755.05</v>
      </c>
      <c r="K97" s="228">
        <v>15</v>
      </c>
      <c r="L97" s="229">
        <v>1.9900000000000001E-2</v>
      </c>
      <c r="M97" s="228">
        <v>770</v>
      </c>
      <c r="N97" s="228">
        <v>754.4</v>
      </c>
      <c r="O97" s="228">
        <v>15.6</v>
      </c>
      <c r="P97" s="229">
        <v>2.07E-2</v>
      </c>
      <c r="Q97" s="228">
        <v>774.65</v>
      </c>
      <c r="R97" s="228">
        <v>758.65</v>
      </c>
      <c r="S97" s="228">
        <v>16</v>
      </c>
      <c r="T97" s="229">
        <v>2.1100000000000001E-2</v>
      </c>
      <c r="U97" s="228">
        <v>780.1</v>
      </c>
      <c r="V97" s="228">
        <v>763.5</v>
      </c>
      <c r="W97" s="228">
        <v>16.600000000000001</v>
      </c>
      <c r="X97" s="229">
        <v>2.1700000000000001E-2</v>
      </c>
      <c r="Y97" s="228">
        <v>-0.05</v>
      </c>
      <c r="Z97" s="228">
        <v>-0.65</v>
      </c>
      <c r="AA97" s="228">
        <v>0.6</v>
      </c>
      <c r="AB97" s="229">
        <v>-1E-4</v>
      </c>
      <c r="AC97" s="228">
        <v>-0.05</v>
      </c>
      <c r="AD97" s="228">
        <v>-0.65</v>
      </c>
      <c r="AE97" s="228">
        <v>0.6</v>
      </c>
      <c r="AF97" s="229">
        <v>-1E-4</v>
      </c>
      <c r="AG97" s="228">
        <v>4.5999999999999996</v>
      </c>
      <c r="AH97" s="228">
        <v>3.6</v>
      </c>
      <c r="AI97" s="228">
        <v>1</v>
      </c>
      <c r="AJ97" s="229">
        <v>6.0000000000000001E-3</v>
      </c>
      <c r="AK97" s="228">
        <v>10.050000000000001</v>
      </c>
      <c r="AL97" s="228">
        <v>8.4499999999999993</v>
      </c>
      <c r="AM97" s="228">
        <v>1.6</v>
      </c>
      <c r="AN97" s="229">
        <v>1.3100000000000001E-2</v>
      </c>
      <c r="AO97" s="228">
        <v>763.5</v>
      </c>
      <c r="AP97" s="228">
        <v>768.1</v>
      </c>
      <c r="AQ97" s="228">
        <v>0</v>
      </c>
      <c r="AR97" s="230">
        <v>38102400</v>
      </c>
      <c r="AS97" s="230">
        <v>29937600</v>
      </c>
      <c r="AT97" s="230">
        <v>8164800</v>
      </c>
      <c r="AU97" s="229">
        <v>0.2727</v>
      </c>
      <c r="AV97" s="230">
        <v>18250400</v>
      </c>
      <c r="AW97" s="230">
        <v>15253700</v>
      </c>
      <c r="AX97" s="230">
        <v>2996700</v>
      </c>
      <c r="AY97" s="229">
        <v>0.19650000000000001</v>
      </c>
      <c r="AZ97" s="230">
        <v>19554500</v>
      </c>
      <c r="BA97" s="230">
        <v>14550200</v>
      </c>
      <c r="BB97" s="230">
        <v>5004300</v>
      </c>
      <c r="BC97" s="229">
        <v>0.34389999999999998</v>
      </c>
      <c r="BD97" s="230">
        <v>297500</v>
      </c>
      <c r="BE97" s="230">
        <v>133700</v>
      </c>
      <c r="BF97" s="230">
        <v>163800</v>
      </c>
      <c r="BG97" s="229">
        <v>1.2251000000000001</v>
      </c>
      <c r="BH97" s="230">
        <v>26875100</v>
      </c>
      <c r="BI97" s="230">
        <v>18776800</v>
      </c>
      <c r="BJ97" s="230">
        <v>8098300</v>
      </c>
      <c r="BK97" s="229">
        <v>0.43130000000000002</v>
      </c>
      <c r="BL97" s="230">
        <v>16216900</v>
      </c>
      <c r="BM97" s="230">
        <v>13745900</v>
      </c>
      <c r="BN97" s="230">
        <v>2471000</v>
      </c>
      <c r="BO97" s="229">
        <v>0.17979999999999999</v>
      </c>
      <c r="BP97" s="230">
        <v>81194400</v>
      </c>
      <c r="BQ97" s="230">
        <v>62460300</v>
      </c>
      <c r="BR97" s="230">
        <v>18734100</v>
      </c>
      <c r="BS97" s="229">
        <v>0.2999</v>
      </c>
      <c r="BT97" s="230">
        <v>3944349</v>
      </c>
      <c r="BU97" s="230">
        <v>2077422</v>
      </c>
      <c r="BV97" s="230">
        <v>1866927</v>
      </c>
      <c r="BW97" s="229">
        <v>0.89870000000000005</v>
      </c>
      <c r="BX97" s="230">
        <v>57239000</v>
      </c>
      <c r="BY97" s="230">
        <v>57888600</v>
      </c>
      <c r="BZ97" s="230">
        <v>-649600</v>
      </c>
      <c r="CA97" s="229">
        <v>-1.12E-2</v>
      </c>
      <c r="CB97" s="230">
        <v>7819700</v>
      </c>
      <c r="CC97" s="230">
        <v>22146600</v>
      </c>
      <c r="CD97" s="230">
        <v>-14326900</v>
      </c>
      <c r="CE97" s="229">
        <v>-0.64690000000000003</v>
      </c>
      <c r="CF97" s="230">
        <v>48665400</v>
      </c>
      <c r="CG97" s="230">
        <v>35075600</v>
      </c>
      <c r="CH97" s="230">
        <v>13589800</v>
      </c>
      <c r="CI97" s="229">
        <v>0.38740000000000002</v>
      </c>
      <c r="CJ97" s="230">
        <v>753900</v>
      </c>
      <c r="CK97" s="230">
        <v>666400</v>
      </c>
      <c r="CL97" s="230">
        <v>87500</v>
      </c>
      <c r="CM97" s="229">
        <v>0.1313</v>
      </c>
      <c r="CN97" s="230">
        <v>19786900</v>
      </c>
      <c r="CO97" s="230">
        <v>20111000</v>
      </c>
      <c r="CP97" s="230">
        <v>-324100</v>
      </c>
      <c r="CQ97" s="229">
        <v>-1.61E-2</v>
      </c>
      <c r="CR97" s="230">
        <v>15844500</v>
      </c>
      <c r="CS97" s="230">
        <v>14621600</v>
      </c>
      <c r="CT97" s="230">
        <v>1222900</v>
      </c>
      <c r="CU97" s="229">
        <v>8.3599999999999994E-2</v>
      </c>
      <c r="CV97" s="230">
        <v>92870400</v>
      </c>
      <c r="CW97" s="230">
        <v>92621200</v>
      </c>
      <c r="CX97" s="230">
        <v>249200</v>
      </c>
      <c r="CY97" s="229">
        <v>2.7000000000000001E-3</v>
      </c>
      <c r="CZ97" s="228">
        <v>27.67</v>
      </c>
      <c r="DA97" s="228">
        <v>28.02</v>
      </c>
      <c r="DB97" s="228">
        <v>-0.35</v>
      </c>
      <c r="DC97" s="228">
        <v>-0.35</v>
      </c>
      <c r="DD97" s="228">
        <v>46.65</v>
      </c>
      <c r="DE97" s="228">
        <v>46.69</v>
      </c>
      <c r="DF97" s="228">
        <v>-18.98</v>
      </c>
      <c r="DG97" s="228">
        <v>-0.04</v>
      </c>
      <c r="DH97" s="228">
        <v>28.04</v>
      </c>
      <c r="DI97" s="228">
        <v>28.36</v>
      </c>
      <c r="DJ97" s="228">
        <v>-0.32</v>
      </c>
      <c r="DK97" s="228">
        <v>-0.32</v>
      </c>
      <c r="DL97" s="228">
        <v>27.12</v>
      </c>
      <c r="DM97" s="228">
        <v>27.43</v>
      </c>
      <c r="DN97" s="228">
        <v>-0.31</v>
      </c>
      <c r="DO97" s="228">
        <v>-0.31</v>
      </c>
      <c r="DP97" s="228">
        <v>0.8</v>
      </c>
      <c r="DQ97" s="228">
        <v>0.73</v>
      </c>
      <c r="DR97" s="228">
        <v>7.0000000000000007E-2</v>
      </c>
      <c r="DS97" s="229">
        <v>9.5899999999999999E-2</v>
      </c>
      <c r="DT97" s="228">
        <v>800</v>
      </c>
      <c r="DU97" s="228">
        <v>720</v>
      </c>
      <c r="DV97" s="228">
        <v>0.6</v>
      </c>
      <c r="DW97" s="228">
        <v>0.73</v>
      </c>
      <c r="DX97" s="228">
        <v>-0.13</v>
      </c>
      <c r="DY97" s="229">
        <v>-0.17810000000000001</v>
      </c>
      <c r="DZ97" s="229">
        <v>0.86339999999999995</v>
      </c>
      <c r="EA97" s="230">
        <v>35742000</v>
      </c>
      <c r="EB97" s="229">
        <v>6.0000000000000001E-3</v>
      </c>
      <c r="EC97" s="229">
        <v>0.86339999999999995</v>
      </c>
      <c r="ED97" s="228">
        <v>4.5999999999999996</v>
      </c>
      <c r="EE97" s="229">
        <v>6.0000000000000001E-3</v>
      </c>
      <c r="EF97" s="230">
        <v>2408064</v>
      </c>
      <c r="EG97" s="230">
        <v>1214914</v>
      </c>
      <c r="EH97" s="229">
        <v>0.98209999999999997</v>
      </c>
      <c r="EI97" s="229">
        <v>0.61050000000000004</v>
      </c>
      <c r="EJ97" s="231">
        <v>212401.17</v>
      </c>
      <c r="EK97" s="231">
        <v>124482.84</v>
      </c>
      <c r="EL97" s="231">
        <v>291842.28999999998</v>
      </c>
      <c r="EM97" s="231">
        <v>36537</v>
      </c>
      <c r="EN97" s="231">
        <v>628726.30000000005</v>
      </c>
      <c r="EO97" s="231">
        <v>477533.99</v>
      </c>
      <c r="EP97" s="231">
        <v>151192.31</v>
      </c>
      <c r="EQ97" s="229">
        <v>0.31659999999999999</v>
      </c>
      <c r="ER97" s="231">
        <v>155767</v>
      </c>
      <c r="ES97" s="231">
        <v>118503</v>
      </c>
      <c r="ET97" s="231">
        <v>443079</v>
      </c>
      <c r="EU97" s="231">
        <v>93805784</v>
      </c>
      <c r="EV97" s="231">
        <v>717349</v>
      </c>
      <c r="EW97" s="231">
        <v>704715</v>
      </c>
      <c r="EX97" s="231">
        <v>12634</v>
      </c>
      <c r="EY97" s="229">
        <v>1.7899999999999999E-2</v>
      </c>
      <c r="EZ97" s="229">
        <v>0.99</v>
      </c>
      <c r="FA97" s="227" t="s">
        <v>556</v>
      </c>
      <c r="FB97" s="161">
        <f t="shared" si="1"/>
        <v>49419300</v>
      </c>
    </row>
    <row r="98" spans="1:158" ht="17.25" hidden="1" thickBot="1" x14ac:dyDescent="0.3">
      <c r="A98" s="226">
        <v>45957</v>
      </c>
      <c r="B98" s="227" t="s">
        <v>188</v>
      </c>
      <c r="C98" s="227" t="s">
        <v>473</v>
      </c>
      <c r="D98" s="228">
        <v>1700</v>
      </c>
      <c r="E98" s="228">
        <v>372.05</v>
      </c>
      <c r="F98" s="228">
        <v>362.2</v>
      </c>
      <c r="G98" s="228">
        <v>9.85</v>
      </c>
      <c r="H98" s="229">
        <v>2.7199999999999998E-2</v>
      </c>
      <c r="I98" s="228">
        <v>371.3</v>
      </c>
      <c r="J98" s="228">
        <v>361.55</v>
      </c>
      <c r="K98" s="228">
        <v>9.75</v>
      </c>
      <c r="L98" s="229">
        <v>2.7E-2</v>
      </c>
      <c r="M98" s="228">
        <v>372.05</v>
      </c>
      <c r="N98" s="228">
        <v>362.2</v>
      </c>
      <c r="O98" s="228">
        <v>9.85</v>
      </c>
      <c r="P98" s="229">
        <v>2.7199999999999998E-2</v>
      </c>
      <c r="Q98" s="228">
        <v>374.1</v>
      </c>
      <c r="R98" s="228">
        <v>364.15</v>
      </c>
      <c r="S98" s="228">
        <v>9.9499999999999993</v>
      </c>
      <c r="T98" s="229">
        <v>2.7300000000000001E-2</v>
      </c>
      <c r="U98" s="228">
        <v>376.95</v>
      </c>
      <c r="V98" s="228">
        <v>366.65</v>
      </c>
      <c r="W98" s="228">
        <v>10.3</v>
      </c>
      <c r="X98" s="229">
        <v>2.81E-2</v>
      </c>
      <c r="Y98" s="228">
        <v>0.75</v>
      </c>
      <c r="Z98" s="228">
        <v>0.65</v>
      </c>
      <c r="AA98" s="228">
        <v>0.1</v>
      </c>
      <c r="AB98" s="229">
        <v>2E-3</v>
      </c>
      <c r="AC98" s="228">
        <v>0.75</v>
      </c>
      <c r="AD98" s="228">
        <v>0.65</v>
      </c>
      <c r="AE98" s="228">
        <v>0.1</v>
      </c>
      <c r="AF98" s="229">
        <v>2E-3</v>
      </c>
      <c r="AG98" s="228">
        <v>2.8</v>
      </c>
      <c r="AH98" s="228">
        <v>2.6</v>
      </c>
      <c r="AI98" s="228">
        <v>0.2</v>
      </c>
      <c r="AJ98" s="229">
        <v>7.4999999999999997E-3</v>
      </c>
      <c r="AK98" s="228">
        <v>5.65</v>
      </c>
      <c r="AL98" s="228">
        <v>5.0999999999999996</v>
      </c>
      <c r="AM98" s="228">
        <v>0.55000000000000004</v>
      </c>
      <c r="AN98" s="229">
        <v>1.52E-2</v>
      </c>
      <c r="AO98" s="228">
        <v>371.79</v>
      </c>
      <c r="AP98" s="228">
        <v>374.17</v>
      </c>
      <c r="AQ98" s="228">
        <v>0</v>
      </c>
      <c r="AR98" s="230">
        <v>116842700</v>
      </c>
      <c r="AS98" s="230">
        <v>54032800</v>
      </c>
      <c r="AT98" s="230">
        <v>62809900</v>
      </c>
      <c r="AU98" s="229">
        <v>1.1624000000000001</v>
      </c>
      <c r="AV98" s="230">
        <v>50709300</v>
      </c>
      <c r="AW98" s="230">
        <v>25868900</v>
      </c>
      <c r="AX98" s="230">
        <v>24840400</v>
      </c>
      <c r="AY98" s="229">
        <v>0.96020000000000005</v>
      </c>
      <c r="AZ98" s="230">
        <v>65448300</v>
      </c>
      <c r="BA98" s="230">
        <v>27937800</v>
      </c>
      <c r="BB98" s="230">
        <v>37510500</v>
      </c>
      <c r="BC98" s="229">
        <v>1.3426</v>
      </c>
      <c r="BD98" s="230">
        <v>685100</v>
      </c>
      <c r="BE98" s="230">
        <v>226100</v>
      </c>
      <c r="BF98" s="230">
        <v>459000</v>
      </c>
      <c r="BG98" s="229">
        <v>2.0301</v>
      </c>
      <c r="BH98" s="230">
        <v>191149700</v>
      </c>
      <c r="BI98" s="230">
        <v>29841800</v>
      </c>
      <c r="BJ98" s="230">
        <v>161307900</v>
      </c>
      <c r="BK98" s="229">
        <v>5.4054000000000002</v>
      </c>
      <c r="BL98" s="230">
        <v>83379900</v>
      </c>
      <c r="BM98" s="230">
        <v>11531100</v>
      </c>
      <c r="BN98" s="230">
        <v>71848800</v>
      </c>
      <c r="BO98" s="229">
        <v>6.2309000000000001</v>
      </c>
      <c r="BP98" s="230">
        <v>391372300</v>
      </c>
      <c r="BQ98" s="230">
        <v>95405700</v>
      </c>
      <c r="BR98" s="230">
        <v>295966600</v>
      </c>
      <c r="BS98" s="229">
        <v>3.1021999999999998</v>
      </c>
      <c r="BT98" s="230">
        <v>28047421</v>
      </c>
      <c r="BU98" s="230">
        <v>7745260</v>
      </c>
      <c r="BV98" s="230">
        <v>20302161</v>
      </c>
      <c r="BW98" s="229">
        <v>2.6212</v>
      </c>
      <c r="BX98" s="230">
        <v>99975300</v>
      </c>
      <c r="BY98" s="230">
        <v>95383600</v>
      </c>
      <c r="BZ98" s="230">
        <v>4591700</v>
      </c>
      <c r="CA98" s="229">
        <v>4.8099999999999997E-2</v>
      </c>
      <c r="CB98" s="230">
        <v>14317400</v>
      </c>
      <c r="CC98" s="230">
        <v>44800100</v>
      </c>
      <c r="CD98" s="230">
        <v>-30482700</v>
      </c>
      <c r="CE98" s="229">
        <v>-0.6804</v>
      </c>
      <c r="CF98" s="230">
        <v>85158100</v>
      </c>
      <c r="CG98" s="230">
        <v>50209500</v>
      </c>
      <c r="CH98" s="230">
        <v>34948600</v>
      </c>
      <c r="CI98" s="229">
        <v>0.69610000000000005</v>
      </c>
      <c r="CJ98" s="230">
        <v>499800</v>
      </c>
      <c r="CK98" s="230">
        <v>374000</v>
      </c>
      <c r="CL98" s="230">
        <v>125800</v>
      </c>
      <c r="CM98" s="229">
        <v>0.33639999999999998</v>
      </c>
      <c r="CN98" s="230">
        <v>30632300</v>
      </c>
      <c r="CO98" s="230">
        <v>21221100</v>
      </c>
      <c r="CP98" s="230">
        <v>9411200</v>
      </c>
      <c r="CQ98" s="229">
        <v>0.44350000000000001</v>
      </c>
      <c r="CR98" s="230">
        <v>23954700</v>
      </c>
      <c r="CS98" s="230">
        <v>15296600</v>
      </c>
      <c r="CT98" s="230">
        <v>8658100</v>
      </c>
      <c r="CU98" s="229">
        <v>0.56599999999999995</v>
      </c>
      <c r="CV98" s="230">
        <v>154562300</v>
      </c>
      <c r="CW98" s="230">
        <v>131901300</v>
      </c>
      <c r="CX98" s="230">
        <v>22661000</v>
      </c>
      <c r="CY98" s="229">
        <v>0.17180000000000001</v>
      </c>
      <c r="CZ98" s="228">
        <v>34.090000000000003</v>
      </c>
      <c r="DA98" s="228">
        <v>31.08</v>
      </c>
      <c r="DB98" s="228">
        <v>3.01</v>
      </c>
      <c r="DC98" s="228">
        <v>3.01</v>
      </c>
      <c r="DD98" s="228">
        <v>39.71</v>
      </c>
      <c r="DE98" s="228">
        <v>39.64</v>
      </c>
      <c r="DF98" s="228">
        <v>-5.62</v>
      </c>
      <c r="DG98" s="228">
        <v>7.0000000000000007E-2</v>
      </c>
      <c r="DH98" s="228">
        <v>34.21</v>
      </c>
      <c r="DI98" s="228">
        <v>31.12</v>
      </c>
      <c r="DJ98" s="228">
        <v>3.09</v>
      </c>
      <c r="DK98" s="228">
        <v>3.09</v>
      </c>
      <c r="DL98" s="228">
        <v>33.82</v>
      </c>
      <c r="DM98" s="228">
        <v>30.98</v>
      </c>
      <c r="DN98" s="228">
        <v>2.84</v>
      </c>
      <c r="DO98" s="228">
        <v>2.84</v>
      </c>
      <c r="DP98" s="228">
        <v>0.78</v>
      </c>
      <c r="DQ98" s="228">
        <v>0.72</v>
      </c>
      <c r="DR98" s="228">
        <v>0.06</v>
      </c>
      <c r="DS98" s="229">
        <v>8.3299999999999999E-2</v>
      </c>
      <c r="DT98" s="228">
        <v>380</v>
      </c>
      <c r="DU98" s="228">
        <v>370</v>
      </c>
      <c r="DV98" s="228">
        <v>0.44</v>
      </c>
      <c r="DW98" s="228">
        <v>0.39</v>
      </c>
      <c r="DX98" s="228">
        <v>0.05</v>
      </c>
      <c r="DY98" s="229">
        <v>0.12820000000000001</v>
      </c>
      <c r="DZ98" s="229">
        <v>0.85680000000000001</v>
      </c>
      <c r="EA98" s="230">
        <v>50583500</v>
      </c>
      <c r="EB98" s="229">
        <v>5.4999999999999997E-3</v>
      </c>
      <c r="EC98" s="229">
        <v>0.85680000000000001</v>
      </c>
      <c r="ED98" s="228">
        <v>2.38</v>
      </c>
      <c r="EE98" s="229">
        <v>6.4000000000000003E-3</v>
      </c>
      <c r="EF98" s="230">
        <v>12046896</v>
      </c>
      <c r="EG98" s="230">
        <v>5153147</v>
      </c>
      <c r="EH98" s="229">
        <v>1.3378000000000001</v>
      </c>
      <c r="EI98" s="229">
        <v>0.42949999999999999</v>
      </c>
      <c r="EJ98" s="231">
        <v>742249.18</v>
      </c>
      <c r="EK98" s="231">
        <v>306365.14</v>
      </c>
      <c r="EL98" s="231">
        <v>436002.88</v>
      </c>
      <c r="EM98" s="231">
        <v>19429</v>
      </c>
      <c r="EN98" s="231">
        <v>1484617.2</v>
      </c>
      <c r="EO98" s="231">
        <v>348774.67</v>
      </c>
      <c r="EP98" s="231">
        <v>1135842.53</v>
      </c>
      <c r="EQ98" s="229">
        <v>3.2566999999999999</v>
      </c>
      <c r="ER98" s="231">
        <v>115485</v>
      </c>
      <c r="ES98" s="231">
        <v>84929</v>
      </c>
      <c r="ET98" s="231">
        <v>373728</v>
      </c>
      <c r="EU98" s="231">
        <v>197705578</v>
      </c>
      <c r="EV98" s="231">
        <v>574142</v>
      </c>
      <c r="EW98" s="231">
        <v>478001</v>
      </c>
      <c r="EX98" s="231">
        <v>96141</v>
      </c>
      <c r="EY98" s="229">
        <v>0.2011</v>
      </c>
      <c r="EZ98" s="229">
        <v>0.78180000000000005</v>
      </c>
      <c r="FA98" s="227" t="s">
        <v>555</v>
      </c>
      <c r="FB98" s="161">
        <f t="shared" si="1"/>
        <v>85657900</v>
      </c>
    </row>
    <row r="99" spans="1:158" ht="17.25" hidden="1" thickBot="1" x14ac:dyDescent="0.3">
      <c r="A99" s="226">
        <v>45957</v>
      </c>
      <c r="B99" s="227" t="s">
        <v>221</v>
      </c>
      <c r="C99" s="227" t="s">
        <v>240</v>
      </c>
      <c r="D99" s="228">
        <v>400</v>
      </c>
      <c r="E99" s="231">
        <v>1505.4</v>
      </c>
      <c r="F99" s="231">
        <v>1501.3</v>
      </c>
      <c r="G99" s="228">
        <v>4.0999999999999996</v>
      </c>
      <c r="H99" s="229">
        <v>2.7000000000000001E-3</v>
      </c>
      <c r="I99" s="231">
        <v>1504.5</v>
      </c>
      <c r="J99" s="231">
        <v>1525.4</v>
      </c>
      <c r="K99" s="228">
        <v>-20.9</v>
      </c>
      <c r="L99" s="229">
        <v>-1.37E-2</v>
      </c>
      <c r="M99" s="231">
        <v>1505.4</v>
      </c>
      <c r="N99" s="231">
        <v>1501.3</v>
      </c>
      <c r="O99" s="228">
        <v>4.0999999999999996</v>
      </c>
      <c r="P99" s="229">
        <v>2.7000000000000001E-3</v>
      </c>
      <c r="Q99" s="231">
        <v>1504.1</v>
      </c>
      <c r="R99" s="231">
        <v>1500.3</v>
      </c>
      <c r="S99" s="228">
        <v>3.8</v>
      </c>
      <c r="T99" s="229">
        <v>2.5000000000000001E-3</v>
      </c>
      <c r="U99" s="231">
        <v>1506.5</v>
      </c>
      <c r="V99" s="231">
        <v>1502.9</v>
      </c>
      <c r="W99" s="228">
        <v>3.6</v>
      </c>
      <c r="X99" s="229">
        <v>2.3999999999999998E-3</v>
      </c>
      <c r="Y99" s="228">
        <v>0.9</v>
      </c>
      <c r="Z99" s="228">
        <v>-24.1</v>
      </c>
      <c r="AA99" s="228">
        <v>25</v>
      </c>
      <c r="AB99" s="229">
        <v>5.9999999999999995E-4</v>
      </c>
      <c r="AC99" s="228">
        <v>0.9</v>
      </c>
      <c r="AD99" s="228">
        <v>-24.1</v>
      </c>
      <c r="AE99" s="228">
        <v>25</v>
      </c>
      <c r="AF99" s="229">
        <v>5.9999999999999995E-4</v>
      </c>
      <c r="AG99" s="228">
        <v>-0.4</v>
      </c>
      <c r="AH99" s="228">
        <v>-25.1</v>
      </c>
      <c r="AI99" s="228">
        <v>24.7</v>
      </c>
      <c r="AJ99" s="229">
        <v>-2.9999999999999997E-4</v>
      </c>
      <c r="AK99" s="228">
        <v>2</v>
      </c>
      <c r="AL99" s="228">
        <v>-22.5</v>
      </c>
      <c r="AM99" s="228">
        <v>24.5</v>
      </c>
      <c r="AN99" s="229">
        <v>1.2999999999999999E-3</v>
      </c>
      <c r="AO99" s="231">
        <v>1506.8</v>
      </c>
      <c r="AP99" s="231">
        <v>1507.2</v>
      </c>
      <c r="AQ99" s="228">
        <v>0</v>
      </c>
      <c r="AR99" s="230">
        <v>31732000</v>
      </c>
      <c r="AS99" s="230">
        <v>30428800</v>
      </c>
      <c r="AT99" s="230">
        <v>1303200</v>
      </c>
      <c r="AU99" s="229">
        <v>4.2799999999999998E-2</v>
      </c>
      <c r="AV99" s="230">
        <v>15299200</v>
      </c>
      <c r="AW99" s="230">
        <v>16590000</v>
      </c>
      <c r="AX99" s="230">
        <v>-1290800</v>
      </c>
      <c r="AY99" s="229">
        <v>-7.7799999999999994E-2</v>
      </c>
      <c r="AZ99" s="230">
        <v>15736000</v>
      </c>
      <c r="BA99" s="230">
        <v>13542800</v>
      </c>
      <c r="BB99" s="230">
        <v>2193200</v>
      </c>
      <c r="BC99" s="229">
        <v>0.16189999999999999</v>
      </c>
      <c r="BD99" s="230">
        <v>696800</v>
      </c>
      <c r="BE99" s="230">
        <v>296000</v>
      </c>
      <c r="BF99" s="230">
        <v>400800</v>
      </c>
      <c r="BG99" s="229">
        <v>1.3541000000000001</v>
      </c>
      <c r="BH99" s="230">
        <v>63393200</v>
      </c>
      <c r="BI99" s="230">
        <v>85982000</v>
      </c>
      <c r="BJ99" s="230">
        <v>-22588800</v>
      </c>
      <c r="BK99" s="229">
        <v>-0.26269999999999999</v>
      </c>
      <c r="BL99" s="230">
        <v>27997200</v>
      </c>
      <c r="BM99" s="230">
        <v>37691600</v>
      </c>
      <c r="BN99" s="230">
        <v>-9694400</v>
      </c>
      <c r="BO99" s="229">
        <v>-0.25719999999999998</v>
      </c>
      <c r="BP99" s="230">
        <v>123122400</v>
      </c>
      <c r="BQ99" s="230">
        <v>154102400</v>
      </c>
      <c r="BR99" s="230">
        <v>-30980000</v>
      </c>
      <c r="BS99" s="229">
        <v>-0.20100000000000001</v>
      </c>
      <c r="BT99" s="230">
        <v>7568599</v>
      </c>
      <c r="BU99" s="230">
        <v>9025426</v>
      </c>
      <c r="BV99" s="230">
        <v>-1456827</v>
      </c>
      <c r="BW99" s="229">
        <v>-0.16139999999999999</v>
      </c>
      <c r="BX99" s="230">
        <v>65440000</v>
      </c>
      <c r="BY99" s="230">
        <v>65234400</v>
      </c>
      <c r="BZ99" s="230">
        <v>205600</v>
      </c>
      <c r="CA99" s="229">
        <v>3.2000000000000002E-3</v>
      </c>
      <c r="CB99" s="230">
        <v>11507600</v>
      </c>
      <c r="CC99" s="230">
        <v>21656000</v>
      </c>
      <c r="CD99" s="230">
        <v>-10148400</v>
      </c>
      <c r="CE99" s="229">
        <v>-0.46860000000000002</v>
      </c>
      <c r="CF99" s="230">
        <v>52374000</v>
      </c>
      <c r="CG99" s="230">
        <v>42395600</v>
      </c>
      <c r="CH99" s="230">
        <v>9978400</v>
      </c>
      <c r="CI99" s="229">
        <v>0.2354</v>
      </c>
      <c r="CJ99" s="230">
        <v>1558400</v>
      </c>
      <c r="CK99" s="230">
        <v>1182800</v>
      </c>
      <c r="CL99" s="230">
        <v>375600</v>
      </c>
      <c r="CM99" s="229">
        <v>0.31759999999999999</v>
      </c>
      <c r="CN99" s="230">
        <v>46368800</v>
      </c>
      <c r="CO99" s="230">
        <v>49740000</v>
      </c>
      <c r="CP99" s="230">
        <v>-3371200</v>
      </c>
      <c r="CQ99" s="229">
        <v>-6.7799999999999999E-2</v>
      </c>
      <c r="CR99" s="230">
        <v>19518000</v>
      </c>
      <c r="CS99" s="230">
        <v>21441600</v>
      </c>
      <c r="CT99" s="230">
        <v>-1923600</v>
      </c>
      <c r="CU99" s="229">
        <v>-8.9700000000000002E-2</v>
      </c>
      <c r="CV99" s="230">
        <v>131326800</v>
      </c>
      <c r="CW99" s="230">
        <v>136416000</v>
      </c>
      <c r="CX99" s="230">
        <v>-5089200</v>
      </c>
      <c r="CY99" s="229">
        <v>-3.73E-2</v>
      </c>
      <c r="CZ99" s="228">
        <v>23.06</v>
      </c>
      <c r="DA99" s="228">
        <v>22.87</v>
      </c>
      <c r="DB99" s="228">
        <v>0.19</v>
      </c>
      <c r="DC99" s="228">
        <v>0.19</v>
      </c>
      <c r="DD99" s="228">
        <v>29.5</v>
      </c>
      <c r="DE99" s="228">
        <v>29.57</v>
      </c>
      <c r="DF99" s="228">
        <v>-6.44</v>
      </c>
      <c r="DG99" s="228">
        <v>-7.0000000000000007E-2</v>
      </c>
      <c r="DH99" s="228">
        <v>23.09</v>
      </c>
      <c r="DI99" s="228">
        <v>23</v>
      </c>
      <c r="DJ99" s="228">
        <v>0.09</v>
      </c>
      <c r="DK99" s="228">
        <v>0.09</v>
      </c>
      <c r="DL99" s="228">
        <v>22.99</v>
      </c>
      <c r="DM99" s="228">
        <v>22.53</v>
      </c>
      <c r="DN99" s="228">
        <v>0.46</v>
      </c>
      <c r="DO99" s="228">
        <v>0.46</v>
      </c>
      <c r="DP99" s="228">
        <v>0.42</v>
      </c>
      <c r="DQ99" s="228">
        <v>0.43</v>
      </c>
      <c r="DR99" s="228">
        <v>-0.01</v>
      </c>
      <c r="DS99" s="229">
        <v>-2.3300000000000001E-2</v>
      </c>
      <c r="DT99" s="231">
        <v>1560</v>
      </c>
      <c r="DU99" s="231">
        <v>1500</v>
      </c>
      <c r="DV99" s="228">
        <v>0.44</v>
      </c>
      <c r="DW99" s="228">
        <v>0.44</v>
      </c>
      <c r="DX99" s="228">
        <v>0</v>
      </c>
      <c r="DY99" s="229">
        <v>0</v>
      </c>
      <c r="DZ99" s="229">
        <v>0.82420000000000004</v>
      </c>
      <c r="EA99" s="230">
        <v>43578400</v>
      </c>
      <c r="EB99" s="229">
        <v>-8.9999999999999998E-4</v>
      </c>
      <c r="EC99" s="229">
        <v>0.82420000000000004</v>
      </c>
      <c r="ED99" s="228">
        <v>0.4</v>
      </c>
      <c r="EE99" s="229">
        <v>2.9999999999999997E-4</v>
      </c>
      <c r="EF99" s="230">
        <v>5015330</v>
      </c>
      <c r="EG99" s="230">
        <v>5449549</v>
      </c>
      <c r="EH99" s="229">
        <v>-7.9699999999999993E-2</v>
      </c>
      <c r="EI99" s="229">
        <v>0.66259999999999997</v>
      </c>
      <c r="EJ99" s="231">
        <v>986681.47</v>
      </c>
      <c r="EK99" s="231">
        <v>414208.12</v>
      </c>
      <c r="EL99" s="231">
        <v>478206.01</v>
      </c>
      <c r="EM99" s="231">
        <v>63371</v>
      </c>
      <c r="EN99" s="231">
        <v>1879095.6</v>
      </c>
      <c r="EO99" s="231">
        <v>2360621.88</v>
      </c>
      <c r="EP99" s="231">
        <v>-481526.28</v>
      </c>
      <c r="EQ99" s="229">
        <v>-0.20399999999999999</v>
      </c>
      <c r="ER99" s="231">
        <v>719693</v>
      </c>
      <c r="ES99" s="231">
        <v>282864</v>
      </c>
      <c r="ET99" s="231">
        <v>984470</v>
      </c>
      <c r="EU99" s="231">
        <v>341789333</v>
      </c>
      <c r="EV99" s="231">
        <v>1987027</v>
      </c>
      <c r="EW99" s="231">
        <v>2060289</v>
      </c>
      <c r="EX99" s="231">
        <v>-73262</v>
      </c>
      <c r="EY99" s="229">
        <v>-3.56E-2</v>
      </c>
      <c r="EZ99" s="229">
        <v>0.38419999999999999</v>
      </c>
      <c r="FA99" s="227" t="s">
        <v>555</v>
      </c>
      <c r="FB99" s="161">
        <f t="shared" si="1"/>
        <v>53932400</v>
      </c>
    </row>
    <row r="100" spans="1:158" ht="17.25" hidden="1" thickBot="1" x14ac:dyDescent="0.3">
      <c r="A100" s="226">
        <v>45957</v>
      </c>
      <c r="B100" s="227" t="s">
        <v>161</v>
      </c>
      <c r="C100" s="227" t="s">
        <v>670</v>
      </c>
      <c r="D100" s="228">
        <v>3272</v>
      </c>
      <c r="E100" s="228">
        <v>153.22</v>
      </c>
      <c r="F100" s="228">
        <v>153.85</v>
      </c>
      <c r="G100" s="228">
        <v>-0.63</v>
      </c>
      <c r="H100" s="229">
        <v>-4.1000000000000003E-3</v>
      </c>
      <c r="I100" s="228">
        <v>153.1</v>
      </c>
      <c r="J100" s="228">
        <v>154.08000000000001</v>
      </c>
      <c r="K100" s="228">
        <v>-0.98</v>
      </c>
      <c r="L100" s="229">
        <v>-6.4000000000000003E-3</v>
      </c>
      <c r="M100" s="228">
        <v>153.22</v>
      </c>
      <c r="N100" s="228">
        <v>153.85</v>
      </c>
      <c r="O100" s="228">
        <v>-0.63</v>
      </c>
      <c r="P100" s="229">
        <v>-4.1000000000000003E-3</v>
      </c>
      <c r="Q100" s="228">
        <v>154.06</v>
      </c>
      <c r="R100" s="228">
        <v>154.65</v>
      </c>
      <c r="S100" s="228">
        <v>-0.59</v>
      </c>
      <c r="T100" s="229">
        <v>-3.8E-3</v>
      </c>
      <c r="U100" s="228">
        <v>154.88999999999999</v>
      </c>
      <c r="V100" s="228">
        <v>155.68</v>
      </c>
      <c r="W100" s="228">
        <v>-0.79</v>
      </c>
      <c r="X100" s="229">
        <v>-5.1000000000000004E-3</v>
      </c>
      <c r="Y100" s="228">
        <v>0.12</v>
      </c>
      <c r="Z100" s="228">
        <v>-0.23</v>
      </c>
      <c r="AA100" s="228">
        <v>0.35</v>
      </c>
      <c r="AB100" s="229">
        <v>8.0000000000000004E-4</v>
      </c>
      <c r="AC100" s="228">
        <v>0.12</v>
      </c>
      <c r="AD100" s="228">
        <v>-0.23</v>
      </c>
      <c r="AE100" s="228">
        <v>0.35</v>
      </c>
      <c r="AF100" s="229">
        <v>8.0000000000000004E-4</v>
      </c>
      <c r="AG100" s="228">
        <v>0.96</v>
      </c>
      <c r="AH100" s="228">
        <v>0.56999999999999995</v>
      </c>
      <c r="AI100" s="228">
        <v>0.39</v>
      </c>
      <c r="AJ100" s="229">
        <v>6.3E-3</v>
      </c>
      <c r="AK100" s="228">
        <v>1.79</v>
      </c>
      <c r="AL100" s="228">
        <v>1.6</v>
      </c>
      <c r="AM100" s="228">
        <v>0.19</v>
      </c>
      <c r="AN100" s="229">
        <v>1.17E-2</v>
      </c>
      <c r="AO100" s="228">
        <v>153.83000000000001</v>
      </c>
      <c r="AP100" s="228">
        <v>154.66</v>
      </c>
      <c r="AQ100" s="228">
        <v>0</v>
      </c>
      <c r="AR100" s="230">
        <v>36659488</v>
      </c>
      <c r="AS100" s="230">
        <v>43138048</v>
      </c>
      <c r="AT100" s="230">
        <v>-6478560</v>
      </c>
      <c r="AU100" s="229">
        <v>-0.1502</v>
      </c>
      <c r="AV100" s="230">
        <v>16697016</v>
      </c>
      <c r="AW100" s="230">
        <v>19445496</v>
      </c>
      <c r="AX100" s="230">
        <v>-2748480</v>
      </c>
      <c r="AY100" s="229">
        <v>-0.14130000000000001</v>
      </c>
      <c r="AZ100" s="230">
        <v>19648360</v>
      </c>
      <c r="BA100" s="230">
        <v>23306456</v>
      </c>
      <c r="BB100" s="230">
        <v>-3658096</v>
      </c>
      <c r="BC100" s="229">
        <v>-0.157</v>
      </c>
      <c r="BD100" s="230">
        <v>314112</v>
      </c>
      <c r="BE100" s="230">
        <v>386096</v>
      </c>
      <c r="BF100" s="230">
        <v>-71984</v>
      </c>
      <c r="BG100" s="229">
        <v>-0.18640000000000001</v>
      </c>
      <c r="BH100" s="230">
        <v>18208680</v>
      </c>
      <c r="BI100" s="230">
        <v>58045280</v>
      </c>
      <c r="BJ100" s="230">
        <v>-39836600</v>
      </c>
      <c r="BK100" s="229">
        <v>-0.68630000000000002</v>
      </c>
      <c r="BL100" s="230">
        <v>5971400</v>
      </c>
      <c r="BM100" s="230">
        <v>25034072</v>
      </c>
      <c r="BN100" s="230">
        <v>-19062672</v>
      </c>
      <c r="BO100" s="229">
        <v>-0.76149999999999995</v>
      </c>
      <c r="BP100" s="230">
        <v>60839568</v>
      </c>
      <c r="BQ100" s="230">
        <v>126217400</v>
      </c>
      <c r="BR100" s="230">
        <v>-65377832</v>
      </c>
      <c r="BS100" s="229">
        <v>-0.51800000000000002</v>
      </c>
      <c r="BT100" s="230">
        <v>5257803</v>
      </c>
      <c r="BU100" s="230">
        <v>11163941</v>
      </c>
      <c r="BV100" s="230">
        <v>-5906138</v>
      </c>
      <c r="BW100" s="229">
        <v>-0.52900000000000003</v>
      </c>
      <c r="BX100" s="230">
        <v>54953240</v>
      </c>
      <c r="BY100" s="230">
        <v>54485344</v>
      </c>
      <c r="BZ100" s="230">
        <v>467896</v>
      </c>
      <c r="CA100" s="229">
        <v>8.6E-3</v>
      </c>
      <c r="CB100" s="230">
        <v>10918664</v>
      </c>
      <c r="CC100" s="230">
        <v>23957584</v>
      </c>
      <c r="CD100" s="230">
        <v>-13038920</v>
      </c>
      <c r="CE100" s="229">
        <v>-0.54430000000000001</v>
      </c>
      <c r="CF100" s="230">
        <v>43386720</v>
      </c>
      <c r="CG100" s="230">
        <v>29948616</v>
      </c>
      <c r="CH100" s="230">
        <v>13438104</v>
      </c>
      <c r="CI100" s="229">
        <v>0.44869999999999999</v>
      </c>
      <c r="CJ100" s="230">
        <v>647856</v>
      </c>
      <c r="CK100" s="230">
        <v>579144</v>
      </c>
      <c r="CL100" s="230">
        <v>68712</v>
      </c>
      <c r="CM100" s="229">
        <v>0.1186</v>
      </c>
      <c r="CN100" s="230">
        <v>22157984</v>
      </c>
      <c r="CO100" s="230">
        <v>24471288</v>
      </c>
      <c r="CP100" s="230">
        <v>-2313304</v>
      </c>
      <c r="CQ100" s="229">
        <v>-9.4500000000000001E-2</v>
      </c>
      <c r="CR100" s="230">
        <v>13261416</v>
      </c>
      <c r="CS100" s="230">
        <v>14171032</v>
      </c>
      <c r="CT100" s="230">
        <v>-909616</v>
      </c>
      <c r="CU100" s="229">
        <v>-6.4199999999999993E-2</v>
      </c>
      <c r="CV100" s="230">
        <v>90372640</v>
      </c>
      <c r="CW100" s="230">
        <v>93127664</v>
      </c>
      <c r="CX100" s="230">
        <v>-2755024</v>
      </c>
      <c r="CY100" s="229">
        <v>-2.9600000000000001E-2</v>
      </c>
      <c r="CZ100" s="228">
        <v>38.04</v>
      </c>
      <c r="DA100" s="228">
        <v>38.590000000000003</v>
      </c>
      <c r="DB100" s="228">
        <v>-0.55000000000000004</v>
      </c>
      <c r="DC100" s="228">
        <v>-0.55000000000000004</v>
      </c>
      <c r="DD100" s="228">
        <v>56.05</v>
      </c>
      <c r="DE100" s="228">
        <v>56.18</v>
      </c>
      <c r="DF100" s="228">
        <v>-18.010000000000002</v>
      </c>
      <c r="DG100" s="228">
        <v>-0.13</v>
      </c>
      <c r="DH100" s="228">
        <v>38.17</v>
      </c>
      <c r="DI100" s="228">
        <v>39.049999999999997</v>
      </c>
      <c r="DJ100" s="228">
        <v>-0.88</v>
      </c>
      <c r="DK100" s="228">
        <v>-0.88</v>
      </c>
      <c r="DL100" s="228">
        <v>37.590000000000003</v>
      </c>
      <c r="DM100" s="228">
        <v>37.36</v>
      </c>
      <c r="DN100" s="228">
        <v>0.23</v>
      </c>
      <c r="DO100" s="228">
        <v>0.23</v>
      </c>
      <c r="DP100" s="228">
        <v>0.6</v>
      </c>
      <c r="DQ100" s="228">
        <v>0.57999999999999996</v>
      </c>
      <c r="DR100" s="228">
        <v>0.02</v>
      </c>
      <c r="DS100" s="229">
        <v>3.4500000000000003E-2</v>
      </c>
      <c r="DT100" s="228">
        <v>160</v>
      </c>
      <c r="DU100" s="228">
        <v>140</v>
      </c>
      <c r="DV100" s="228">
        <v>0.33</v>
      </c>
      <c r="DW100" s="228">
        <v>0.43</v>
      </c>
      <c r="DX100" s="228">
        <v>-0.1</v>
      </c>
      <c r="DY100" s="229">
        <v>-0.2326</v>
      </c>
      <c r="DZ100" s="229">
        <v>0.80130000000000001</v>
      </c>
      <c r="EA100" s="230">
        <v>30527760</v>
      </c>
      <c r="EB100" s="229">
        <v>5.4999999999999997E-3</v>
      </c>
      <c r="EC100" s="229">
        <v>0.80130000000000001</v>
      </c>
      <c r="ED100" s="228">
        <v>0.83</v>
      </c>
      <c r="EE100" s="229">
        <v>5.4000000000000003E-3</v>
      </c>
      <c r="EF100" s="230">
        <v>2708018</v>
      </c>
      <c r="EG100" s="230">
        <v>3660683</v>
      </c>
      <c r="EH100" s="229">
        <v>-0.26019999999999999</v>
      </c>
      <c r="EI100" s="229">
        <v>0.51500000000000001</v>
      </c>
      <c r="EJ100" s="231">
        <v>29365.86</v>
      </c>
      <c r="EK100" s="231">
        <v>9217.1200000000008</v>
      </c>
      <c r="EL100" s="231">
        <v>56562.76</v>
      </c>
      <c r="EM100" s="231">
        <v>7867</v>
      </c>
      <c r="EN100" s="231">
        <v>95145.74</v>
      </c>
      <c r="EO100" s="231">
        <v>198857.03</v>
      </c>
      <c r="EP100" s="231">
        <v>-103711.29</v>
      </c>
      <c r="EQ100" s="229">
        <v>-0.52149999999999996</v>
      </c>
      <c r="ER100" s="231">
        <v>35139</v>
      </c>
      <c r="ES100" s="231">
        <v>19232</v>
      </c>
      <c r="ET100" s="231">
        <v>84575</v>
      </c>
      <c r="EU100" s="231">
        <v>144708707</v>
      </c>
      <c r="EV100" s="231">
        <v>138946</v>
      </c>
      <c r="EW100" s="231">
        <v>143463</v>
      </c>
      <c r="EX100" s="231">
        <v>-4517</v>
      </c>
      <c r="EY100" s="229">
        <v>-3.15E-2</v>
      </c>
      <c r="EZ100" s="229">
        <v>0.62450000000000006</v>
      </c>
      <c r="FA100" s="227" t="s">
        <v>567</v>
      </c>
      <c r="FB100" s="161">
        <f t="shared" si="1"/>
        <v>44034576</v>
      </c>
    </row>
    <row r="101" spans="1:158" ht="17.25" hidden="1" thickBot="1" x14ac:dyDescent="0.3">
      <c r="A101" s="226">
        <v>45957</v>
      </c>
      <c r="B101" s="227" t="s">
        <v>193</v>
      </c>
      <c r="C101" s="227" t="s">
        <v>241</v>
      </c>
      <c r="D101" s="228">
        <v>4875</v>
      </c>
      <c r="E101" s="228">
        <v>155.16</v>
      </c>
      <c r="F101" s="228">
        <v>150.37</v>
      </c>
      <c r="G101" s="228">
        <v>4.79</v>
      </c>
      <c r="H101" s="229">
        <v>3.1899999999999998E-2</v>
      </c>
      <c r="I101" s="228">
        <v>155.19999999999999</v>
      </c>
      <c r="J101" s="228">
        <v>150.37</v>
      </c>
      <c r="K101" s="228">
        <v>4.83</v>
      </c>
      <c r="L101" s="229">
        <v>3.2099999999999997E-2</v>
      </c>
      <c r="M101" s="228">
        <v>155.16</v>
      </c>
      <c r="N101" s="228">
        <v>150.37</v>
      </c>
      <c r="O101" s="228">
        <v>4.79</v>
      </c>
      <c r="P101" s="229">
        <v>3.1899999999999998E-2</v>
      </c>
      <c r="Q101" s="228">
        <v>155.96</v>
      </c>
      <c r="R101" s="228">
        <v>151.13999999999999</v>
      </c>
      <c r="S101" s="228">
        <v>4.82</v>
      </c>
      <c r="T101" s="229">
        <v>3.1899999999999998E-2</v>
      </c>
      <c r="U101" s="228">
        <v>156.63</v>
      </c>
      <c r="V101" s="228">
        <v>151.85</v>
      </c>
      <c r="W101" s="228">
        <v>4.78</v>
      </c>
      <c r="X101" s="229">
        <v>3.15E-2</v>
      </c>
      <c r="Y101" s="228">
        <v>-0.04</v>
      </c>
      <c r="Z101" s="228">
        <v>0</v>
      </c>
      <c r="AA101" s="228">
        <v>-0.04</v>
      </c>
      <c r="AB101" s="229">
        <v>-2.9999999999999997E-4</v>
      </c>
      <c r="AC101" s="228">
        <v>-0.04</v>
      </c>
      <c r="AD101" s="228">
        <v>0</v>
      </c>
      <c r="AE101" s="228">
        <v>-0.04</v>
      </c>
      <c r="AF101" s="229">
        <v>-2.9999999999999997E-4</v>
      </c>
      <c r="AG101" s="228">
        <v>0.76</v>
      </c>
      <c r="AH101" s="228">
        <v>0.77</v>
      </c>
      <c r="AI101" s="228">
        <v>-0.01</v>
      </c>
      <c r="AJ101" s="229">
        <v>4.8999999999999998E-3</v>
      </c>
      <c r="AK101" s="228">
        <v>1.43</v>
      </c>
      <c r="AL101" s="228">
        <v>1.48</v>
      </c>
      <c r="AM101" s="228">
        <v>-0.05</v>
      </c>
      <c r="AN101" s="229">
        <v>9.1999999999999998E-3</v>
      </c>
      <c r="AO101" s="228">
        <v>153.72999999999999</v>
      </c>
      <c r="AP101" s="228">
        <v>154.63999999999999</v>
      </c>
      <c r="AQ101" s="228">
        <v>0</v>
      </c>
      <c r="AR101" s="230">
        <v>91489125</v>
      </c>
      <c r="AS101" s="230">
        <v>89665875</v>
      </c>
      <c r="AT101" s="230">
        <v>1823250</v>
      </c>
      <c r="AU101" s="229">
        <v>2.0299999999999999E-2</v>
      </c>
      <c r="AV101" s="230">
        <v>41925000</v>
      </c>
      <c r="AW101" s="230">
        <v>44143125</v>
      </c>
      <c r="AX101" s="230">
        <v>-2218125</v>
      </c>
      <c r="AY101" s="229">
        <v>-5.0200000000000002E-2</v>
      </c>
      <c r="AZ101" s="230">
        <v>48335625</v>
      </c>
      <c r="BA101" s="230">
        <v>44011500</v>
      </c>
      <c r="BB101" s="230">
        <v>4324125</v>
      </c>
      <c r="BC101" s="229">
        <v>9.8199999999999996E-2</v>
      </c>
      <c r="BD101" s="230">
        <v>1228500</v>
      </c>
      <c r="BE101" s="230">
        <v>1511250</v>
      </c>
      <c r="BF101" s="230">
        <v>-282750</v>
      </c>
      <c r="BG101" s="229">
        <v>-0.18709999999999999</v>
      </c>
      <c r="BH101" s="230">
        <v>162235125</v>
      </c>
      <c r="BI101" s="230">
        <v>64662000</v>
      </c>
      <c r="BJ101" s="230">
        <v>97573125</v>
      </c>
      <c r="BK101" s="229">
        <v>1.5089999999999999</v>
      </c>
      <c r="BL101" s="230">
        <v>61376250</v>
      </c>
      <c r="BM101" s="230">
        <v>33671625</v>
      </c>
      <c r="BN101" s="230">
        <v>27704625</v>
      </c>
      <c r="BO101" s="229">
        <v>0.82279999999999998</v>
      </c>
      <c r="BP101" s="230">
        <v>315100500</v>
      </c>
      <c r="BQ101" s="230">
        <v>187999500</v>
      </c>
      <c r="BR101" s="230">
        <v>127101000</v>
      </c>
      <c r="BS101" s="229">
        <v>0.67610000000000003</v>
      </c>
      <c r="BT101" s="230">
        <v>17398413</v>
      </c>
      <c r="BU101" s="230">
        <v>8739026</v>
      </c>
      <c r="BV101" s="230">
        <v>8659387</v>
      </c>
      <c r="BW101" s="229">
        <v>0.9909</v>
      </c>
      <c r="BX101" s="230">
        <v>128514750</v>
      </c>
      <c r="BY101" s="230">
        <v>127110750</v>
      </c>
      <c r="BZ101" s="230">
        <v>1404000</v>
      </c>
      <c r="CA101" s="229">
        <v>1.0999999999999999E-2</v>
      </c>
      <c r="CB101" s="230">
        <v>44474625</v>
      </c>
      <c r="CC101" s="230">
        <v>69605250</v>
      </c>
      <c r="CD101" s="230">
        <v>-25130625</v>
      </c>
      <c r="CE101" s="229">
        <v>-0.36099999999999999</v>
      </c>
      <c r="CF101" s="230">
        <v>82616625</v>
      </c>
      <c r="CG101" s="230">
        <v>56155125</v>
      </c>
      <c r="CH101" s="230">
        <v>26461500</v>
      </c>
      <c r="CI101" s="229">
        <v>0.47120000000000001</v>
      </c>
      <c r="CJ101" s="230">
        <v>1423500</v>
      </c>
      <c r="CK101" s="230">
        <v>1350375</v>
      </c>
      <c r="CL101" s="230">
        <v>73125</v>
      </c>
      <c r="CM101" s="229">
        <v>5.4199999999999998E-2</v>
      </c>
      <c r="CN101" s="230">
        <v>62317125</v>
      </c>
      <c r="CO101" s="230">
        <v>56286750</v>
      </c>
      <c r="CP101" s="230">
        <v>6030375</v>
      </c>
      <c r="CQ101" s="229">
        <v>0.1071</v>
      </c>
      <c r="CR101" s="230">
        <v>43119375</v>
      </c>
      <c r="CS101" s="230">
        <v>38327250</v>
      </c>
      <c r="CT101" s="230">
        <v>4792125</v>
      </c>
      <c r="CU101" s="229">
        <v>0.125</v>
      </c>
      <c r="CV101" s="230">
        <v>233951250</v>
      </c>
      <c r="CW101" s="230">
        <v>221724750</v>
      </c>
      <c r="CX101" s="230">
        <v>12226500</v>
      </c>
      <c r="CY101" s="229">
        <v>5.5100000000000003E-2</v>
      </c>
      <c r="CZ101" s="228">
        <v>25.44</v>
      </c>
      <c r="DA101" s="228">
        <v>23.85</v>
      </c>
      <c r="DB101" s="228">
        <v>1.59</v>
      </c>
      <c r="DC101" s="228">
        <v>1.59</v>
      </c>
      <c r="DD101" s="228">
        <v>32.03</v>
      </c>
      <c r="DE101" s="228">
        <v>31.83</v>
      </c>
      <c r="DF101" s="228">
        <v>-6.59</v>
      </c>
      <c r="DG101" s="228">
        <v>0.2</v>
      </c>
      <c r="DH101" s="228">
        <v>25.54</v>
      </c>
      <c r="DI101" s="228">
        <v>23.97</v>
      </c>
      <c r="DJ101" s="228">
        <v>1.57</v>
      </c>
      <c r="DK101" s="228">
        <v>1.57</v>
      </c>
      <c r="DL101" s="228">
        <v>25.19</v>
      </c>
      <c r="DM101" s="228">
        <v>23.62</v>
      </c>
      <c r="DN101" s="228">
        <v>1.57</v>
      </c>
      <c r="DO101" s="228">
        <v>1.57</v>
      </c>
      <c r="DP101" s="228">
        <v>0.69</v>
      </c>
      <c r="DQ101" s="228">
        <v>0.68</v>
      </c>
      <c r="DR101" s="228">
        <v>0.01</v>
      </c>
      <c r="DS101" s="229">
        <v>1.47E-2</v>
      </c>
      <c r="DT101" s="228">
        <v>160</v>
      </c>
      <c r="DU101" s="228">
        <v>150</v>
      </c>
      <c r="DV101" s="228">
        <v>0.38</v>
      </c>
      <c r="DW101" s="228">
        <v>0.52</v>
      </c>
      <c r="DX101" s="228">
        <v>-0.14000000000000001</v>
      </c>
      <c r="DY101" s="229">
        <v>-0.26919999999999999</v>
      </c>
      <c r="DZ101" s="229">
        <v>0.65390000000000004</v>
      </c>
      <c r="EA101" s="230">
        <v>57505500</v>
      </c>
      <c r="EB101" s="229">
        <v>5.1999999999999998E-3</v>
      </c>
      <c r="EC101" s="229">
        <v>0.65390000000000004</v>
      </c>
      <c r="ED101" s="228">
        <v>0.91</v>
      </c>
      <c r="EE101" s="229">
        <v>5.8999999999999999E-3</v>
      </c>
      <c r="EF101" s="230">
        <v>8240771</v>
      </c>
      <c r="EG101" s="230">
        <v>4229650</v>
      </c>
      <c r="EH101" s="229">
        <v>0.94830000000000003</v>
      </c>
      <c r="EI101" s="229">
        <v>0.47370000000000001</v>
      </c>
      <c r="EJ101" s="231">
        <v>256337.82</v>
      </c>
      <c r="EK101" s="231">
        <v>93834.25</v>
      </c>
      <c r="EL101" s="231">
        <v>141104.29</v>
      </c>
      <c r="EM101" s="231">
        <v>8959</v>
      </c>
      <c r="EN101" s="231">
        <v>491276.36</v>
      </c>
      <c r="EO101" s="231">
        <v>287871.38</v>
      </c>
      <c r="EP101" s="231">
        <v>203404.98</v>
      </c>
      <c r="EQ101" s="229">
        <v>0.70660000000000001</v>
      </c>
      <c r="ER101" s="231">
        <v>98581</v>
      </c>
      <c r="ES101" s="231">
        <v>64303</v>
      </c>
      <c r="ET101" s="231">
        <v>200085</v>
      </c>
      <c r="EU101" s="231">
        <v>684903861</v>
      </c>
      <c r="EV101" s="231">
        <v>362969</v>
      </c>
      <c r="EW101" s="231">
        <v>337176</v>
      </c>
      <c r="EX101" s="231">
        <v>25793</v>
      </c>
      <c r="EY101" s="229">
        <v>7.6499999999999999E-2</v>
      </c>
      <c r="EZ101" s="229">
        <v>0.34160000000000001</v>
      </c>
      <c r="FA101" s="227" t="s">
        <v>555</v>
      </c>
      <c r="FB101" s="161">
        <f t="shared" si="1"/>
        <v>84040125</v>
      </c>
    </row>
    <row r="102" spans="1:158" ht="17.25" hidden="1" thickBot="1" x14ac:dyDescent="0.3">
      <c r="A102" s="226">
        <v>45957</v>
      </c>
      <c r="B102" s="227" t="s">
        <v>215</v>
      </c>
      <c r="C102" s="227" t="s">
        <v>490</v>
      </c>
      <c r="D102" s="228">
        <v>875</v>
      </c>
      <c r="E102" s="228">
        <v>723.35</v>
      </c>
      <c r="F102" s="228">
        <v>716.55</v>
      </c>
      <c r="G102" s="228">
        <v>6.8</v>
      </c>
      <c r="H102" s="229">
        <v>9.4999999999999998E-3</v>
      </c>
      <c r="I102" s="228">
        <v>724.1</v>
      </c>
      <c r="J102" s="228">
        <v>714.8</v>
      </c>
      <c r="K102" s="228">
        <v>9.3000000000000007</v>
      </c>
      <c r="L102" s="229">
        <v>1.2999999999999999E-2</v>
      </c>
      <c r="M102" s="228">
        <v>723.35</v>
      </c>
      <c r="N102" s="228">
        <v>716.55</v>
      </c>
      <c r="O102" s="228">
        <v>6.8</v>
      </c>
      <c r="P102" s="229">
        <v>9.4999999999999998E-3</v>
      </c>
      <c r="Q102" s="228">
        <v>722.95</v>
      </c>
      <c r="R102" s="228">
        <v>716.2</v>
      </c>
      <c r="S102" s="228">
        <v>6.75</v>
      </c>
      <c r="T102" s="229">
        <v>9.4000000000000004E-3</v>
      </c>
      <c r="U102" s="228">
        <v>727.6</v>
      </c>
      <c r="V102" s="228">
        <v>721.2</v>
      </c>
      <c r="W102" s="228">
        <v>6.4</v>
      </c>
      <c r="X102" s="229">
        <v>8.8999999999999999E-3</v>
      </c>
      <c r="Y102" s="228">
        <v>-0.75</v>
      </c>
      <c r="Z102" s="228">
        <v>1.75</v>
      </c>
      <c r="AA102" s="228">
        <v>-2.5</v>
      </c>
      <c r="AB102" s="229">
        <v>-1E-3</v>
      </c>
      <c r="AC102" s="228">
        <v>-0.75</v>
      </c>
      <c r="AD102" s="228">
        <v>1.75</v>
      </c>
      <c r="AE102" s="228">
        <v>-2.5</v>
      </c>
      <c r="AF102" s="229">
        <v>-1E-3</v>
      </c>
      <c r="AG102" s="228">
        <v>-1.1499999999999999</v>
      </c>
      <c r="AH102" s="228">
        <v>1.4</v>
      </c>
      <c r="AI102" s="228">
        <v>-2.5499999999999998</v>
      </c>
      <c r="AJ102" s="229">
        <v>-1.6000000000000001E-3</v>
      </c>
      <c r="AK102" s="228">
        <v>3.5</v>
      </c>
      <c r="AL102" s="228">
        <v>6.4</v>
      </c>
      <c r="AM102" s="228">
        <v>-2.9</v>
      </c>
      <c r="AN102" s="229">
        <v>4.7999999999999996E-3</v>
      </c>
      <c r="AO102" s="228">
        <v>720.71</v>
      </c>
      <c r="AP102" s="228">
        <v>720.53</v>
      </c>
      <c r="AQ102" s="228">
        <v>0</v>
      </c>
      <c r="AR102" s="230">
        <v>9099125</v>
      </c>
      <c r="AS102" s="230">
        <v>11665500</v>
      </c>
      <c r="AT102" s="230">
        <v>-2566375</v>
      </c>
      <c r="AU102" s="229">
        <v>-0.22</v>
      </c>
      <c r="AV102" s="230">
        <v>4301500</v>
      </c>
      <c r="AW102" s="230">
        <v>5789000</v>
      </c>
      <c r="AX102" s="230">
        <v>-1487500</v>
      </c>
      <c r="AY102" s="229">
        <v>-0.25700000000000001</v>
      </c>
      <c r="AZ102" s="230">
        <v>4516750</v>
      </c>
      <c r="BA102" s="230">
        <v>5670000</v>
      </c>
      <c r="BB102" s="230">
        <v>-1153250</v>
      </c>
      <c r="BC102" s="229">
        <v>-0.2034</v>
      </c>
      <c r="BD102" s="230">
        <v>280875</v>
      </c>
      <c r="BE102" s="230">
        <v>206500</v>
      </c>
      <c r="BF102" s="230">
        <v>74375</v>
      </c>
      <c r="BG102" s="229">
        <v>0.36020000000000002</v>
      </c>
      <c r="BH102" s="230">
        <v>8822625</v>
      </c>
      <c r="BI102" s="230">
        <v>19140625</v>
      </c>
      <c r="BJ102" s="230">
        <v>-10318000</v>
      </c>
      <c r="BK102" s="229">
        <v>-0.53910000000000002</v>
      </c>
      <c r="BL102" s="230">
        <v>4161500</v>
      </c>
      <c r="BM102" s="230">
        <v>5642000</v>
      </c>
      <c r="BN102" s="230">
        <v>-1480500</v>
      </c>
      <c r="BO102" s="229">
        <v>-0.26240000000000002</v>
      </c>
      <c r="BP102" s="230">
        <v>22083250</v>
      </c>
      <c r="BQ102" s="230">
        <v>36448125</v>
      </c>
      <c r="BR102" s="230">
        <v>-14364875</v>
      </c>
      <c r="BS102" s="229">
        <v>-0.39410000000000001</v>
      </c>
      <c r="BT102" s="230">
        <v>1165477</v>
      </c>
      <c r="BU102" s="230">
        <v>1051251</v>
      </c>
      <c r="BV102" s="230">
        <v>114226</v>
      </c>
      <c r="BW102" s="229">
        <v>0.1087</v>
      </c>
      <c r="BX102" s="230">
        <v>16360750</v>
      </c>
      <c r="BY102" s="230">
        <v>15573250</v>
      </c>
      <c r="BZ102" s="230">
        <v>787500</v>
      </c>
      <c r="CA102" s="229">
        <v>5.0599999999999999E-2</v>
      </c>
      <c r="CB102" s="230">
        <v>3313625</v>
      </c>
      <c r="CC102" s="230">
        <v>5180000</v>
      </c>
      <c r="CD102" s="230">
        <v>-1866375</v>
      </c>
      <c r="CE102" s="229">
        <v>-0.36030000000000001</v>
      </c>
      <c r="CF102" s="230">
        <v>12537875</v>
      </c>
      <c r="CG102" s="230">
        <v>9998625</v>
      </c>
      <c r="CH102" s="230">
        <v>2539250</v>
      </c>
      <c r="CI102" s="229">
        <v>0.254</v>
      </c>
      <c r="CJ102" s="230">
        <v>509250</v>
      </c>
      <c r="CK102" s="230">
        <v>394625</v>
      </c>
      <c r="CL102" s="230">
        <v>114625</v>
      </c>
      <c r="CM102" s="229">
        <v>0.29049999999999998</v>
      </c>
      <c r="CN102" s="230">
        <v>8860250</v>
      </c>
      <c r="CO102" s="230">
        <v>9539250</v>
      </c>
      <c r="CP102" s="230">
        <v>-679000</v>
      </c>
      <c r="CQ102" s="229">
        <v>-7.1199999999999999E-2</v>
      </c>
      <c r="CR102" s="230">
        <v>5335750</v>
      </c>
      <c r="CS102" s="230">
        <v>5306875</v>
      </c>
      <c r="CT102" s="230">
        <v>28875</v>
      </c>
      <c r="CU102" s="229">
        <v>5.4000000000000003E-3</v>
      </c>
      <c r="CV102" s="230">
        <v>30556750</v>
      </c>
      <c r="CW102" s="230">
        <v>30419375</v>
      </c>
      <c r="CX102" s="230">
        <v>137375</v>
      </c>
      <c r="CY102" s="229">
        <v>4.4999999999999997E-3</v>
      </c>
      <c r="CZ102" s="228">
        <v>22.8</v>
      </c>
      <c r="DA102" s="228">
        <v>23.05</v>
      </c>
      <c r="DB102" s="228">
        <v>-0.25</v>
      </c>
      <c r="DC102" s="228">
        <v>-0.25</v>
      </c>
      <c r="DD102" s="228">
        <v>30.79</v>
      </c>
      <c r="DE102" s="228">
        <v>30.84</v>
      </c>
      <c r="DF102" s="228">
        <v>-7.99</v>
      </c>
      <c r="DG102" s="228">
        <v>-0.05</v>
      </c>
      <c r="DH102" s="228">
        <v>23.04</v>
      </c>
      <c r="DI102" s="228">
        <v>23.11</v>
      </c>
      <c r="DJ102" s="228">
        <v>-7.0000000000000007E-2</v>
      </c>
      <c r="DK102" s="228">
        <v>-7.0000000000000007E-2</v>
      </c>
      <c r="DL102" s="228">
        <v>22.28</v>
      </c>
      <c r="DM102" s="228">
        <v>22.89</v>
      </c>
      <c r="DN102" s="228">
        <v>-0.61</v>
      </c>
      <c r="DO102" s="228">
        <v>-0.61</v>
      </c>
      <c r="DP102" s="228">
        <v>0.6</v>
      </c>
      <c r="DQ102" s="228">
        <v>0.56000000000000005</v>
      </c>
      <c r="DR102" s="228">
        <v>0.04</v>
      </c>
      <c r="DS102" s="229">
        <v>7.1400000000000005E-2</v>
      </c>
      <c r="DT102" s="228">
        <v>800</v>
      </c>
      <c r="DU102" s="228">
        <v>720</v>
      </c>
      <c r="DV102" s="228">
        <v>0.47</v>
      </c>
      <c r="DW102" s="228">
        <v>0.28999999999999998</v>
      </c>
      <c r="DX102" s="228">
        <v>0.18</v>
      </c>
      <c r="DY102" s="229">
        <v>0.62070000000000003</v>
      </c>
      <c r="DZ102" s="229">
        <v>0.79749999999999999</v>
      </c>
      <c r="EA102" s="230">
        <v>10393250</v>
      </c>
      <c r="EB102" s="229">
        <v>-5.9999999999999995E-4</v>
      </c>
      <c r="EC102" s="229">
        <v>0.79749999999999999</v>
      </c>
      <c r="ED102" s="228">
        <v>-0.18</v>
      </c>
      <c r="EE102" s="229">
        <v>-2.0000000000000001E-4</v>
      </c>
      <c r="EF102" s="230">
        <v>689856</v>
      </c>
      <c r="EG102" s="230">
        <v>516819</v>
      </c>
      <c r="EH102" s="229">
        <v>0.33479999999999999</v>
      </c>
      <c r="EI102" s="229">
        <v>0.59189999999999998</v>
      </c>
      <c r="EJ102" s="231">
        <v>65583.55</v>
      </c>
      <c r="EK102" s="231">
        <v>30607.84</v>
      </c>
      <c r="EL102" s="231">
        <v>65582.13</v>
      </c>
      <c r="EM102" s="231">
        <v>7862</v>
      </c>
      <c r="EN102" s="231">
        <v>161773.51999999999</v>
      </c>
      <c r="EO102" s="231">
        <v>266859.21999999997</v>
      </c>
      <c r="EP102" s="231">
        <v>-105085.7</v>
      </c>
      <c r="EQ102" s="229">
        <v>-0.39379999999999998</v>
      </c>
      <c r="ER102" s="231">
        <v>66435</v>
      </c>
      <c r="ES102" s="231">
        <v>38172</v>
      </c>
      <c r="ET102" s="231">
        <v>118317</v>
      </c>
      <c r="EU102" s="231">
        <v>30082783</v>
      </c>
      <c r="EV102" s="231">
        <v>222924</v>
      </c>
      <c r="EW102" s="231">
        <v>220954</v>
      </c>
      <c r="EX102" s="231">
        <v>1970</v>
      </c>
      <c r="EY102" s="229">
        <v>8.8999999999999999E-3</v>
      </c>
      <c r="EZ102" s="229">
        <v>1.0158</v>
      </c>
      <c r="FA102" s="227" t="s">
        <v>555</v>
      </c>
      <c r="FB102" s="161">
        <f t="shared" si="1"/>
        <v>13047125</v>
      </c>
    </row>
    <row r="103" spans="1:158" ht="17.25" hidden="1" thickBot="1" x14ac:dyDescent="0.3">
      <c r="A103" s="226">
        <v>45957</v>
      </c>
      <c r="B103" s="227" t="s">
        <v>175</v>
      </c>
      <c r="C103" s="227" t="s">
        <v>665</v>
      </c>
      <c r="D103" s="228">
        <v>3450</v>
      </c>
      <c r="E103" s="228">
        <v>153.79</v>
      </c>
      <c r="F103" s="228">
        <v>153.86000000000001</v>
      </c>
      <c r="G103" s="228">
        <v>-7.0000000000000007E-2</v>
      </c>
      <c r="H103" s="229">
        <v>-5.0000000000000001E-4</v>
      </c>
      <c r="I103" s="228">
        <v>153.37</v>
      </c>
      <c r="J103" s="228">
        <v>153.4</v>
      </c>
      <c r="K103" s="228">
        <v>-0.03</v>
      </c>
      <c r="L103" s="229">
        <v>-2.0000000000000001E-4</v>
      </c>
      <c r="M103" s="228">
        <v>153.79</v>
      </c>
      <c r="N103" s="228">
        <v>153.86000000000001</v>
      </c>
      <c r="O103" s="228">
        <v>-7.0000000000000007E-2</v>
      </c>
      <c r="P103" s="229">
        <v>-5.0000000000000001E-4</v>
      </c>
      <c r="Q103" s="228">
        <v>153.75</v>
      </c>
      <c r="R103" s="228">
        <v>152.52000000000001</v>
      </c>
      <c r="S103" s="228">
        <v>1.23</v>
      </c>
      <c r="T103" s="229">
        <v>8.0999999999999996E-3</v>
      </c>
      <c r="U103" s="228">
        <v>153.41</v>
      </c>
      <c r="V103" s="228">
        <v>152.13999999999999</v>
      </c>
      <c r="W103" s="228">
        <v>1.27</v>
      </c>
      <c r="X103" s="229">
        <v>8.3000000000000001E-3</v>
      </c>
      <c r="Y103" s="228">
        <v>0.42</v>
      </c>
      <c r="Z103" s="228">
        <v>0.46</v>
      </c>
      <c r="AA103" s="228">
        <v>-0.04</v>
      </c>
      <c r="AB103" s="229">
        <v>2.7000000000000001E-3</v>
      </c>
      <c r="AC103" s="228">
        <v>0.42</v>
      </c>
      <c r="AD103" s="228">
        <v>0.46</v>
      </c>
      <c r="AE103" s="228">
        <v>-0.04</v>
      </c>
      <c r="AF103" s="229">
        <v>2.7000000000000001E-3</v>
      </c>
      <c r="AG103" s="228">
        <v>0.38</v>
      </c>
      <c r="AH103" s="228">
        <v>-0.88</v>
      </c>
      <c r="AI103" s="228">
        <v>1.26</v>
      </c>
      <c r="AJ103" s="229">
        <v>2.5000000000000001E-3</v>
      </c>
      <c r="AK103" s="228">
        <v>0.04</v>
      </c>
      <c r="AL103" s="228">
        <v>-1.26</v>
      </c>
      <c r="AM103" s="228">
        <v>1.3</v>
      </c>
      <c r="AN103" s="229">
        <v>2.9999999999999997E-4</v>
      </c>
      <c r="AO103" s="228">
        <v>154.88999999999999</v>
      </c>
      <c r="AP103" s="228">
        <v>154.27000000000001</v>
      </c>
      <c r="AQ103" s="228">
        <v>0</v>
      </c>
      <c r="AR103" s="230">
        <v>42228000</v>
      </c>
      <c r="AS103" s="230">
        <v>35441850</v>
      </c>
      <c r="AT103" s="230">
        <v>6786150</v>
      </c>
      <c r="AU103" s="229">
        <v>0.1915</v>
      </c>
      <c r="AV103" s="230">
        <v>20596500</v>
      </c>
      <c r="AW103" s="230">
        <v>18768000</v>
      </c>
      <c r="AX103" s="230">
        <v>1828500</v>
      </c>
      <c r="AY103" s="229">
        <v>9.74E-2</v>
      </c>
      <c r="AZ103" s="230">
        <v>21000150</v>
      </c>
      <c r="BA103" s="230">
        <v>16166700</v>
      </c>
      <c r="BB103" s="230">
        <v>4833450</v>
      </c>
      <c r="BC103" s="229">
        <v>0.29899999999999999</v>
      </c>
      <c r="BD103" s="230">
        <v>631350</v>
      </c>
      <c r="BE103" s="230">
        <v>507150</v>
      </c>
      <c r="BF103" s="230">
        <v>124200</v>
      </c>
      <c r="BG103" s="229">
        <v>0.24490000000000001</v>
      </c>
      <c r="BH103" s="230">
        <v>32057400</v>
      </c>
      <c r="BI103" s="230">
        <v>36787350</v>
      </c>
      <c r="BJ103" s="230">
        <v>-4729950</v>
      </c>
      <c r="BK103" s="229">
        <v>-0.12859999999999999</v>
      </c>
      <c r="BL103" s="230">
        <v>10767450</v>
      </c>
      <c r="BM103" s="230">
        <v>12502800</v>
      </c>
      <c r="BN103" s="230">
        <v>-1735350</v>
      </c>
      <c r="BO103" s="229">
        <v>-0.13880000000000001</v>
      </c>
      <c r="BP103" s="230">
        <v>85052850</v>
      </c>
      <c r="BQ103" s="230">
        <v>84732000</v>
      </c>
      <c r="BR103" s="230">
        <v>320850</v>
      </c>
      <c r="BS103" s="229">
        <v>3.8E-3</v>
      </c>
      <c r="BT103" s="230">
        <v>7507527</v>
      </c>
      <c r="BU103" s="230">
        <v>7629782</v>
      </c>
      <c r="BV103" s="230">
        <v>-122255</v>
      </c>
      <c r="BW103" s="229">
        <v>-1.6E-2</v>
      </c>
      <c r="BX103" s="230">
        <v>42921450</v>
      </c>
      <c r="BY103" s="230">
        <v>47675550</v>
      </c>
      <c r="BZ103" s="230">
        <v>-4754100</v>
      </c>
      <c r="CA103" s="229">
        <v>-9.9699999999999997E-2</v>
      </c>
      <c r="CB103" s="230">
        <v>9125250</v>
      </c>
      <c r="CC103" s="230">
        <v>19937550</v>
      </c>
      <c r="CD103" s="230">
        <v>-10812300</v>
      </c>
      <c r="CE103" s="229">
        <v>-0.5423</v>
      </c>
      <c r="CF103" s="230">
        <v>31212150</v>
      </c>
      <c r="CG103" s="230">
        <v>25205700</v>
      </c>
      <c r="CH103" s="230">
        <v>6006450</v>
      </c>
      <c r="CI103" s="229">
        <v>0.23830000000000001</v>
      </c>
      <c r="CJ103" s="230">
        <v>2584050</v>
      </c>
      <c r="CK103" s="230">
        <v>2532300</v>
      </c>
      <c r="CL103" s="230">
        <v>51750</v>
      </c>
      <c r="CM103" s="229">
        <v>2.0400000000000001E-2</v>
      </c>
      <c r="CN103" s="230">
        <v>29583750</v>
      </c>
      <c r="CO103" s="230">
        <v>34610400</v>
      </c>
      <c r="CP103" s="230">
        <v>-5026650</v>
      </c>
      <c r="CQ103" s="229">
        <v>-0.1452</v>
      </c>
      <c r="CR103" s="230">
        <v>15525000</v>
      </c>
      <c r="CS103" s="230">
        <v>16380600</v>
      </c>
      <c r="CT103" s="230">
        <v>-855600</v>
      </c>
      <c r="CU103" s="229">
        <v>-5.2200000000000003E-2</v>
      </c>
      <c r="CV103" s="230">
        <v>88030200</v>
      </c>
      <c r="CW103" s="230">
        <v>98666550</v>
      </c>
      <c r="CX103" s="230">
        <v>-10636350</v>
      </c>
      <c r="CY103" s="229">
        <v>-0.10780000000000001</v>
      </c>
      <c r="CZ103" s="228">
        <v>33.770000000000003</v>
      </c>
      <c r="DA103" s="228">
        <v>32.33</v>
      </c>
      <c r="DB103" s="228">
        <v>1.44</v>
      </c>
      <c r="DC103" s="228">
        <v>1.44</v>
      </c>
      <c r="DD103" s="228">
        <v>51.74</v>
      </c>
      <c r="DE103" s="228">
        <v>51.87</v>
      </c>
      <c r="DF103" s="228">
        <v>-17.97</v>
      </c>
      <c r="DG103" s="228">
        <v>-0.13</v>
      </c>
      <c r="DH103" s="228">
        <v>33.700000000000003</v>
      </c>
      <c r="DI103" s="228">
        <v>32.58</v>
      </c>
      <c r="DJ103" s="228">
        <v>1.1200000000000001</v>
      </c>
      <c r="DK103" s="228">
        <v>1.1200000000000001</v>
      </c>
      <c r="DL103" s="228">
        <v>33.94</v>
      </c>
      <c r="DM103" s="228">
        <v>31.65</v>
      </c>
      <c r="DN103" s="228">
        <v>2.29</v>
      </c>
      <c r="DO103" s="228">
        <v>2.29</v>
      </c>
      <c r="DP103" s="228">
        <v>0.52</v>
      </c>
      <c r="DQ103" s="228">
        <v>0.47</v>
      </c>
      <c r="DR103" s="228">
        <v>0.05</v>
      </c>
      <c r="DS103" s="229">
        <v>0.10639999999999999</v>
      </c>
      <c r="DT103" s="228">
        <v>160</v>
      </c>
      <c r="DU103" s="228">
        <v>150</v>
      </c>
      <c r="DV103" s="228">
        <v>0.34</v>
      </c>
      <c r="DW103" s="228">
        <v>0.34</v>
      </c>
      <c r="DX103" s="228">
        <v>0</v>
      </c>
      <c r="DY103" s="229">
        <v>0</v>
      </c>
      <c r="DZ103" s="229">
        <v>0.78739999999999999</v>
      </c>
      <c r="EA103" s="230">
        <v>27738000</v>
      </c>
      <c r="EB103" s="229">
        <v>-2.9999999999999997E-4</v>
      </c>
      <c r="EC103" s="229">
        <v>0.78739999999999999</v>
      </c>
      <c r="ED103" s="228">
        <v>-0.62</v>
      </c>
      <c r="EE103" s="229">
        <v>-4.0000000000000001E-3</v>
      </c>
      <c r="EF103" s="230">
        <v>2831628</v>
      </c>
      <c r="EG103" s="230">
        <v>1913114</v>
      </c>
      <c r="EH103" s="229">
        <v>0.48010000000000003</v>
      </c>
      <c r="EI103" s="229">
        <v>0.37719999999999998</v>
      </c>
      <c r="EJ103" s="231">
        <v>51495.89</v>
      </c>
      <c r="EK103" s="231">
        <v>16455.43</v>
      </c>
      <c r="EL103" s="231">
        <v>65270.66</v>
      </c>
      <c r="EM103" s="231">
        <v>6117</v>
      </c>
      <c r="EN103" s="231">
        <v>133221.98000000001</v>
      </c>
      <c r="EO103" s="231">
        <v>132638.57999999999</v>
      </c>
      <c r="EP103" s="228">
        <v>583.4</v>
      </c>
      <c r="EQ103" s="229">
        <v>4.4000000000000003E-3</v>
      </c>
      <c r="ER103" s="231">
        <v>47755</v>
      </c>
      <c r="ES103" s="231">
        <v>23134</v>
      </c>
      <c r="ET103" s="231">
        <v>65987</v>
      </c>
      <c r="EU103" s="231">
        <v>119011160</v>
      </c>
      <c r="EV103" s="231">
        <v>136876</v>
      </c>
      <c r="EW103" s="231">
        <v>153181</v>
      </c>
      <c r="EX103" s="231">
        <v>-16305</v>
      </c>
      <c r="EY103" s="229">
        <v>-0.10639999999999999</v>
      </c>
      <c r="EZ103" s="229">
        <v>0.73970000000000002</v>
      </c>
      <c r="FA103" s="227" t="s">
        <v>568</v>
      </c>
      <c r="FB103" s="161">
        <f t="shared" si="1"/>
        <v>33796200</v>
      </c>
    </row>
    <row r="104" spans="1:158" ht="17.25" hidden="1" thickBot="1" x14ac:dyDescent="0.3">
      <c r="A104" s="226">
        <v>45957</v>
      </c>
      <c r="B104" s="227" t="s">
        <v>215</v>
      </c>
      <c r="C104" s="227" t="s">
        <v>592</v>
      </c>
      <c r="D104" s="228">
        <v>4250</v>
      </c>
      <c r="E104" s="228">
        <v>123.66</v>
      </c>
      <c r="F104" s="228">
        <v>123.62</v>
      </c>
      <c r="G104" s="228">
        <v>0.04</v>
      </c>
      <c r="H104" s="229">
        <v>2.9999999999999997E-4</v>
      </c>
      <c r="I104" s="228">
        <v>123.45</v>
      </c>
      <c r="J104" s="228">
        <v>123.73</v>
      </c>
      <c r="K104" s="228">
        <v>-0.28000000000000003</v>
      </c>
      <c r="L104" s="229">
        <v>-2.3E-3</v>
      </c>
      <c r="M104" s="228">
        <v>123.66</v>
      </c>
      <c r="N104" s="228">
        <v>123.62</v>
      </c>
      <c r="O104" s="228">
        <v>0.04</v>
      </c>
      <c r="P104" s="229">
        <v>2.9999999999999997E-4</v>
      </c>
      <c r="Q104" s="228">
        <v>124.3</v>
      </c>
      <c r="R104" s="228">
        <v>124.22</v>
      </c>
      <c r="S104" s="228">
        <v>0.08</v>
      </c>
      <c r="T104" s="229">
        <v>5.9999999999999995E-4</v>
      </c>
      <c r="U104" s="228">
        <v>125.07</v>
      </c>
      <c r="V104" s="228">
        <v>124.97</v>
      </c>
      <c r="W104" s="228">
        <v>0.1</v>
      </c>
      <c r="X104" s="229">
        <v>8.0000000000000004E-4</v>
      </c>
      <c r="Y104" s="228">
        <v>0.21</v>
      </c>
      <c r="Z104" s="228">
        <v>-0.11</v>
      </c>
      <c r="AA104" s="228">
        <v>0.32</v>
      </c>
      <c r="AB104" s="229">
        <v>1.6999999999999999E-3</v>
      </c>
      <c r="AC104" s="228">
        <v>0.21</v>
      </c>
      <c r="AD104" s="228">
        <v>-0.11</v>
      </c>
      <c r="AE104" s="228">
        <v>0.32</v>
      </c>
      <c r="AF104" s="229">
        <v>1.6999999999999999E-3</v>
      </c>
      <c r="AG104" s="228">
        <v>0.85</v>
      </c>
      <c r="AH104" s="228">
        <v>0.49</v>
      </c>
      <c r="AI104" s="228">
        <v>0.36</v>
      </c>
      <c r="AJ104" s="229">
        <v>6.8999999999999999E-3</v>
      </c>
      <c r="AK104" s="228">
        <v>1.62</v>
      </c>
      <c r="AL104" s="228">
        <v>1.24</v>
      </c>
      <c r="AM104" s="228">
        <v>0.38</v>
      </c>
      <c r="AN104" s="229">
        <v>1.3100000000000001E-2</v>
      </c>
      <c r="AO104" s="228">
        <v>123.83</v>
      </c>
      <c r="AP104" s="228">
        <v>124.47</v>
      </c>
      <c r="AQ104" s="228">
        <v>0</v>
      </c>
      <c r="AR104" s="230">
        <v>30056000</v>
      </c>
      <c r="AS104" s="230">
        <v>31930250</v>
      </c>
      <c r="AT104" s="230">
        <v>-1874250</v>
      </c>
      <c r="AU104" s="229">
        <v>-5.8700000000000002E-2</v>
      </c>
      <c r="AV104" s="230">
        <v>14662500</v>
      </c>
      <c r="AW104" s="230">
        <v>15848250</v>
      </c>
      <c r="AX104" s="230">
        <v>-1185750</v>
      </c>
      <c r="AY104" s="229">
        <v>-7.4800000000000005E-2</v>
      </c>
      <c r="AZ104" s="230">
        <v>14926000</v>
      </c>
      <c r="BA104" s="230">
        <v>15606000</v>
      </c>
      <c r="BB104" s="230">
        <v>-680000</v>
      </c>
      <c r="BC104" s="229">
        <v>-4.36E-2</v>
      </c>
      <c r="BD104" s="230">
        <v>467500</v>
      </c>
      <c r="BE104" s="230">
        <v>476000</v>
      </c>
      <c r="BF104" s="230">
        <v>-8500</v>
      </c>
      <c r="BG104" s="229">
        <v>-1.7899999999999999E-2</v>
      </c>
      <c r="BH104" s="230">
        <v>16885250</v>
      </c>
      <c r="BI104" s="230">
        <v>18916750</v>
      </c>
      <c r="BJ104" s="230">
        <v>-2031500</v>
      </c>
      <c r="BK104" s="229">
        <v>-0.1074</v>
      </c>
      <c r="BL104" s="230">
        <v>9626250</v>
      </c>
      <c r="BM104" s="230">
        <v>7437500</v>
      </c>
      <c r="BN104" s="230">
        <v>2188750</v>
      </c>
      <c r="BO104" s="229">
        <v>0.29430000000000001</v>
      </c>
      <c r="BP104" s="230">
        <v>56567500</v>
      </c>
      <c r="BQ104" s="230">
        <v>58284500</v>
      </c>
      <c r="BR104" s="230">
        <v>-1717000</v>
      </c>
      <c r="BS104" s="229">
        <v>-2.9499999999999998E-2</v>
      </c>
      <c r="BT104" s="230">
        <v>5666625</v>
      </c>
      <c r="BU104" s="230">
        <v>6327151</v>
      </c>
      <c r="BV104" s="230">
        <v>-660526</v>
      </c>
      <c r="BW104" s="229">
        <v>-0.10440000000000001</v>
      </c>
      <c r="BX104" s="230">
        <v>44676000</v>
      </c>
      <c r="BY104" s="230">
        <v>45734250</v>
      </c>
      <c r="BZ104" s="230">
        <v>-1058250</v>
      </c>
      <c r="CA104" s="229">
        <v>-2.3099999999999999E-2</v>
      </c>
      <c r="CB104" s="230">
        <v>12133750</v>
      </c>
      <c r="CC104" s="230">
        <v>22410250</v>
      </c>
      <c r="CD104" s="230">
        <v>-10276500</v>
      </c>
      <c r="CE104" s="229">
        <v>-0.45860000000000001</v>
      </c>
      <c r="CF104" s="230">
        <v>30702000</v>
      </c>
      <c r="CG104" s="230">
        <v>21760000</v>
      </c>
      <c r="CH104" s="230">
        <v>8942000</v>
      </c>
      <c r="CI104" s="229">
        <v>0.41089999999999999</v>
      </c>
      <c r="CJ104" s="230">
        <v>1840250</v>
      </c>
      <c r="CK104" s="230">
        <v>1564000</v>
      </c>
      <c r="CL104" s="230">
        <v>276250</v>
      </c>
      <c r="CM104" s="229">
        <v>0.17660000000000001</v>
      </c>
      <c r="CN104" s="230">
        <v>37004750</v>
      </c>
      <c r="CO104" s="230">
        <v>38033250</v>
      </c>
      <c r="CP104" s="230">
        <v>-1028500</v>
      </c>
      <c r="CQ104" s="229">
        <v>-2.7E-2</v>
      </c>
      <c r="CR104" s="230">
        <v>17255000</v>
      </c>
      <c r="CS104" s="230">
        <v>17501500</v>
      </c>
      <c r="CT104" s="230">
        <v>-246500</v>
      </c>
      <c r="CU104" s="229">
        <v>-1.41E-2</v>
      </c>
      <c r="CV104" s="230">
        <v>98935750</v>
      </c>
      <c r="CW104" s="230">
        <v>101269000</v>
      </c>
      <c r="CX104" s="230">
        <v>-2333250</v>
      </c>
      <c r="CY104" s="229">
        <v>-2.3E-2</v>
      </c>
      <c r="CZ104" s="228">
        <v>27.63</v>
      </c>
      <c r="DA104" s="228">
        <v>27.44</v>
      </c>
      <c r="DB104" s="228">
        <v>0.19</v>
      </c>
      <c r="DC104" s="228">
        <v>0.19</v>
      </c>
      <c r="DD104" s="228">
        <v>46.98</v>
      </c>
      <c r="DE104" s="228">
        <v>47.1</v>
      </c>
      <c r="DF104" s="228">
        <v>-19.350000000000001</v>
      </c>
      <c r="DG104" s="228">
        <v>-0.12</v>
      </c>
      <c r="DH104" s="228">
        <v>28.09</v>
      </c>
      <c r="DI104" s="228">
        <v>27.84</v>
      </c>
      <c r="DJ104" s="228">
        <v>0.25</v>
      </c>
      <c r="DK104" s="228">
        <v>0.25</v>
      </c>
      <c r="DL104" s="228">
        <v>26.94</v>
      </c>
      <c r="DM104" s="228">
        <v>26.77</v>
      </c>
      <c r="DN104" s="228">
        <v>0.17</v>
      </c>
      <c r="DO104" s="228">
        <v>0.17</v>
      </c>
      <c r="DP104" s="228">
        <v>0.47</v>
      </c>
      <c r="DQ104" s="228">
        <v>0.46</v>
      </c>
      <c r="DR104" s="228">
        <v>0.01</v>
      </c>
      <c r="DS104" s="229">
        <v>2.1700000000000001E-2</v>
      </c>
      <c r="DT104" s="228">
        <v>130</v>
      </c>
      <c r="DU104" s="228">
        <v>120</v>
      </c>
      <c r="DV104" s="228">
        <v>0.56999999999999995</v>
      </c>
      <c r="DW104" s="228">
        <v>0.39</v>
      </c>
      <c r="DX104" s="228">
        <v>0.18</v>
      </c>
      <c r="DY104" s="229">
        <v>0.46150000000000002</v>
      </c>
      <c r="DZ104" s="229">
        <v>0.72840000000000005</v>
      </c>
      <c r="EA104" s="230">
        <v>23324000</v>
      </c>
      <c r="EB104" s="229">
        <v>5.1999999999999998E-3</v>
      </c>
      <c r="EC104" s="229">
        <v>0.72840000000000005</v>
      </c>
      <c r="ED104" s="228">
        <v>0.64</v>
      </c>
      <c r="EE104" s="229">
        <v>5.1999999999999998E-3</v>
      </c>
      <c r="EF104" s="230">
        <v>2744078</v>
      </c>
      <c r="EG104" s="230">
        <v>2874806</v>
      </c>
      <c r="EH104" s="229">
        <v>-4.5499999999999999E-2</v>
      </c>
      <c r="EI104" s="229">
        <v>0.48430000000000001</v>
      </c>
      <c r="EJ104" s="231">
        <v>21819.63</v>
      </c>
      <c r="EK104" s="231">
        <v>12360.48</v>
      </c>
      <c r="EL104" s="231">
        <v>37319.29</v>
      </c>
      <c r="EM104" s="231">
        <v>3734</v>
      </c>
      <c r="EN104" s="231">
        <v>71499.399999999994</v>
      </c>
      <c r="EO104" s="231">
        <v>73453.05</v>
      </c>
      <c r="EP104" s="231">
        <v>-1953.65</v>
      </c>
      <c r="EQ104" s="229">
        <v>-2.6599999999999999E-2</v>
      </c>
      <c r="ER104" s="231">
        <v>48874</v>
      </c>
      <c r="ES104" s="231">
        <v>21147</v>
      </c>
      <c r="ET104" s="231">
        <v>55469</v>
      </c>
      <c r="EU104" s="231">
        <v>226853356</v>
      </c>
      <c r="EV104" s="231">
        <v>125491</v>
      </c>
      <c r="EW104" s="231">
        <v>128426</v>
      </c>
      <c r="EX104" s="231">
        <v>-2935</v>
      </c>
      <c r="EY104" s="229">
        <v>-2.29E-2</v>
      </c>
      <c r="EZ104" s="229">
        <v>0.43609999999999999</v>
      </c>
      <c r="FA104" s="227" t="s">
        <v>556</v>
      </c>
      <c r="FB104" s="161">
        <f t="shared" si="1"/>
        <v>32542250</v>
      </c>
    </row>
    <row r="105" spans="1:158" ht="17.25" hidden="1" thickBot="1" x14ac:dyDescent="0.3">
      <c r="A105" s="226">
        <v>45957</v>
      </c>
      <c r="B105" s="227" t="s">
        <v>168</v>
      </c>
      <c r="C105" s="227" t="s">
        <v>242</v>
      </c>
      <c r="D105" s="228">
        <v>1600</v>
      </c>
      <c r="E105" s="228">
        <v>420.7</v>
      </c>
      <c r="F105" s="228">
        <v>417.35</v>
      </c>
      <c r="G105" s="228">
        <v>3.35</v>
      </c>
      <c r="H105" s="229">
        <v>8.0000000000000002E-3</v>
      </c>
      <c r="I105" s="228">
        <v>420.65</v>
      </c>
      <c r="J105" s="228">
        <v>416.8</v>
      </c>
      <c r="K105" s="228">
        <v>3.85</v>
      </c>
      <c r="L105" s="229">
        <v>9.1999999999999998E-3</v>
      </c>
      <c r="M105" s="228">
        <v>420.7</v>
      </c>
      <c r="N105" s="228">
        <v>417.35</v>
      </c>
      <c r="O105" s="228">
        <v>3.35</v>
      </c>
      <c r="P105" s="229">
        <v>8.0000000000000002E-3</v>
      </c>
      <c r="Q105" s="228">
        <v>423.15</v>
      </c>
      <c r="R105" s="228">
        <v>419.7</v>
      </c>
      <c r="S105" s="228">
        <v>3.45</v>
      </c>
      <c r="T105" s="229">
        <v>8.2000000000000007E-3</v>
      </c>
      <c r="U105" s="228">
        <v>426.5</v>
      </c>
      <c r="V105" s="228">
        <v>422.75</v>
      </c>
      <c r="W105" s="228">
        <v>3.75</v>
      </c>
      <c r="X105" s="229">
        <v>8.8999999999999999E-3</v>
      </c>
      <c r="Y105" s="228">
        <v>0.05</v>
      </c>
      <c r="Z105" s="228">
        <v>0.55000000000000004</v>
      </c>
      <c r="AA105" s="228">
        <v>-0.5</v>
      </c>
      <c r="AB105" s="229">
        <v>1E-4</v>
      </c>
      <c r="AC105" s="228">
        <v>0.05</v>
      </c>
      <c r="AD105" s="228">
        <v>0.55000000000000004</v>
      </c>
      <c r="AE105" s="228">
        <v>-0.5</v>
      </c>
      <c r="AF105" s="229">
        <v>1E-4</v>
      </c>
      <c r="AG105" s="228">
        <v>2.5</v>
      </c>
      <c r="AH105" s="228">
        <v>2.9</v>
      </c>
      <c r="AI105" s="228">
        <v>-0.4</v>
      </c>
      <c r="AJ105" s="229">
        <v>5.8999999999999999E-3</v>
      </c>
      <c r="AK105" s="228">
        <v>5.85</v>
      </c>
      <c r="AL105" s="228">
        <v>5.95</v>
      </c>
      <c r="AM105" s="228">
        <v>-0.1</v>
      </c>
      <c r="AN105" s="229">
        <v>1.3899999999999999E-2</v>
      </c>
      <c r="AO105" s="228">
        <v>420.76</v>
      </c>
      <c r="AP105" s="228">
        <v>423.25</v>
      </c>
      <c r="AQ105" s="228">
        <v>0</v>
      </c>
      <c r="AR105" s="230">
        <v>105486400</v>
      </c>
      <c r="AS105" s="230">
        <v>95449600</v>
      </c>
      <c r="AT105" s="230">
        <v>10036800</v>
      </c>
      <c r="AU105" s="229">
        <v>0.1052</v>
      </c>
      <c r="AV105" s="230">
        <v>47526400</v>
      </c>
      <c r="AW105" s="230">
        <v>48852800</v>
      </c>
      <c r="AX105" s="230">
        <v>-1326400</v>
      </c>
      <c r="AY105" s="229">
        <v>-2.7199999999999998E-2</v>
      </c>
      <c r="AZ105" s="230">
        <v>57256000</v>
      </c>
      <c r="BA105" s="230">
        <v>46241600</v>
      </c>
      <c r="BB105" s="230">
        <v>11014400</v>
      </c>
      <c r="BC105" s="229">
        <v>0.2382</v>
      </c>
      <c r="BD105" s="230">
        <v>704000</v>
      </c>
      <c r="BE105" s="230">
        <v>355200</v>
      </c>
      <c r="BF105" s="230">
        <v>348800</v>
      </c>
      <c r="BG105" s="229">
        <v>0.98199999999999998</v>
      </c>
      <c r="BH105" s="230">
        <v>78638400</v>
      </c>
      <c r="BI105" s="230">
        <v>54022400</v>
      </c>
      <c r="BJ105" s="230">
        <v>24616000</v>
      </c>
      <c r="BK105" s="229">
        <v>0.45569999999999999</v>
      </c>
      <c r="BL105" s="230">
        <v>53516800</v>
      </c>
      <c r="BM105" s="230">
        <v>36425600</v>
      </c>
      <c r="BN105" s="230">
        <v>17091200</v>
      </c>
      <c r="BO105" s="229">
        <v>0.46920000000000001</v>
      </c>
      <c r="BP105" s="230">
        <v>237641600</v>
      </c>
      <c r="BQ105" s="230">
        <v>185897600</v>
      </c>
      <c r="BR105" s="230">
        <v>51744000</v>
      </c>
      <c r="BS105" s="229">
        <v>0.27829999999999999</v>
      </c>
      <c r="BT105" s="230">
        <v>12448161</v>
      </c>
      <c r="BU105" s="230">
        <v>16584342</v>
      </c>
      <c r="BV105" s="230">
        <v>-4136181</v>
      </c>
      <c r="BW105" s="229">
        <v>-0.24940000000000001</v>
      </c>
      <c r="BX105" s="230">
        <v>159212800</v>
      </c>
      <c r="BY105" s="230">
        <v>156521600</v>
      </c>
      <c r="BZ105" s="230">
        <v>2691200</v>
      </c>
      <c r="CA105" s="229">
        <v>1.72E-2</v>
      </c>
      <c r="CB105" s="230">
        <v>25060800</v>
      </c>
      <c r="CC105" s="230">
        <v>63766400</v>
      </c>
      <c r="CD105" s="230">
        <v>-38705600</v>
      </c>
      <c r="CE105" s="229">
        <v>-0.60699999999999998</v>
      </c>
      <c r="CF105" s="230">
        <v>132643200</v>
      </c>
      <c r="CG105" s="230">
        <v>91443200</v>
      </c>
      <c r="CH105" s="230">
        <v>41200000</v>
      </c>
      <c r="CI105" s="229">
        <v>0.4506</v>
      </c>
      <c r="CJ105" s="230">
        <v>1508800</v>
      </c>
      <c r="CK105" s="230">
        <v>1312000</v>
      </c>
      <c r="CL105" s="230">
        <v>196800</v>
      </c>
      <c r="CM105" s="229">
        <v>0.15</v>
      </c>
      <c r="CN105" s="230">
        <v>38067200</v>
      </c>
      <c r="CO105" s="230">
        <v>40035200</v>
      </c>
      <c r="CP105" s="230">
        <v>-1968000</v>
      </c>
      <c r="CQ105" s="229">
        <v>-4.9200000000000001E-2</v>
      </c>
      <c r="CR105" s="230">
        <v>34427200</v>
      </c>
      <c r="CS105" s="230">
        <v>32878400</v>
      </c>
      <c r="CT105" s="230">
        <v>1548800</v>
      </c>
      <c r="CU105" s="229">
        <v>4.7100000000000003E-2</v>
      </c>
      <c r="CV105" s="230">
        <v>231707200</v>
      </c>
      <c r="CW105" s="230">
        <v>229435200</v>
      </c>
      <c r="CX105" s="230">
        <v>2272000</v>
      </c>
      <c r="CY105" s="229">
        <v>9.9000000000000008E-3</v>
      </c>
      <c r="CZ105" s="228">
        <v>16.96</v>
      </c>
      <c r="DA105" s="228">
        <v>16.63</v>
      </c>
      <c r="DB105" s="228">
        <v>0.33</v>
      </c>
      <c r="DC105" s="228">
        <v>0.33</v>
      </c>
      <c r="DD105" s="228">
        <v>19.559999999999999</v>
      </c>
      <c r="DE105" s="228">
        <v>19.57</v>
      </c>
      <c r="DF105" s="228">
        <v>-2.6</v>
      </c>
      <c r="DG105" s="228">
        <v>-0.01</v>
      </c>
      <c r="DH105" s="228">
        <v>17.059999999999999</v>
      </c>
      <c r="DI105" s="228">
        <v>16.829999999999998</v>
      </c>
      <c r="DJ105" s="228">
        <v>0.23</v>
      </c>
      <c r="DK105" s="228">
        <v>0.23</v>
      </c>
      <c r="DL105" s="228">
        <v>16.809999999999999</v>
      </c>
      <c r="DM105" s="228">
        <v>16.309999999999999</v>
      </c>
      <c r="DN105" s="228">
        <v>0.5</v>
      </c>
      <c r="DO105" s="228">
        <v>0.5</v>
      </c>
      <c r="DP105" s="228">
        <v>0.9</v>
      </c>
      <c r="DQ105" s="228">
        <v>0.82</v>
      </c>
      <c r="DR105" s="228">
        <v>0.08</v>
      </c>
      <c r="DS105" s="229">
        <v>9.7600000000000006E-2</v>
      </c>
      <c r="DT105" s="228">
        <v>410</v>
      </c>
      <c r="DU105" s="228">
        <v>400</v>
      </c>
      <c r="DV105" s="228">
        <v>0.68</v>
      </c>
      <c r="DW105" s="228">
        <v>0.67</v>
      </c>
      <c r="DX105" s="228">
        <v>0.01</v>
      </c>
      <c r="DY105" s="229">
        <v>1.49E-2</v>
      </c>
      <c r="DZ105" s="229">
        <v>0.84260000000000002</v>
      </c>
      <c r="EA105" s="230">
        <v>92755200</v>
      </c>
      <c r="EB105" s="229">
        <v>5.7999999999999996E-3</v>
      </c>
      <c r="EC105" s="229">
        <v>0.84260000000000002</v>
      </c>
      <c r="ED105" s="228">
        <v>2.4900000000000002</v>
      </c>
      <c r="EE105" s="229">
        <v>5.8999999999999999E-3</v>
      </c>
      <c r="EF105" s="230">
        <v>8223071</v>
      </c>
      <c r="EG105" s="230">
        <v>11277157</v>
      </c>
      <c r="EH105" s="229">
        <v>-0.27079999999999999</v>
      </c>
      <c r="EI105" s="229">
        <v>0.66059999999999997</v>
      </c>
      <c r="EJ105" s="231">
        <v>335423.28999999998</v>
      </c>
      <c r="EK105" s="231">
        <v>223390.58</v>
      </c>
      <c r="EL105" s="231">
        <v>445306.15</v>
      </c>
      <c r="EM105" s="231">
        <v>31170</v>
      </c>
      <c r="EN105" s="231">
        <v>1004120.02</v>
      </c>
      <c r="EO105" s="231">
        <v>778020.75</v>
      </c>
      <c r="EP105" s="231">
        <v>226099.27</v>
      </c>
      <c r="EQ105" s="229">
        <v>0.29060000000000002</v>
      </c>
      <c r="ER105" s="231">
        <v>160815</v>
      </c>
      <c r="ES105" s="231">
        <v>139789</v>
      </c>
      <c r="ET105" s="231">
        <v>673146</v>
      </c>
      <c r="EU105" s="231">
        <v>1251412841</v>
      </c>
      <c r="EV105" s="231">
        <v>973749</v>
      </c>
      <c r="EW105" s="231">
        <v>957005</v>
      </c>
      <c r="EX105" s="231">
        <v>16744</v>
      </c>
      <c r="EY105" s="229">
        <v>1.7500000000000002E-2</v>
      </c>
      <c r="EZ105" s="229">
        <v>0.1852</v>
      </c>
      <c r="FA105" s="227" t="s">
        <v>555</v>
      </c>
      <c r="FB105" s="161">
        <f t="shared" si="1"/>
        <v>134152000</v>
      </c>
    </row>
    <row r="106" spans="1:158" ht="17.25" hidden="1" thickBot="1" x14ac:dyDescent="0.3">
      <c r="A106" s="226">
        <v>45957</v>
      </c>
      <c r="B106" s="227" t="s">
        <v>227</v>
      </c>
      <c r="C106" s="227" t="s">
        <v>243</v>
      </c>
      <c r="D106" s="228">
        <v>625</v>
      </c>
      <c r="E106" s="231">
        <v>1033.8</v>
      </c>
      <c r="F106" s="231">
        <v>1007.5</v>
      </c>
      <c r="G106" s="228">
        <v>26.3</v>
      </c>
      <c r="H106" s="229">
        <v>2.6100000000000002E-2</v>
      </c>
      <c r="I106" s="231">
        <v>1034.3</v>
      </c>
      <c r="J106" s="231">
        <v>1008.2</v>
      </c>
      <c r="K106" s="228">
        <v>26.1</v>
      </c>
      <c r="L106" s="229">
        <v>2.5899999999999999E-2</v>
      </c>
      <c r="M106" s="231">
        <v>1033.8</v>
      </c>
      <c r="N106" s="231">
        <v>1007.5</v>
      </c>
      <c r="O106" s="228">
        <v>26.3</v>
      </c>
      <c r="P106" s="229">
        <v>2.6100000000000002E-2</v>
      </c>
      <c r="Q106" s="231">
        <v>1039.5</v>
      </c>
      <c r="R106" s="231">
        <v>1012.2</v>
      </c>
      <c r="S106" s="228">
        <v>27.3</v>
      </c>
      <c r="T106" s="229">
        <v>2.7E-2</v>
      </c>
      <c r="U106" s="231">
        <v>1046</v>
      </c>
      <c r="V106" s="231">
        <v>1019.2</v>
      </c>
      <c r="W106" s="228">
        <v>26.8</v>
      </c>
      <c r="X106" s="229">
        <v>2.63E-2</v>
      </c>
      <c r="Y106" s="228">
        <v>-0.5</v>
      </c>
      <c r="Z106" s="228">
        <v>-0.7</v>
      </c>
      <c r="AA106" s="228">
        <v>0.2</v>
      </c>
      <c r="AB106" s="229">
        <v>-5.0000000000000001E-4</v>
      </c>
      <c r="AC106" s="228">
        <v>-0.5</v>
      </c>
      <c r="AD106" s="228">
        <v>-0.7</v>
      </c>
      <c r="AE106" s="228">
        <v>0.2</v>
      </c>
      <c r="AF106" s="229">
        <v>-5.0000000000000001E-4</v>
      </c>
      <c r="AG106" s="228">
        <v>5.2</v>
      </c>
      <c r="AH106" s="228">
        <v>4</v>
      </c>
      <c r="AI106" s="228">
        <v>1.2</v>
      </c>
      <c r="AJ106" s="229">
        <v>5.0000000000000001E-3</v>
      </c>
      <c r="AK106" s="228">
        <v>11.7</v>
      </c>
      <c r="AL106" s="228">
        <v>11</v>
      </c>
      <c r="AM106" s="228">
        <v>0.7</v>
      </c>
      <c r="AN106" s="229">
        <v>1.1299999999999999E-2</v>
      </c>
      <c r="AO106" s="231">
        <v>1023.48</v>
      </c>
      <c r="AP106" s="231">
        <v>1029.3800000000001</v>
      </c>
      <c r="AQ106" s="228">
        <v>0</v>
      </c>
      <c r="AR106" s="230">
        <v>10311250</v>
      </c>
      <c r="AS106" s="230">
        <v>9641875</v>
      </c>
      <c r="AT106" s="230">
        <v>669375</v>
      </c>
      <c r="AU106" s="229">
        <v>6.9400000000000003E-2</v>
      </c>
      <c r="AV106" s="230">
        <v>4748750</v>
      </c>
      <c r="AW106" s="230">
        <v>4774375</v>
      </c>
      <c r="AX106" s="230">
        <v>-25625</v>
      </c>
      <c r="AY106" s="229">
        <v>-5.4000000000000003E-3</v>
      </c>
      <c r="AZ106" s="230">
        <v>5496875</v>
      </c>
      <c r="BA106" s="230">
        <v>4836250</v>
      </c>
      <c r="BB106" s="230">
        <v>660625</v>
      </c>
      <c r="BC106" s="229">
        <v>0.1366</v>
      </c>
      <c r="BD106" s="230">
        <v>65625</v>
      </c>
      <c r="BE106" s="230">
        <v>31250</v>
      </c>
      <c r="BF106" s="230">
        <v>34375</v>
      </c>
      <c r="BG106" s="229">
        <v>1.1000000000000001</v>
      </c>
      <c r="BH106" s="230">
        <v>12435625</v>
      </c>
      <c r="BI106" s="230">
        <v>12640625</v>
      </c>
      <c r="BJ106" s="230">
        <v>-205000</v>
      </c>
      <c r="BK106" s="229">
        <v>-1.6199999999999999E-2</v>
      </c>
      <c r="BL106" s="230">
        <v>5880000</v>
      </c>
      <c r="BM106" s="230">
        <v>4398750</v>
      </c>
      <c r="BN106" s="230">
        <v>1481250</v>
      </c>
      <c r="BO106" s="229">
        <v>0.3367</v>
      </c>
      <c r="BP106" s="230">
        <v>28626875</v>
      </c>
      <c r="BQ106" s="230">
        <v>26681250</v>
      </c>
      <c r="BR106" s="230">
        <v>1945625</v>
      </c>
      <c r="BS106" s="229">
        <v>7.2900000000000006E-2</v>
      </c>
      <c r="BT106" s="230">
        <v>1020942</v>
      </c>
      <c r="BU106" s="230">
        <v>1708759</v>
      </c>
      <c r="BV106" s="230">
        <v>-687817</v>
      </c>
      <c r="BW106" s="229">
        <v>-0.40250000000000002</v>
      </c>
      <c r="BX106" s="230">
        <v>14076875</v>
      </c>
      <c r="BY106" s="230">
        <v>14346250</v>
      </c>
      <c r="BZ106" s="230">
        <v>-269375</v>
      </c>
      <c r="CA106" s="229">
        <v>-1.8800000000000001E-2</v>
      </c>
      <c r="CB106" s="230">
        <v>1987500</v>
      </c>
      <c r="CC106" s="230">
        <v>5503750</v>
      </c>
      <c r="CD106" s="230">
        <v>-3516250</v>
      </c>
      <c r="CE106" s="229">
        <v>-0.63890000000000002</v>
      </c>
      <c r="CF106" s="230">
        <v>12012500</v>
      </c>
      <c r="CG106" s="230">
        <v>8780625</v>
      </c>
      <c r="CH106" s="230">
        <v>3231875</v>
      </c>
      <c r="CI106" s="229">
        <v>0.36809999999999998</v>
      </c>
      <c r="CJ106" s="230">
        <v>76875</v>
      </c>
      <c r="CK106" s="230">
        <v>61875</v>
      </c>
      <c r="CL106" s="230">
        <v>15000</v>
      </c>
      <c r="CM106" s="229">
        <v>0.2424</v>
      </c>
      <c r="CN106" s="230">
        <v>6412500</v>
      </c>
      <c r="CO106" s="230">
        <v>7778125</v>
      </c>
      <c r="CP106" s="230">
        <v>-1365625</v>
      </c>
      <c r="CQ106" s="229">
        <v>-0.17560000000000001</v>
      </c>
      <c r="CR106" s="230">
        <v>3817500</v>
      </c>
      <c r="CS106" s="230">
        <v>3788125</v>
      </c>
      <c r="CT106" s="230">
        <v>29375</v>
      </c>
      <c r="CU106" s="229">
        <v>7.7999999999999996E-3</v>
      </c>
      <c r="CV106" s="230">
        <v>24306875</v>
      </c>
      <c r="CW106" s="230">
        <v>25912500</v>
      </c>
      <c r="CX106" s="230">
        <v>-1605625</v>
      </c>
      <c r="CY106" s="229">
        <v>-6.2E-2</v>
      </c>
      <c r="CZ106" s="228">
        <v>31.67</v>
      </c>
      <c r="DA106" s="228">
        <v>31.03</v>
      </c>
      <c r="DB106" s="228">
        <v>0.64</v>
      </c>
      <c r="DC106" s="228">
        <v>0.64</v>
      </c>
      <c r="DD106" s="228">
        <v>35.85</v>
      </c>
      <c r="DE106" s="228">
        <v>35.78</v>
      </c>
      <c r="DF106" s="228">
        <v>-4.18</v>
      </c>
      <c r="DG106" s="228">
        <v>7.0000000000000007E-2</v>
      </c>
      <c r="DH106" s="228">
        <v>31.55</v>
      </c>
      <c r="DI106" s="228">
        <v>31.15</v>
      </c>
      <c r="DJ106" s="228">
        <v>0.4</v>
      </c>
      <c r="DK106" s="228">
        <v>0.4</v>
      </c>
      <c r="DL106" s="228">
        <v>31.89</v>
      </c>
      <c r="DM106" s="228">
        <v>30.79</v>
      </c>
      <c r="DN106" s="228">
        <v>1.1000000000000001</v>
      </c>
      <c r="DO106" s="228">
        <v>1.1000000000000001</v>
      </c>
      <c r="DP106" s="228">
        <v>0.6</v>
      </c>
      <c r="DQ106" s="228">
        <v>0.49</v>
      </c>
      <c r="DR106" s="228">
        <v>0.11</v>
      </c>
      <c r="DS106" s="229">
        <v>0.22450000000000001</v>
      </c>
      <c r="DT106" s="231">
        <v>1100</v>
      </c>
      <c r="DU106" s="231">
        <v>1000</v>
      </c>
      <c r="DV106" s="228">
        <v>0.47</v>
      </c>
      <c r="DW106" s="228">
        <v>0.35</v>
      </c>
      <c r="DX106" s="228">
        <v>0.12</v>
      </c>
      <c r="DY106" s="229">
        <v>0.34289999999999998</v>
      </c>
      <c r="DZ106" s="229">
        <v>0.85880000000000001</v>
      </c>
      <c r="EA106" s="230">
        <v>8842500</v>
      </c>
      <c r="EB106" s="229">
        <v>5.4999999999999997E-3</v>
      </c>
      <c r="EC106" s="229">
        <v>0.85880000000000001</v>
      </c>
      <c r="ED106" s="228">
        <v>5.9</v>
      </c>
      <c r="EE106" s="229">
        <v>5.7999999999999996E-3</v>
      </c>
      <c r="EF106" s="230">
        <v>384272</v>
      </c>
      <c r="EG106" s="230">
        <v>869265</v>
      </c>
      <c r="EH106" s="229">
        <v>-0.55789999999999995</v>
      </c>
      <c r="EI106" s="229">
        <v>0.37640000000000001</v>
      </c>
      <c r="EJ106" s="231">
        <v>132378.48000000001</v>
      </c>
      <c r="EK106" s="231">
        <v>59568.47</v>
      </c>
      <c r="EL106" s="231">
        <v>105867.07</v>
      </c>
      <c r="EM106" s="231">
        <v>9796</v>
      </c>
      <c r="EN106" s="231">
        <v>297814.02</v>
      </c>
      <c r="EO106" s="231">
        <v>275147.34999999998</v>
      </c>
      <c r="EP106" s="231">
        <v>22666.67</v>
      </c>
      <c r="EQ106" s="229">
        <v>8.2400000000000001E-2</v>
      </c>
      <c r="ER106" s="231">
        <v>69362</v>
      </c>
      <c r="ES106" s="231">
        <v>38227</v>
      </c>
      <c r="ET106" s="231">
        <v>146221</v>
      </c>
      <c r="EU106" s="231">
        <v>54776702</v>
      </c>
      <c r="EV106" s="231">
        <v>253810</v>
      </c>
      <c r="EW106" s="231">
        <v>266451</v>
      </c>
      <c r="EX106" s="231">
        <v>-12641</v>
      </c>
      <c r="EY106" s="229">
        <v>-4.7399999999999998E-2</v>
      </c>
      <c r="EZ106" s="229">
        <v>0.44369999999999998</v>
      </c>
      <c r="FA106" s="227" t="s">
        <v>556</v>
      </c>
      <c r="FB106" s="161">
        <f t="shared" si="1"/>
        <v>12089375</v>
      </c>
    </row>
    <row r="107" spans="1:158" ht="17.25" hidden="1" thickBot="1" x14ac:dyDescent="0.3">
      <c r="A107" s="226">
        <v>45957</v>
      </c>
      <c r="B107" s="227" t="s">
        <v>175</v>
      </c>
      <c r="C107" s="227" t="s">
        <v>570</v>
      </c>
      <c r="D107" s="228">
        <v>2350</v>
      </c>
      <c r="E107" s="228">
        <v>305.85000000000002</v>
      </c>
      <c r="F107" s="228">
        <v>305.75</v>
      </c>
      <c r="G107" s="228">
        <v>0.1</v>
      </c>
      <c r="H107" s="229">
        <v>2.9999999999999997E-4</v>
      </c>
      <c r="I107" s="228">
        <v>305.55</v>
      </c>
      <c r="J107" s="228">
        <v>305.95</v>
      </c>
      <c r="K107" s="228">
        <v>-0.4</v>
      </c>
      <c r="L107" s="229">
        <v>-1.2999999999999999E-3</v>
      </c>
      <c r="M107" s="228">
        <v>305.85000000000002</v>
      </c>
      <c r="N107" s="228">
        <v>305.75</v>
      </c>
      <c r="O107" s="228">
        <v>0.1</v>
      </c>
      <c r="P107" s="229">
        <v>2.9999999999999997E-4</v>
      </c>
      <c r="Q107" s="228">
        <v>307.60000000000002</v>
      </c>
      <c r="R107" s="228">
        <v>307.45</v>
      </c>
      <c r="S107" s="228">
        <v>0.15</v>
      </c>
      <c r="T107" s="229">
        <v>5.0000000000000001E-4</v>
      </c>
      <c r="U107" s="228">
        <v>309.55</v>
      </c>
      <c r="V107" s="228">
        <v>309.3</v>
      </c>
      <c r="W107" s="228">
        <v>0.25</v>
      </c>
      <c r="X107" s="229">
        <v>8.0000000000000004E-4</v>
      </c>
      <c r="Y107" s="228">
        <v>0.3</v>
      </c>
      <c r="Z107" s="228">
        <v>-0.2</v>
      </c>
      <c r="AA107" s="228">
        <v>0.5</v>
      </c>
      <c r="AB107" s="229">
        <v>1E-3</v>
      </c>
      <c r="AC107" s="228">
        <v>0.3</v>
      </c>
      <c r="AD107" s="228">
        <v>-0.2</v>
      </c>
      <c r="AE107" s="228">
        <v>0.5</v>
      </c>
      <c r="AF107" s="229">
        <v>1E-3</v>
      </c>
      <c r="AG107" s="228">
        <v>2.0499999999999998</v>
      </c>
      <c r="AH107" s="228">
        <v>1.5</v>
      </c>
      <c r="AI107" s="228">
        <v>0.55000000000000004</v>
      </c>
      <c r="AJ107" s="229">
        <v>6.7000000000000002E-3</v>
      </c>
      <c r="AK107" s="228">
        <v>4</v>
      </c>
      <c r="AL107" s="228">
        <v>3.35</v>
      </c>
      <c r="AM107" s="228">
        <v>0.65</v>
      </c>
      <c r="AN107" s="229">
        <v>1.3100000000000001E-2</v>
      </c>
      <c r="AO107" s="228">
        <v>306.66000000000003</v>
      </c>
      <c r="AP107" s="228">
        <v>308.38</v>
      </c>
      <c r="AQ107" s="228">
        <v>0</v>
      </c>
      <c r="AR107" s="230">
        <v>79190300</v>
      </c>
      <c r="AS107" s="230">
        <v>68782150</v>
      </c>
      <c r="AT107" s="230">
        <v>10408150</v>
      </c>
      <c r="AU107" s="229">
        <v>0.15129999999999999</v>
      </c>
      <c r="AV107" s="230">
        <v>36843300</v>
      </c>
      <c r="AW107" s="230">
        <v>34479200</v>
      </c>
      <c r="AX107" s="230">
        <v>2364100</v>
      </c>
      <c r="AY107" s="229">
        <v>6.8599999999999994E-2</v>
      </c>
      <c r="AZ107" s="230">
        <v>40619750</v>
      </c>
      <c r="BA107" s="230">
        <v>33062150</v>
      </c>
      <c r="BB107" s="230">
        <v>7557600</v>
      </c>
      <c r="BC107" s="229">
        <v>0.2286</v>
      </c>
      <c r="BD107" s="230">
        <v>1727250</v>
      </c>
      <c r="BE107" s="230">
        <v>1240800</v>
      </c>
      <c r="BF107" s="230">
        <v>486450</v>
      </c>
      <c r="BG107" s="229">
        <v>0.39200000000000002</v>
      </c>
      <c r="BH107" s="230">
        <v>56486950</v>
      </c>
      <c r="BI107" s="230">
        <v>78520550</v>
      </c>
      <c r="BJ107" s="230">
        <v>-22033600</v>
      </c>
      <c r="BK107" s="229">
        <v>-0.28060000000000002</v>
      </c>
      <c r="BL107" s="230">
        <v>29309200</v>
      </c>
      <c r="BM107" s="230">
        <v>32827150</v>
      </c>
      <c r="BN107" s="230">
        <v>-3517950</v>
      </c>
      <c r="BO107" s="229">
        <v>-0.1072</v>
      </c>
      <c r="BP107" s="230">
        <v>164986450</v>
      </c>
      <c r="BQ107" s="230">
        <v>180129850</v>
      </c>
      <c r="BR107" s="230">
        <v>-15143400</v>
      </c>
      <c r="BS107" s="229">
        <v>-8.4099999999999994E-2</v>
      </c>
      <c r="BT107" s="230">
        <v>9170939</v>
      </c>
      <c r="BU107" s="230">
        <v>8565725</v>
      </c>
      <c r="BV107" s="230">
        <v>605214</v>
      </c>
      <c r="BW107" s="229">
        <v>7.0699999999999999E-2</v>
      </c>
      <c r="BX107" s="230">
        <v>153339850</v>
      </c>
      <c r="BY107" s="230">
        <v>149828950</v>
      </c>
      <c r="BZ107" s="230">
        <v>3510900</v>
      </c>
      <c r="CA107" s="229">
        <v>2.3400000000000001E-2</v>
      </c>
      <c r="CB107" s="230">
        <v>30895450</v>
      </c>
      <c r="CC107" s="230">
        <v>62416000</v>
      </c>
      <c r="CD107" s="230">
        <v>-31520550</v>
      </c>
      <c r="CE107" s="229">
        <v>-0.505</v>
      </c>
      <c r="CF107" s="230">
        <v>117890100</v>
      </c>
      <c r="CG107" s="230">
        <v>83927900</v>
      </c>
      <c r="CH107" s="230">
        <v>33962200</v>
      </c>
      <c r="CI107" s="229">
        <v>0.4047</v>
      </c>
      <c r="CJ107" s="230">
        <v>4554300</v>
      </c>
      <c r="CK107" s="230">
        <v>3485050</v>
      </c>
      <c r="CL107" s="230">
        <v>1069250</v>
      </c>
      <c r="CM107" s="229">
        <v>0.30680000000000002</v>
      </c>
      <c r="CN107" s="230">
        <v>77745050</v>
      </c>
      <c r="CO107" s="230">
        <v>78085800</v>
      </c>
      <c r="CP107" s="230">
        <v>-340750</v>
      </c>
      <c r="CQ107" s="229">
        <v>-4.4000000000000003E-3</v>
      </c>
      <c r="CR107" s="230">
        <v>42911000</v>
      </c>
      <c r="CS107" s="230">
        <v>42469200</v>
      </c>
      <c r="CT107" s="230">
        <v>441800</v>
      </c>
      <c r="CU107" s="229">
        <v>1.04E-2</v>
      </c>
      <c r="CV107" s="230">
        <v>273995900</v>
      </c>
      <c r="CW107" s="230">
        <v>270383950</v>
      </c>
      <c r="CX107" s="230">
        <v>3611950</v>
      </c>
      <c r="CY107" s="229">
        <v>1.34E-2</v>
      </c>
      <c r="CZ107" s="228">
        <v>25.76</v>
      </c>
      <c r="DA107" s="228">
        <v>25.9</v>
      </c>
      <c r="DB107" s="228">
        <v>-0.14000000000000001</v>
      </c>
      <c r="DC107" s="228">
        <v>-0.14000000000000001</v>
      </c>
      <c r="DD107" s="228">
        <v>35.72</v>
      </c>
      <c r="DE107" s="228">
        <v>35.81</v>
      </c>
      <c r="DF107" s="228">
        <v>-9.9600000000000009</v>
      </c>
      <c r="DG107" s="228">
        <v>-0.09</v>
      </c>
      <c r="DH107" s="228">
        <v>25.78</v>
      </c>
      <c r="DI107" s="228">
        <v>26.15</v>
      </c>
      <c r="DJ107" s="228">
        <v>-0.37</v>
      </c>
      <c r="DK107" s="228">
        <v>-0.37</v>
      </c>
      <c r="DL107" s="228">
        <v>25.72</v>
      </c>
      <c r="DM107" s="228">
        <v>25.42</v>
      </c>
      <c r="DN107" s="228">
        <v>0.3</v>
      </c>
      <c r="DO107" s="228">
        <v>0.3</v>
      </c>
      <c r="DP107" s="228">
        <v>0.55000000000000004</v>
      </c>
      <c r="DQ107" s="228">
        <v>0.54</v>
      </c>
      <c r="DR107" s="228">
        <v>0.01</v>
      </c>
      <c r="DS107" s="229">
        <v>1.8499999999999999E-2</v>
      </c>
      <c r="DT107" s="228">
        <v>350</v>
      </c>
      <c r="DU107" s="228">
        <v>310</v>
      </c>
      <c r="DV107" s="228">
        <v>0.52</v>
      </c>
      <c r="DW107" s="228">
        <v>0.42</v>
      </c>
      <c r="DX107" s="228">
        <v>0.1</v>
      </c>
      <c r="DY107" s="229">
        <v>0.23810000000000001</v>
      </c>
      <c r="DZ107" s="229">
        <v>0.79849999999999999</v>
      </c>
      <c r="EA107" s="230">
        <v>87412950</v>
      </c>
      <c r="EB107" s="229">
        <v>5.7000000000000002E-3</v>
      </c>
      <c r="EC107" s="229">
        <v>0.79849999999999999</v>
      </c>
      <c r="ED107" s="228">
        <v>1.72</v>
      </c>
      <c r="EE107" s="229">
        <v>5.5999999999999999E-3</v>
      </c>
      <c r="EF107" s="230">
        <v>5785294</v>
      </c>
      <c r="EG107" s="230">
        <v>4629483</v>
      </c>
      <c r="EH107" s="229">
        <v>0.24970000000000001</v>
      </c>
      <c r="EI107" s="229">
        <v>0.63080000000000003</v>
      </c>
      <c r="EJ107" s="231">
        <v>182051.39</v>
      </c>
      <c r="EK107" s="231">
        <v>92779.36</v>
      </c>
      <c r="EL107" s="231">
        <v>243608.61</v>
      </c>
      <c r="EM107" s="231">
        <v>19559</v>
      </c>
      <c r="EN107" s="231">
        <v>518439.36</v>
      </c>
      <c r="EO107" s="231">
        <v>568574.21</v>
      </c>
      <c r="EP107" s="231">
        <v>-50134.85</v>
      </c>
      <c r="EQ107" s="229">
        <v>-8.8200000000000001E-2</v>
      </c>
      <c r="ER107" s="231">
        <v>254099</v>
      </c>
      <c r="ES107" s="231">
        <v>132202</v>
      </c>
      <c r="ET107" s="231">
        <v>471222</v>
      </c>
      <c r="EU107" s="231">
        <v>446457456</v>
      </c>
      <c r="EV107" s="231">
        <v>857523</v>
      </c>
      <c r="EW107" s="231">
        <v>845525</v>
      </c>
      <c r="EX107" s="231">
        <v>11998</v>
      </c>
      <c r="EY107" s="229">
        <v>1.4200000000000001E-2</v>
      </c>
      <c r="EZ107" s="229">
        <v>0.61370000000000002</v>
      </c>
      <c r="FA107" s="227" t="s">
        <v>555</v>
      </c>
      <c r="FB107" s="161">
        <f t="shared" si="1"/>
        <v>122444400</v>
      </c>
    </row>
    <row r="108" spans="1:158" ht="17.25" hidden="1" thickBot="1" x14ac:dyDescent="0.3">
      <c r="A108" s="226">
        <v>45957</v>
      </c>
      <c r="B108" s="227" t="s">
        <v>161</v>
      </c>
      <c r="C108" s="227" t="s">
        <v>580</v>
      </c>
      <c r="D108" s="228">
        <v>1000</v>
      </c>
      <c r="E108" s="228">
        <v>529.75</v>
      </c>
      <c r="F108" s="228">
        <v>530.65</v>
      </c>
      <c r="G108" s="228">
        <v>-0.9</v>
      </c>
      <c r="H108" s="229">
        <v>-1.6999999999999999E-3</v>
      </c>
      <c r="I108" s="228">
        <v>529.35</v>
      </c>
      <c r="J108" s="228">
        <v>531.15</v>
      </c>
      <c r="K108" s="228">
        <v>-1.8</v>
      </c>
      <c r="L108" s="229">
        <v>-3.3999999999999998E-3</v>
      </c>
      <c r="M108" s="228">
        <v>529.75</v>
      </c>
      <c r="N108" s="228">
        <v>530.65</v>
      </c>
      <c r="O108" s="228">
        <v>-0.9</v>
      </c>
      <c r="P108" s="229">
        <v>-1.6999999999999999E-3</v>
      </c>
      <c r="Q108" s="228">
        <v>532.6</v>
      </c>
      <c r="R108" s="228">
        <v>533.65</v>
      </c>
      <c r="S108" s="228">
        <v>-1.05</v>
      </c>
      <c r="T108" s="229">
        <v>-2E-3</v>
      </c>
      <c r="U108" s="228">
        <v>535.95000000000005</v>
      </c>
      <c r="V108" s="228">
        <v>537.25</v>
      </c>
      <c r="W108" s="228">
        <v>-1.3</v>
      </c>
      <c r="X108" s="229">
        <v>-2.3999999999999998E-3</v>
      </c>
      <c r="Y108" s="228">
        <v>0.4</v>
      </c>
      <c r="Z108" s="228">
        <v>-0.5</v>
      </c>
      <c r="AA108" s="228">
        <v>0.9</v>
      </c>
      <c r="AB108" s="229">
        <v>8.0000000000000004E-4</v>
      </c>
      <c r="AC108" s="228">
        <v>0.4</v>
      </c>
      <c r="AD108" s="228">
        <v>-0.5</v>
      </c>
      <c r="AE108" s="228">
        <v>0.9</v>
      </c>
      <c r="AF108" s="229">
        <v>8.0000000000000004E-4</v>
      </c>
      <c r="AG108" s="228">
        <v>3.25</v>
      </c>
      <c r="AH108" s="228">
        <v>2.5</v>
      </c>
      <c r="AI108" s="228">
        <v>0.75</v>
      </c>
      <c r="AJ108" s="229">
        <v>6.1000000000000004E-3</v>
      </c>
      <c r="AK108" s="228">
        <v>6.6</v>
      </c>
      <c r="AL108" s="228">
        <v>6.1</v>
      </c>
      <c r="AM108" s="228">
        <v>0.5</v>
      </c>
      <c r="AN108" s="229">
        <v>1.2500000000000001E-2</v>
      </c>
      <c r="AO108" s="228">
        <v>531.22</v>
      </c>
      <c r="AP108" s="228">
        <v>534.58000000000004</v>
      </c>
      <c r="AQ108" s="228">
        <v>0</v>
      </c>
      <c r="AR108" s="230">
        <v>23291000</v>
      </c>
      <c r="AS108" s="230">
        <v>29884000</v>
      </c>
      <c r="AT108" s="230">
        <v>-6593000</v>
      </c>
      <c r="AU108" s="229">
        <v>-0.22059999999999999</v>
      </c>
      <c r="AV108" s="230">
        <v>9525000</v>
      </c>
      <c r="AW108" s="230">
        <v>15347000</v>
      </c>
      <c r="AX108" s="230">
        <v>-5822000</v>
      </c>
      <c r="AY108" s="229">
        <v>-0.37940000000000002</v>
      </c>
      <c r="AZ108" s="230">
        <v>13675000</v>
      </c>
      <c r="BA108" s="230">
        <v>14502000</v>
      </c>
      <c r="BB108" s="230">
        <v>-827000</v>
      </c>
      <c r="BC108" s="229">
        <v>-5.7000000000000002E-2</v>
      </c>
      <c r="BD108" s="230">
        <v>91000</v>
      </c>
      <c r="BE108" s="230">
        <v>35000</v>
      </c>
      <c r="BF108" s="230">
        <v>56000</v>
      </c>
      <c r="BG108" s="229">
        <v>1.6</v>
      </c>
      <c r="BH108" s="230">
        <v>15584000</v>
      </c>
      <c r="BI108" s="230">
        <v>23795000</v>
      </c>
      <c r="BJ108" s="230">
        <v>-8211000</v>
      </c>
      <c r="BK108" s="229">
        <v>-0.34510000000000002</v>
      </c>
      <c r="BL108" s="230">
        <v>6450000</v>
      </c>
      <c r="BM108" s="230">
        <v>7328000</v>
      </c>
      <c r="BN108" s="230">
        <v>-878000</v>
      </c>
      <c r="BO108" s="229">
        <v>-0.1198</v>
      </c>
      <c r="BP108" s="230">
        <v>45325000</v>
      </c>
      <c r="BQ108" s="230">
        <v>61007000</v>
      </c>
      <c r="BR108" s="230">
        <v>-15682000</v>
      </c>
      <c r="BS108" s="229">
        <v>-0.2571</v>
      </c>
      <c r="BT108" s="230">
        <v>6090198</v>
      </c>
      <c r="BU108" s="230">
        <v>2430805</v>
      </c>
      <c r="BV108" s="230">
        <v>3659393</v>
      </c>
      <c r="BW108" s="229">
        <v>1.5054000000000001</v>
      </c>
      <c r="BX108" s="230">
        <v>39765000</v>
      </c>
      <c r="BY108" s="230">
        <v>36829000</v>
      </c>
      <c r="BZ108" s="230">
        <v>2936000</v>
      </c>
      <c r="CA108" s="229">
        <v>7.9699999999999993E-2</v>
      </c>
      <c r="CB108" s="230">
        <v>6251000</v>
      </c>
      <c r="CC108" s="230">
        <v>13794000</v>
      </c>
      <c r="CD108" s="230">
        <v>-7543000</v>
      </c>
      <c r="CE108" s="229">
        <v>-0.54679999999999995</v>
      </c>
      <c r="CF108" s="230">
        <v>33359000</v>
      </c>
      <c r="CG108" s="230">
        <v>22931000</v>
      </c>
      <c r="CH108" s="230">
        <v>10428000</v>
      </c>
      <c r="CI108" s="229">
        <v>0.45479999999999998</v>
      </c>
      <c r="CJ108" s="230">
        <v>155000</v>
      </c>
      <c r="CK108" s="230">
        <v>104000</v>
      </c>
      <c r="CL108" s="230">
        <v>51000</v>
      </c>
      <c r="CM108" s="229">
        <v>0.4904</v>
      </c>
      <c r="CN108" s="230">
        <v>13123000</v>
      </c>
      <c r="CO108" s="230">
        <v>14380000</v>
      </c>
      <c r="CP108" s="230">
        <v>-1257000</v>
      </c>
      <c r="CQ108" s="229">
        <v>-8.7400000000000005E-2</v>
      </c>
      <c r="CR108" s="230">
        <v>4907000</v>
      </c>
      <c r="CS108" s="230">
        <v>4868000</v>
      </c>
      <c r="CT108" s="230">
        <v>39000</v>
      </c>
      <c r="CU108" s="229">
        <v>8.0000000000000002E-3</v>
      </c>
      <c r="CV108" s="230">
        <v>57795000</v>
      </c>
      <c r="CW108" s="230">
        <v>56077000</v>
      </c>
      <c r="CX108" s="230">
        <v>1718000</v>
      </c>
      <c r="CY108" s="229">
        <v>3.0599999999999999E-2</v>
      </c>
      <c r="CZ108" s="228">
        <v>28.56</v>
      </c>
      <c r="DA108" s="228">
        <v>29.71</v>
      </c>
      <c r="DB108" s="228">
        <v>-1.1499999999999999</v>
      </c>
      <c r="DC108" s="228">
        <v>-1.1499999999999999</v>
      </c>
      <c r="DD108" s="228">
        <v>44.86</v>
      </c>
      <c r="DE108" s="228">
        <v>44.98</v>
      </c>
      <c r="DF108" s="228">
        <v>-16.3</v>
      </c>
      <c r="DG108" s="228">
        <v>-0.12</v>
      </c>
      <c r="DH108" s="228">
        <v>29.24</v>
      </c>
      <c r="DI108" s="228">
        <v>29.81</v>
      </c>
      <c r="DJ108" s="228">
        <v>-0.56999999999999995</v>
      </c>
      <c r="DK108" s="228">
        <v>-0.56999999999999995</v>
      </c>
      <c r="DL108" s="228">
        <v>26.99</v>
      </c>
      <c r="DM108" s="228">
        <v>29.3</v>
      </c>
      <c r="DN108" s="228">
        <v>-2.31</v>
      </c>
      <c r="DO108" s="228">
        <v>-2.31</v>
      </c>
      <c r="DP108" s="228">
        <v>0.37</v>
      </c>
      <c r="DQ108" s="228">
        <v>0.34</v>
      </c>
      <c r="DR108" s="228">
        <v>0.03</v>
      </c>
      <c r="DS108" s="229">
        <v>8.8200000000000001E-2</v>
      </c>
      <c r="DT108" s="228">
        <v>560</v>
      </c>
      <c r="DU108" s="228">
        <v>550</v>
      </c>
      <c r="DV108" s="228">
        <v>0.41</v>
      </c>
      <c r="DW108" s="228">
        <v>0.31</v>
      </c>
      <c r="DX108" s="228">
        <v>0.1</v>
      </c>
      <c r="DY108" s="229">
        <v>0.3226</v>
      </c>
      <c r="DZ108" s="229">
        <v>0.84279999999999999</v>
      </c>
      <c r="EA108" s="230">
        <v>23035000</v>
      </c>
      <c r="EB108" s="229">
        <v>5.4000000000000003E-3</v>
      </c>
      <c r="EC108" s="229">
        <v>0.84279999999999999</v>
      </c>
      <c r="ED108" s="228">
        <v>3.36</v>
      </c>
      <c r="EE108" s="229">
        <v>6.3E-3</v>
      </c>
      <c r="EF108" s="230">
        <v>4598528</v>
      </c>
      <c r="EG108" s="230">
        <v>1134219</v>
      </c>
      <c r="EH108" s="229">
        <v>3.0543999999999998</v>
      </c>
      <c r="EI108" s="229">
        <v>0.75509999999999999</v>
      </c>
      <c r="EJ108" s="231">
        <v>86451.08</v>
      </c>
      <c r="EK108" s="231">
        <v>34884.199999999997</v>
      </c>
      <c r="EL108" s="231">
        <v>124191.35</v>
      </c>
      <c r="EM108" s="231">
        <v>16166</v>
      </c>
      <c r="EN108" s="231">
        <v>245526.63</v>
      </c>
      <c r="EO108" s="231">
        <v>330585.15000000002</v>
      </c>
      <c r="EP108" s="231">
        <v>-85058.52</v>
      </c>
      <c r="EQ108" s="229">
        <v>-0.25729999999999997</v>
      </c>
      <c r="ER108" s="231">
        <v>74074</v>
      </c>
      <c r="ES108" s="231">
        <v>25794</v>
      </c>
      <c r="ET108" s="231">
        <v>211615</v>
      </c>
      <c r="EU108" s="231">
        <v>80203755</v>
      </c>
      <c r="EV108" s="231">
        <v>311483</v>
      </c>
      <c r="EW108" s="231">
        <v>302786</v>
      </c>
      <c r="EX108" s="231">
        <v>8697</v>
      </c>
      <c r="EY108" s="229">
        <v>2.87E-2</v>
      </c>
      <c r="EZ108" s="229">
        <v>0.72060000000000002</v>
      </c>
      <c r="FA108" s="227" t="s">
        <v>567</v>
      </c>
      <c r="FB108" s="161">
        <f t="shared" si="1"/>
        <v>33514000</v>
      </c>
    </row>
    <row r="109" spans="1:158" ht="17.25" hidden="1" thickBot="1" x14ac:dyDescent="0.3">
      <c r="A109" s="226">
        <v>45957</v>
      </c>
      <c r="B109" s="227" t="s">
        <v>227</v>
      </c>
      <c r="C109" s="227" t="s">
        <v>244</v>
      </c>
      <c r="D109" s="228">
        <v>675</v>
      </c>
      <c r="E109" s="231">
        <v>1149.2</v>
      </c>
      <c r="F109" s="231">
        <v>1142.4000000000001</v>
      </c>
      <c r="G109" s="228">
        <v>6.8</v>
      </c>
      <c r="H109" s="229">
        <v>6.0000000000000001E-3</v>
      </c>
      <c r="I109" s="231">
        <v>1150.5999999999999</v>
      </c>
      <c r="J109" s="231">
        <v>1141.4000000000001</v>
      </c>
      <c r="K109" s="228">
        <v>9.1999999999999993</v>
      </c>
      <c r="L109" s="229">
        <v>8.0999999999999996E-3</v>
      </c>
      <c r="M109" s="231">
        <v>1149.2</v>
      </c>
      <c r="N109" s="231">
        <v>1142.4000000000001</v>
      </c>
      <c r="O109" s="228">
        <v>6.8</v>
      </c>
      <c r="P109" s="229">
        <v>6.0000000000000001E-3</v>
      </c>
      <c r="Q109" s="231">
        <v>1155.7</v>
      </c>
      <c r="R109" s="231">
        <v>1149.2</v>
      </c>
      <c r="S109" s="228">
        <v>6.5</v>
      </c>
      <c r="T109" s="229">
        <v>5.7000000000000002E-3</v>
      </c>
      <c r="U109" s="231">
        <v>1162</v>
      </c>
      <c r="V109" s="231">
        <v>1157</v>
      </c>
      <c r="W109" s="228">
        <v>5</v>
      </c>
      <c r="X109" s="229">
        <v>4.3E-3</v>
      </c>
      <c r="Y109" s="228">
        <v>-1.4</v>
      </c>
      <c r="Z109" s="228">
        <v>1</v>
      </c>
      <c r="AA109" s="228">
        <v>-2.4</v>
      </c>
      <c r="AB109" s="229">
        <v>-1.1999999999999999E-3</v>
      </c>
      <c r="AC109" s="228">
        <v>-1.4</v>
      </c>
      <c r="AD109" s="228">
        <v>1</v>
      </c>
      <c r="AE109" s="228">
        <v>-2.4</v>
      </c>
      <c r="AF109" s="229">
        <v>-1.1999999999999999E-3</v>
      </c>
      <c r="AG109" s="228">
        <v>5.0999999999999996</v>
      </c>
      <c r="AH109" s="228">
        <v>7.8</v>
      </c>
      <c r="AI109" s="228">
        <v>-2.7</v>
      </c>
      <c r="AJ109" s="229">
        <v>4.4000000000000003E-3</v>
      </c>
      <c r="AK109" s="228">
        <v>11.4</v>
      </c>
      <c r="AL109" s="228">
        <v>15.6</v>
      </c>
      <c r="AM109" s="228">
        <v>-4.2</v>
      </c>
      <c r="AN109" s="229">
        <v>9.9000000000000008E-3</v>
      </c>
      <c r="AO109" s="231">
        <v>1148.71</v>
      </c>
      <c r="AP109" s="231">
        <v>1155.3900000000001</v>
      </c>
      <c r="AQ109" s="228">
        <v>0</v>
      </c>
      <c r="AR109" s="230">
        <v>20933775</v>
      </c>
      <c r="AS109" s="230">
        <v>28001700</v>
      </c>
      <c r="AT109" s="230">
        <v>-7067925</v>
      </c>
      <c r="AU109" s="229">
        <v>-0.25240000000000001</v>
      </c>
      <c r="AV109" s="230">
        <v>9892800</v>
      </c>
      <c r="AW109" s="230">
        <v>13877325</v>
      </c>
      <c r="AX109" s="230">
        <v>-3984525</v>
      </c>
      <c r="AY109" s="229">
        <v>-0.28710000000000002</v>
      </c>
      <c r="AZ109" s="230">
        <v>11005200</v>
      </c>
      <c r="BA109" s="230">
        <v>14085900</v>
      </c>
      <c r="BB109" s="230">
        <v>-3080700</v>
      </c>
      <c r="BC109" s="229">
        <v>-0.21870000000000001</v>
      </c>
      <c r="BD109" s="230">
        <v>35775</v>
      </c>
      <c r="BE109" s="230">
        <v>38475</v>
      </c>
      <c r="BF109" s="230">
        <v>-2700</v>
      </c>
      <c r="BG109" s="229">
        <v>-7.0199999999999999E-2</v>
      </c>
      <c r="BH109" s="230">
        <v>11554650</v>
      </c>
      <c r="BI109" s="230">
        <v>13057875</v>
      </c>
      <c r="BJ109" s="230">
        <v>-1503225</v>
      </c>
      <c r="BK109" s="229">
        <v>-0.11509999999999999</v>
      </c>
      <c r="BL109" s="230">
        <v>6046650</v>
      </c>
      <c r="BM109" s="230">
        <v>6614325</v>
      </c>
      <c r="BN109" s="230">
        <v>-567675</v>
      </c>
      <c r="BO109" s="229">
        <v>-8.5800000000000001E-2</v>
      </c>
      <c r="BP109" s="230">
        <v>38535075</v>
      </c>
      <c r="BQ109" s="230">
        <v>47673900</v>
      </c>
      <c r="BR109" s="230">
        <v>-9138825</v>
      </c>
      <c r="BS109" s="229">
        <v>-0.19170000000000001</v>
      </c>
      <c r="BT109" s="230">
        <v>1349891</v>
      </c>
      <c r="BU109" s="230">
        <v>1353345</v>
      </c>
      <c r="BV109" s="230">
        <v>-3454</v>
      </c>
      <c r="BW109" s="229">
        <v>-2.5999999999999999E-3</v>
      </c>
      <c r="BX109" s="230">
        <v>47708325</v>
      </c>
      <c r="BY109" s="230">
        <v>47324925</v>
      </c>
      <c r="BZ109" s="230">
        <v>383400</v>
      </c>
      <c r="CA109" s="229">
        <v>8.0999999999999996E-3</v>
      </c>
      <c r="CB109" s="230">
        <v>6421275</v>
      </c>
      <c r="CC109" s="230">
        <v>15271200</v>
      </c>
      <c r="CD109" s="230">
        <v>-8849925</v>
      </c>
      <c r="CE109" s="229">
        <v>-0.57950000000000002</v>
      </c>
      <c r="CF109" s="230">
        <v>41204025</v>
      </c>
      <c r="CG109" s="230">
        <v>31972050</v>
      </c>
      <c r="CH109" s="230">
        <v>9231975</v>
      </c>
      <c r="CI109" s="229">
        <v>0.2888</v>
      </c>
      <c r="CJ109" s="230">
        <v>83025</v>
      </c>
      <c r="CK109" s="230">
        <v>81675</v>
      </c>
      <c r="CL109" s="230">
        <v>1350</v>
      </c>
      <c r="CM109" s="229">
        <v>1.6500000000000001E-2</v>
      </c>
      <c r="CN109" s="230">
        <v>9357525</v>
      </c>
      <c r="CO109" s="230">
        <v>9619425</v>
      </c>
      <c r="CP109" s="230">
        <v>-261900</v>
      </c>
      <c r="CQ109" s="229">
        <v>-2.7199999999999998E-2</v>
      </c>
      <c r="CR109" s="230">
        <v>5503275</v>
      </c>
      <c r="CS109" s="230">
        <v>5400000</v>
      </c>
      <c r="CT109" s="230">
        <v>103275</v>
      </c>
      <c r="CU109" s="229">
        <v>1.9099999999999999E-2</v>
      </c>
      <c r="CV109" s="230">
        <v>62569125</v>
      </c>
      <c r="CW109" s="230">
        <v>62344350</v>
      </c>
      <c r="CX109" s="230">
        <v>224775</v>
      </c>
      <c r="CY109" s="229">
        <v>3.5999999999999999E-3</v>
      </c>
      <c r="CZ109" s="228">
        <v>23.44</v>
      </c>
      <c r="DA109" s="228">
        <v>24.14</v>
      </c>
      <c r="DB109" s="228">
        <v>-0.7</v>
      </c>
      <c r="DC109" s="228">
        <v>-0.7</v>
      </c>
      <c r="DD109" s="228">
        <v>29.21</v>
      </c>
      <c r="DE109" s="228">
        <v>29.27</v>
      </c>
      <c r="DF109" s="228">
        <v>-5.77</v>
      </c>
      <c r="DG109" s="228">
        <v>-0.06</v>
      </c>
      <c r="DH109" s="228">
        <v>23.65</v>
      </c>
      <c r="DI109" s="228">
        <v>24.49</v>
      </c>
      <c r="DJ109" s="228">
        <v>-0.84</v>
      </c>
      <c r="DK109" s="228">
        <v>-0.84</v>
      </c>
      <c r="DL109" s="228">
        <v>23.08</v>
      </c>
      <c r="DM109" s="228">
        <v>23.56</v>
      </c>
      <c r="DN109" s="228">
        <v>-0.48</v>
      </c>
      <c r="DO109" s="228">
        <v>-0.48</v>
      </c>
      <c r="DP109" s="228">
        <v>0.59</v>
      </c>
      <c r="DQ109" s="228">
        <v>0.56000000000000005</v>
      </c>
      <c r="DR109" s="228">
        <v>0.03</v>
      </c>
      <c r="DS109" s="229">
        <v>5.3600000000000002E-2</v>
      </c>
      <c r="DT109" s="231">
        <v>1150</v>
      </c>
      <c r="DU109" s="231">
        <v>1100</v>
      </c>
      <c r="DV109" s="228">
        <v>0.52</v>
      </c>
      <c r="DW109" s="228">
        <v>0.51</v>
      </c>
      <c r="DX109" s="228">
        <v>0.01</v>
      </c>
      <c r="DY109" s="229">
        <v>1.9599999999999999E-2</v>
      </c>
      <c r="DZ109" s="229">
        <v>0.86539999999999995</v>
      </c>
      <c r="EA109" s="230">
        <v>32053725</v>
      </c>
      <c r="EB109" s="229">
        <v>5.7000000000000002E-3</v>
      </c>
      <c r="EC109" s="229">
        <v>0.86539999999999995</v>
      </c>
      <c r="ED109" s="228">
        <v>6.68</v>
      </c>
      <c r="EE109" s="229">
        <v>5.7999999999999996E-3</v>
      </c>
      <c r="EF109" s="230">
        <v>609266</v>
      </c>
      <c r="EG109" s="230">
        <v>771307</v>
      </c>
      <c r="EH109" s="229">
        <v>-0.21010000000000001</v>
      </c>
      <c r="EI109" s="229">
        <v>0.45129999999999998</v>
      </c>
      <c r="EJ109" s="231">
        <v>137036.88</v>
      </c>
      <c r="EK109" s="231">
        <v>68950.460000000006</v>
      </c>
      <c r="EL109" s="231">
        <v>241209.31</v>
      </c>
      <c r="EM109" s="231">
        <v>23880</v>
      </c>
      <c r="EN109" s="231">
        <v>447196.65</v>
      </c>
      <c r="EO109" s="231">
        <v>549975</v>
      </c>
      <c r="EP109" s="231">
        <v>-102778.35</v>
      </c>
      <c r="EQ109" s="229">
        <v>-0.18690000000000001</v>
      </c>
      <c r="ER109" s="231">
        <v>111627</v>
      </c>
      <c r="ES109" s="231">
        <v>60809</v>
      </c>
      <c r="ET109" s="231">
        <v>550953</v>
      </c>
      <c r="EU109" s="231">
        <v>133166619</v>
      </c>
      <c r="EV109" s="231">
        <v>723389</v>
      </c>
      <c r="EW109" s="231">
        <v>717574</v>
      </c>
      <c r="EX109" s="231">
        <v>5815</v>
      </c>
      <c r="EY109" s="229">
        <v>8.0999999999999996E-3</v>
      </c>
      <c r="EZ109" s="229">
        <v>0.46989999999999998</v>
      </c>
      <c r="FA109" s="227" t="s">
        <v>555</v>
      </c>
      <c r="FB109" s="161">
        <f t="shared" si="1"/>
        <v>41287050</v>
      </c>
    </row>
    <row r="110" spans="1:158" ht="17.25" hidden="1" thickBot="1" x14ac:dyDescent="0.3">
      <c r="A110" s="226">
        <v>45957</v>
      </c>
      <c r="B110" s="227" t="s">
        <v>168</v>
      </c>
      <c r="C110" s="227" t="s">
        <v>245</v>
      </c>
      <c r="D110" s="228">
        <v>1250</v>
      </c>
      <c r="E110" s="228">
        <v>595.4</v>
      </c>
      <c r="F110" s="228">
        <v>590.29999999999995</v>
      </c>
      <c r="G110" s="228">
        <v>5.0999999999999996</v>
      </c>
      <c r="H110" s="229">
        <v>8.6E-3</v>
      </c>
      <c r="I110" s="228">
        <v>595.70000000000005</v>
      </c>
      <c r="J110" s="228">
        <v>590.54999999999995</v>
      </c>
      <c r="K110" s="228">
        <v>5.15</v>
      </c>
      <c r="L110" s="229">
        <v>8.6999999999999994E-3</v>
      </c>
      <c r="M110" s="228">
        <v>595.4</v>
      </c>
      <c r="N110" s="228">
        <v>590.29999999999995</v>
      </c>
      <c r="O110" s="228">
        <v>5.0999999999999996</v>
      </c>
      <c r="P110" s="229">
        <v>8.6E-3</v>
      </c>
      <c r="Q110" s="228">
        <v>598.15</v>
      </c>
      <c r="R110" s="228">
        <v>591.9</v>
      </c>
      <c r="S110" s="228">
        <v>6.25</v>
      </c>
      <c r="T110" s="229">
        <v>1.06E-2</v>
      </c>
      <c r="U110" s="228">
        <v>602.25</v>
      </c>
      <c r="V110" s="228">
        <v>596.5</v>
      </c>
      <c r="W110" s="228">
        <v>5.75</v>
      </c>
      <c r="X110" s="229">
        <v>9.5999999999999992E-3</v>
      </c>
      <c r="Y110" s="228">
        <v>-0.3</v>
      </c>
      <c r="Z110" s="228">
        <v>-0.25</v>
      </c>
      <c r="AA110" s="228">
        <v>-0.05</v>
      </c>
      <c r="AB110" s="229">
        <v>-5.0000000000000001E-4</v>
      </c>
      <c r="AC110" s="228">
        <v>-0.3</v>
      </c>
      <c r="AD110" s="228">
        <v>-0.25</v>
      </c>
      <c r="AE110" s="228">
        <v>-0.05</v>
      </c>
      <c r="AF110" s="229">
        <v>-5.0000000000000001E-4</v>
      </c>
      <c r="AG110" s="228">
        <v>2.4500000000000002</v>
      </c>
      <c r="AH110" s="228">
        <v>1.35</v>
      </c>
      <c r="AI110" s="228">
        <v>1.1000000000000001</v>
      </c>
      <c r="AJ110" s="229">
        <v>4.1000000000000003E-3</v>
      </c>
      <c r="AK110" s="228">
        <v>6.55</v>
      </c>
      <c r="AL110" s="228">
        <v>5.95</v>
      </c>
      <c r="AM110" s="228">
        <v>0.6</v>
      </c>
      <c r="AN110" s="229">
        <v>1.0999999999999999E-2</v>
      </c>
      <c r="AO110" s="228">
        <v>592.13</v>
      </c>
      <c r="AP110" s="228">
        <v>595.9</v>
      </c>
      <c r="AQ110" s="228">
        <v>0</v>
      </c>
      <c r="AR110" s="230">
        <v>18852500</v>
      </c>
      <c r="AS110" s="230">
        <v>17041250</v>
      </c>
      <c r="AT110" s="230">
        <v>1811250</v>
      </c>
      <c r="AU110" s="229">
        <v>0.10630000000000001</v>
      </c>
      <c r="AV110" s="230">
        <v>9052500</v>
      </c>
      <c r="AW110" s="230">
        <v>8390000</v>
      </c>
      <c r="AX110" s="230">
        <v>662500</v>
      </c>
      <c r="AY110" s="229">
        <v>7.9000000000000001E-2</v>
      </c>
      <c r="AZ110" s="230">
        <v>9658750</v>
      </c>
      <c r="BA110" s="230">
        <v>8563750</v>
      </c>
      <c r="BB110" s="230">
        <v>1095000</v>
      </c>
      <c r="BC110" s="229">
        <v>0.12790000000000001</v>
      </c>
      <c r="BD110" s="230">
        <v>141250</v>
      </c>
      <c r="BE110" s="230">
        <v>87500</v>
      </c>
      <c r="BF110" s="230">
        <v>53750</v>
      </c>
      <c r="BG110" s="229">
        <v>0.61429999999999996</v>
      </c>
      <c r="BH110" s="230">
        <v>7526250</v>
      </c>
      <c r="BI110" s="230">
        <v>8378750</v>
      </c>
      <c r="BJ110" s="230">
        <v>-852500</v>
      </c>
      <c r="BK110" s="229">
        <v>-0.1017</v>
      </c>
      <c r="BL110" s="230">
        <v>3316250</v>
      </c>
      <c r="BM110" s="230">
        <v>4157500</v>
      </c>
      <c r="BN110" s="230">
        <v>-841250</v>
      </c>
      <c r="BO110" s="229">
        <v>-0.20230000000000001</v>
      </c>
      <c r="BP110" s="230">
        <v>29695000</v>
      </c>
      <c r="BQ110" s="230">
        <v>29577500</v>
      </c>
      <c r="BR110" s="230">
        <v>117500</v>
      </c>
      <c r="BS110" s="229">
        <v>4.0000000000000001E-3</v>
      </c>
      <c r="BT110" s="230">
        <v>816608</v>
      </c>
      <c r="BU110" s="230">
        <v>885852</v>
      </c>
      <c r="BV110" s="230">
        <v>-69244</v>
      </c>
      <c r="BW110" s="229">
        <v>-7.8200000000000006E-2</v>
      </c>
      <c r="BX110" s="230">
        <v>22552500</v>
      </c>
      <c r="BY110" s="230">
        <v>23218750</v>
      </c>
      <c r="BZ110" s="230">
        <v>-666250</v>
      </c>
      <c r="CA110" s="229">
        <v>-2.87E-2</v>
      </c>
      <c r="CB110" s="230">
        <v>3621250</v>
      </c>
      <c r="CC110" s="230">
        <v>10131250</v>
      </c>
      <c r="CD110" s="230">
        <v>-6510000</v>
      </c>
      <c r="CE110" s="229">
        <v>-0.64259999999999995</v>
      </c>
      <c r="CF110" s="230">
        <v>18607500</v>
      </c>
      <c r="CG110" s="230">
        <v>12792500</v>
      </c>
      <c r="CH110" s="230">
        <v>5815000</v>
      </c>
      <c r="CI110" s="229">
        <v>0.4546</v>
      </c>
      <c r="CJ110" s="230">
        <v>323750</v>
      </c>
      <c r="CK110" s="230">
        <v>295000</v>
      </c>
      <c r="CL110" s="230">
        <v>28750</v>
      </c>
      <c r="CM110" s="229">
        <v>9.7500000000000003E-2</v>
      </c>
      <c r="CN110" s="230">
        <v>8368750</v>
      </c>
      <c r="CO110" s="230">
        <v>9936250</v>
      </c>
      <c r="CP110" s="230">
        <v>-1567500</v>
      </c>
      <c r="CQ110" s="229">
        <v>-0.1578</v>
      </c>
      <c r="CR110" s="230">
        <v>4946250</v>
      </c>
      <c r="CS110" s="230">
        <v>5305000</v>
      </c>
      <c r="CT110" s="230">
        <v>-358750</v>
      </c>
      <c r="CU110" s="229">
        <v>-6.7599999999999993E-2</v>
      </c>
      <c r="CV110" s="230">
        <v>35867500</v>
      </c>
      <c r="CW110" s="230">
        <v>38460000</v>
      </c>
      <c r="CX110" s="230">
        <v>-2592500</v>
      </c>
      <c r="CY110" s="229">
        <v>-6.7400000000000002E-2</v>
      </c>
      <c r="CZ110" s="228">
        <v>28.73</v>
      </c>
      <c r="DA110" s="228">
        <v>28.22</v>
      </c>
      <c r="DB110" s="228">
        <v>0.51</v>
      </c>
      <c r="DC110" s="228">
        <v>0.51</v>
      </c>
      <c r="DD110" s="228">
        <v>33.65</v>
      </c>
      <c r="DE110" s="228">
        <v>33.71</v>
      </c>
      <c r="DF110" s="228">
        <v>-4.92</v>
      </c>
      <c r="DG110" s="228">
        <v>-0.06</v>
      </c>
      <c r="DH110" s="228">
        <v>28.73</v>
      </c>
      <c r="DI110" s="228">
        <v>28.84</v>
      </c>
      <c r="DJ110" s="228">
        <v>-0.11</v>
      </c>
      <c r="DK110" s="228">
        <v>-0.11</v>
      </c>
      <c r="DL110" s="228">
        <v>28.72</v>
      </c>
      <c r="DM110" s="228">
        <v>27.21</v>
      </c>
      <c r="DN110" s="228">
        <v>1.51</v>
      </c>
      <c r="DO110" s="228">
        <v>1.51</v>
      </c>
      <c r="DP110" s="228">
        <v>0.59</v>
      </c>
      <c r="DQ110" s="228">
        <v>0.53</v>
      </c>
      <c r="DR110" s="228">
        <v>0.06</v>
      </c>
      <c r="DS110" s="229">
        <v>0.1132</v>
      </c>
      <c r="DT110" s="228">
        <v>640</v>
      </c>
      <c r="DU110" s="228">
        <v>600</v>
      </c>
      <c r="DV110" s="228">
        <v>0.44</v>
      </c>
      <c r="DW110" s="228">
        <v>0.5</v>
      </c>
      <c r="DX110" s="228">
        <v>-0.06</v>
      </c>
      <c r="DY110" s="229">
        <v>-0.12</v>
      </c>
      <c r="DZ110" s="229">
        <v>0.83940000000000003</v>
      </c>
      <c r="EA110" s="230">
        <v>13087500</v>
      </c>
      <c r="EB110" s="229">
        <v>4.5999999999999999E-3</v>
      </c>
      <c r="EC110" s="229">
        <v>0.83940000000000003</v>
      </c>
      <c r="ED110" s="228">
        <v>3.77</v>
      </c>
      <c r="EE110" s="229">
        <v>6.4000000000000003E-3</v>
      </c>
      <c r="EF110" s="230">
        <v>441176</v>
      </c>
      <c r="EG110" s="230">
        <v>500296</v>
      </c>
      <c r="EH110" s="229">
        <v>-0.1182</v>
      </c>
      <c r="EI110" s="229">
        <v>0.5403</v>
      </c>
      <c r="EJ110" s="231">
        <v>46798.38</v>
      </c>
      <c r="EK110" s="231">
        <v>19840.87</v>
      </c>
      <c r="EL110" s="231">
        <v>112006.63</v>
      </c>
      <c r="EM110" s="231">
        <v>7108</v>
      </c>
      <c r="EN110" s="231">
        <v>178645.88</v>
      </c>
      <c r="EO110" s="231">
        <v>177886.93</v>
      </c>
      <c r="EP110" s="228">
        <v>758.95</v>
      </c>
      <c r="EQ110" s="229">
        <v>4.3E-3</v>
      </c>
      <c r="ER110" s="231">
        <v>52942</v>
      </c>
      <c r="ES110" s="231">
        <v>29202</v>
      </c>
      <c r="ET110" s="231">
        <v>134811</v>
      </c>
      <c r="EU110" s="231">
        <v>48884739</v>
      </c>
      <c r="EV110" s="231">
        <v>216955</v>
      </c>
      <c r="EW110" s="231">
        <v>231504</v>
      </c>
      <c r="EX110" s="231">
        <v>-14549</v>
      </c>
      <c r="EY110" s="229">
        <v>-6.2799999999999995E-2</v>
      </c>
      <c r="EZ110" s="229">
        <v>0.73370000000000002</v>
      </c>
      <c r="FA110" s="227" t="s">
        <v>556</v>
      </c>
      <c r="FB110" s="161">
        <f t="shared" si="1"/>
        <v>18931250</v>
      </c>
    </row>
    <row r="111" spans="1:158" ht="17.25" hidden="1" thickBot="1" x14ac:dyDescent="0.3">
      <c r="A111" s="226">
        <v>45957</v>
      </c>
      <c r="B111" s="227" t="s">
        <v>168</v>
      </c>
      <c r="C111" s="227" t="s">
        <v>582</v>
      </c>
      <c r="D111" s="228">
        <v>1175</v>
      </c>
      <c r="E111" s="228">
        <v>506.7</v>
      </c>
      <c r="F111" s="228">
        <v>494.8</v>
      </c>
      <c r="G111" s="228">
        <v>11.9</v>
      </c>
      <c r="H111" s="229">
        <v>2.41E-2</v>
      </c>
      <c r="I111" s="228">
        <v>505.85</v>
      </c>
      <c r="J111" s="228">
        <v>495.3</v>
      </c>
      <c r="K111" s="228">
        <v>10.55</v>
      </c>
      <c r="L111" s="229">
        <v>2.1299999999999999E-2</v>
      </c>
      <c r="M111" s="228">
        <v>506.7</v>
      </c>
      <c r="N111" s="228">
        <v>494.8</v>
      </c>
      <c r="O111" s="228">
        <v>11.9</v>
      </c>
      <c r="P111" s="229">
        <v>2.41E-2</v>
      </c>
      <c r="Q111" s="228">
        <v>509.55</v>
      </c>
      <c r="R111" s="228">
        <v>497.5</v>
      </c>
      <c r="S111" s="228">
        <v>12.05</v>
      </c>
      <c r="T111" s="229">
        <v>2.4199999999999999E-2</v>
      </c>
      <c r="U111" s="228">
        <v>512.35</v>
      </c>
      <c r="V111" s="228">
        <v>500.15</v>
      </c>
      <c r="W111" s="228">
        <v>12.2</v>
      </c>
      <c r="X111" s="229">
        <v>2.4400000000000002E-2</v>
      </c>
      <c r="Y111" s="228">
        <v>0.85</v>
      </c>
      <c r="Z111" s="228">
        <v>-0.5</v>
      </c>
      <c r="AA111" s="228">
        <v>1.35</v>
      </c>
      <c r="AB111" s="229">
        <v>1.6999999999999999E-3</v>
      </c>
      <c r="AC111" s="228">
        <v>0.85</v>
      </c>
      <c r="AD111" s="228">
        <v>-0.5</v>
      </c>
      <c r="AE111" s="228">
        <v>1.35</v>
      </c>
      <c r="AF111" s="229">
        <v>1.6999999999999999E-3</v>
      </c>
      <c r="AG111" s="228">
        <v>3.7</v>
      </c>
      <c r="AH111" s="228">
        <v>2.2000000000000002</v>
      </c>
      <c r="AI111" s="228">
        <v>1.5</v>
      </c>
      <c r="AJ111" s="229">
        <v>7.3000000000000001E-3</v>
      </c>
      <c r="AK111" s="228">
        <v>6.5</v>
      </c>
      <c r="AL111" s="228">
        <v>4.8499999999999996</v>
      </c>
      <c r="AM111" s="228">
        <v>1.65</v>
      </c>
      <c r="AN111" s="229">
        <v>1.2800000000000001E-2</v>
      </c>
      <c r="AO111" s="228">
        <v>502.56</v>
      </c>
      <c r="AP111" s="228">
        <v>505.73</v>
      </c>
      <c r="AQ111" s="228">
        <v>0</v>
      </c>
      <c r="AR111" s="230">
        <v>25878200</v>
      </c>
      <c r="AS111" s="230">
        <v>20107775</v>
      </c>
      <c r="AT111" s="230">
        <v>5770425</v>
      </c>
      <c r="AU111" s="229">
        <v>0.28699999999999998</v>
      </c>
      <c r="AV111" s="230">
        <v>12123650</v>
      </c>
      <c r="AW111" s="230">
        <v>10041550</v>
      </c>
      <c r="AX111" s="230">
        <v>2082100</v>
      </c>
      <c r="AY111" s="229">
        <v>0.20730000000000001</v>
      </c>
      <c r="AZ111" s="230">
        <v>13615900</v>
      </c>
      <c r="BA111" s="230">
        <v>10015700</v>
      </c>
      <c r="BB111" s="230">
        <v>3600200</v>
      </c>
      <c r="BC111" s="229">
        <v>0.35949999999999999</v>
      </c>
      <c r="BD111" s="230">
        <v>138650</v>
      </c>
      <c r="BE111" s="230">
        <v>50525</v>
      </c>
      <c r="BF111" s="230">
        <v>88125</v>
      </c>
      <c r="BG111" s="229">
        <v>1.7442</v>
      </c>
      <c r="BH111" s="230">
        <v>20043150</v>
      </c>
      <c r="BI111" s="230">
        <v>13615900</v>
      </c>
      <c r="BJ111" s="230">
        <v>6427250</v>
      </c>
      <c r="BK111" s="229">
        <v>0.47199999999999998</v>
      </c>
      <c r="BL111" s="230">
        <v>8651525</v>
      </c>
      <c r="BM111" s="230">
        <v>5127700</v>
      </c>
      <c r="BN111" s="230">
        <v>3523825</v>
      </c>
      <c r="BO111" s="229">
        <v>0.68720000000000003</v>
      </c>
      <c r="BP111" s="230">
        <v>54572875</v>
      </c>
      <c r="BQ111" s="230">
        <v>38851375</v>
      </c>
      <c r="BR111" s="230">
        <v>15721500</v>
      </c>
      <c r="BS111" s="229">
        <v>0.4047</v>
      </c>
      <c r="BT111" s="230">
        <v>3374621</v>
      </c>
      <c r="BU111" s="230">
        <v>1927228</v>
      </c>
      <c r="BV111" s="230">
        <v>1447393</v>
      </c>
      <c r="BW111" s="229">
        <v>0.751</v>
      </c>
      <c r="BX111" s="230">
        <v>30605225</v>
      </c>
      <c r="BY111" s="230">
        <v>30128175</v>
      </c>
      <c r="BZ111" s="230">
        <v>477050</v>
      </c>
      <c r="CA111" s="229">
        <v>1.5800000000000002E-2</v>
      </c>
      <c r="CB111" s="230">
        <v>4496725</v>
      </c>
      <c r="CC111" s="230">
        <v>13856775</v>
      </c>
      <c r="CD111" s="230">
        <v>-9360050</v>
      </c>
      <c r="CE111" s="229">
        <v>-0.67549999999999999</v>
      </c>
      <c r="CF111" s="230">
        <v>25881725</v>
      </c>
      <c r="CG111" s="230">
        <v>16110425</v>
      </c>
      <c r="CH111" s="230">
        <v>9771300</v>
      </c>
      <c r="CI111" s="229">
        <v>0.60650000000000004</v>
      </c>
      <c r="CJ111" s="230">
        <v>226775</v>
      </c>
      <c r="CK111" s="230">
        <v>160975</v>
      </c>
      <c r="CL111" s="230">
        <v>65800</v>
      </c>
      <c r="CM111" s="229">
        <v>0.4088</v>
      </c>
      <c r="CN111" s="230">
        <v>9865300</v>
      </c>
      <c r="CO111" s="230">
        <v>12814550</v>
      </c>
      <c r="CP111" s="230">
        <v>-2949250</v>
      </c>
      <c r="CQ111" s="229">
        <v>-0.2301</v>
      </c>
      <c r="CR111" s="230">
        <v>7435400</v>
      </c>
      <c r="CS111" s="230">
        <v>7849000</v>
      </c>
      <c r="CT111" s="230">
        <v>-413600</v>
      </c>
      <c r="CU111" s="229">
        <v>-5.2699999999999997E-2</v>
      </c>
      <c r="CV111" s="230">
        <v>47905925</v>
      </c>
      <c r="CW111" s="230">
        <v>50791725</v>
      </c>
      <c r="CX111" s="230">
        <v>-2885800</v>
      </c>
      <c r="CY111" s="229">
        <v>-5.6800000000000003E-2</v>
      </c>
      <c r="CZ111" s="228">
        <v>38.43</v>
      </c>
      <c r="DA111" s="228">
        <v>38.630000000000003</v>
      </c>
      <c r="DB111" s="228">
        <v>-0.2</v>
      </c>
      <c r="DC111" s="228">
        <v>-0.2</v>
      </c>
      <c r="DD111" s="228">
        <v>51.12</v>
      </c>
      <c r="DE111" s="228">
        <v>51.17</v>
      </c>
      <c r="DF111" s="228">
        <v>-12.69</v>
      </c>
      <c r="DG111" s="228">
        <v>-0.05</v>
      </c>
      <c r="DH111" s="228">
        <v>37.79</v>
      </c>
      <c r="DI111" s="228">
        <v>38.6</v>
      </c>
      <c r="DJ111" s="228">
        <v>-0.81</v>
      </c>
      <c r="DK111" s="228">
        <v>-0.81</v>
      </c>
      <c r="DL111" s="228">
        <v>40.04</v>
      </c>
      <c r="DM111" s="228">
        <v>38.67</v>
      </c>
      <c r="DN111" s="228">
        <v>1.37</v>
      </c>
      <c r="DO111" s="228">
        <v>1.37</v>
      </c>
      <c r="DP111" s="228">
        <v>0.75</v>
      </c>
      <c r="DQ111" s="228">
        <v>0.61</v>
      </c>
      <c r="DR111" s="228">
        <v>0.14000000000000001</v>
      </c>
      <c r="DS111" s="229">
        <v>0.22950000000000001</v>
      </c>
      <c r="DT111" s="228">
        <v>500</v>
      </c>
      <c r="DU111" s="228">
        <v>480</v>
      </c>
      <c r="DV111" s="228">
        <v>0.43</v>
      </c>
      <c r="DW111" s="228">
        <v>0.38</v>
      </c>
      <c r="DX111" s="228">
        <v>0.05</v>
      </c>
      <c r="DY111" s="229">
        <v>0.13159999999999999</v>
      </c>
      <c r="DZ111" s="229">
        <v>0.85309999999999997</v>
      </c>
      <c r="EA111" s="230">
        <v>16271400</v>
      </c>
      <c r="EB111" s="229">
        <v>5.5999999999999999E-3</v>
      </c>
      <c r="EC111" s="229">
        <v>0.85309999999999997</v>
      </c>
      <c r="ED111" s="228">
        <v>3.17</v>
      </c>
      <c r="EE111" s="229">
        <v>6.3E-3</v>
      </c>
      <c r="EF111" s="230">
        <v>1579686</v>
      </c>
      <c r="EG111" s="230">
        <v>660789</v>
      </c>
      <c r="EH111" s="229">
        <v>1.3906000000000001</v>
      </c>
      <c r="EI111" s="229">
        <v>0.46810000000000002</v>
      </c>
      <c r="EJ111" s="231">
        <v>104000.87</v>
      </c>
      <c r="EK111" s="231">
        <v>42553.89</v>
      </c>
      <c r="EL111" s="231">
        <v>130494.59</v>
      </c>
      <c r="EM111" s="231">
        <v>9719</v>
      </c>
      <c r="EN111" s="231">
        <v>277049.34999999998</v>
      </c>
      <c r="EO111" s="231">
        <v>196391.06</v>
      </c>
      <c r="EP111" s="231">
        <v>80658.289999999994</v>
      </c>
      <c r="EQ111" s="229">
        <v>0.41070000000000001</v>
      </c>
      <c r="ER111" s="231">
        <v>51188</v>
      </c>
      <c r="ES111" s="231">
        <v>35145</v>
      </c>
      <c r="ET111" s="231">
        <v>155827</v>
      </c>
      <c r="EU111" s="231">
        <v>57552009</v>
      </c>
      <c r="EV111" s="231">
        <v>242160</v>
      </c>
      <c r="EW111" s="231">
        <v>253036</v>
      </c>
      <c r="EX111" s="231">
        <v>-10876</v>
      </c>
      <c r="EY111" s="229">
        <v>-4.2999999999999997E-2</v>
      </c>
      <c r="EZ111" s="229">
        <v>0.83240000000000003</v>
      </c>
      <c r="FA111" s="227" t="s">
        <v>555</v>
      </c>
      <c r="FB111" s="161">
        <f t="shared" si="1"/>
        <v>26108500</v>
      </c>
    </row>
    <row r="112" spans="1:158" ht="17.25" hidden="1" thickBot="1" x14ac:dyDescent="0.3">
      <c r="A112" s="226">
        <v>45957</v>
      </c>
      <c r="B112" s="227" t="s">
        <v>184</v>
      </c>
      <c r="C112" s="227" t="s">
        <v>677</v>
      </c>
      <c r="D112" s="228">
        <v>100</v>
      </c>
      <c r="E112" s="231">
        <v>6733.5</v>
      </c>
      <c r="F112" s="231">
        <v>6690</v>
      </c>
      <c r="G112" s="228">
        <v>43.5</v>
      </c>
      <c r="H112" s="229">
        <v>6.4999999999999997E-3</v>
      </c>
      <c r="I112" s="231">
        <v>6737.5</v>
      </c>
      <c r="J112" s="231">
        <v>6689</v>
      </c>
      <c r="K112" s="228">
        <v>48.5</v>
      </c>
      <c r="L112" s="229">
        <v>7.3000000000000001E-3</v>
      </c>
      <c r="M112" s="231">
        <v>6733.5</v>
      </c>
      <c r="N112" s="231">
        <v>6690</v>
      </c>
      <c r="O112" s="228">
        <v>43.5</v>
      </c>
      <c r="P112" s="229">
        <v>6.4999999999999997E-3</v>
      </c>
      <c r="Q112" s="231">
        <v>6768.5</v>
      </c>
      <c r="R112" s="231">
        <v>6705</v>
      </c>
      <c r="S112" s="228">
        <v>63.5</v>
      </c>
      <c r="T112" s="229">
        <v>9.4999999999999998E-3</v>
      </c>
      <c r="U112" s="231">
        <v>6805.5</v>
      </c>
      <c r="V112" s="231">
        <v>6741.5</v>
      </c>
      <c r="W112" s="228">
        <v>64</v>
      </c>
      <c r="X112" s="229">
        <v>9.4999999999999998E-3</v>
      </c>
      <c r="Y112" s="228">
        <v>-4</v>
      </c>
      <c r="Z112" s="228">
        <v>1</v>
      </c>
      <c r="AA112" s="228">
        <v>-5</v>
      </c>
      <c r="AB112" s="229">
        <v>-5.9999999999999995E-4</v>
      </c>
      <c r="AC112" s="228">
        <v>-4</v>
      </c>
      <c r="AD112" s="228">
        <v>1</v>
      </c>
      <c r="AE112" s="228">
        <v>-5</v>
      </c>
      <c r="AF112" s="229">
        <v>-5.9999999999999995E-4</v>
      </c>
      <c r="AG112" s="228">
        <v>31</v>
      </c>
      <c r="AH112" s="228">
        <v>16</v>
      </c>
      <c r="AI112" s="228">
        <v>15</v>
      </c>
      <c r="AJ112" s="229">
        <v>4.5999999999999999E-3</v>
      </c>
      <c r="AK112" s="228">
        <v>68</v>
      </c>
      <c r="AL112" s="228">
        <v>52.5</v>
      </c>
      <c r="AM112" s="228">
        <v>15.5</v>
      </c>
      <c r="AN112" s="229">
        <v>1.01E-2</v>
      </c>
      <c r="AO112" s="231">
        <v>6714.8</v>
      </c>
      <c r="AP112" s="231">
        <v>6742.37</v>
      </c>
      <c r="AQ112" s="228">
        <v>0</v>
      </c>
      <c r="AR112" s="230">
        <v>1067200</v>
      </c>
      <c r="AS112" s="230">
        <v>1209200</v>
      </c>
      <c r="AT112" s="230">
        <v>-142000</v>
      </c>
      <c r="AU112" s="229">
        <v>-0.1174</v>
      </c>
      <c r="AV112" s="230">
        <v>529300</v>
      </c>
      <c r="AW112" s="230">
        <v>610100</v>
      </c>
      <c r="AX112" s="230">
        <v>-80800</v>
      </c>
      <c r="AY112" s="229">
        <v>-0.13239999999999999</v>
      </c>
      <c r="AZ112" s="230">
        <v>532800</v>
      </c>
      <c r="BA112" s="230">
        <v>588500</v>
      </c>
      <c r="BB112" s="230">
        <v>-55700</v>
      </c>
      <c r="BC112" s="229">
        <v>-9.4600000000000004E-2</v>
      </c>
      <c r="BD112" s="230">
        <v>5100</v>
      </c>
      <c r="BE112" s="230">
        <v>10600</v>
      </c>
      <c r="BF112" s="230">
        <v>-5500</v>
      </c>
      <c r="BG112" s="229">
        <v>-0.51890000000000003</v>
      </c>
      <c r="BH112" s="230">
        <v>2206200</v>
      </c>
      <c r="BI112" s="230">
        <v>3292600</v>
      </c>
      <c r="BJ112" s="230">
        <v>-1086400</v>
      </c>
      <c r="BK112" s="229">
        <v>-0.33</v>
      </c>
      <c r="BL112" s="230">
        <v>747100</v>
      </c>
      <c r="BM112" s="230">
        <v>1171500</v>
      </c>
      <c r="BN112" s="230">
        <v>-424400</v>
      </c>
      <c r="BO112" s="229">
        <v>-0.36230000000000001</v>
      </c>
      <c r="BP112" s="230">
        <v>4020500</v>
      </c>
      <c r="BQ112" s="230">
        <v>5673300</v>
      </c>
      <c r="BR112" s="230">
        <v>-1652800</v>
      </c>
      <c r="BS112" s="229">
        <v>-0.2913</v>
      </c>
      <c r="BT112" s="230">
        <v>270854</v>
      </c>
      <c r="BU112" s="230">
        <v>287347</v>
      </c>
      <c r="BV112" s="230">
        <v>-16493</v>
      </c>
      <c r="BW112" s="229">
        <v>-5.74E-2</v>
      </c>
      <c r="BX112" s="230">
        <v>1239500</v>
      </c>
      <c r="BY112" s="230">
        <v>1320900</v>
      </c>
      <c r="BZ112" s="230">
        <v>-81400</v>
      </c>
      <c r="CA112" s="229">
        <v>-6.1600000000000002E-2</v>
      </c>
      <c r="CB112" s="230">
        <v>366900</v>
      </c>
      <c r="CC112" s="230">
        <v>654600</v>
      </c>
      <c r="CD112" s="230">
        <v>-287700</v>
      </c>
      <c r="CE112" s="229">
        <v>-0.4395</v>
      </c>
      <c r="CF112" s="230">
        <v>842000</v>
      </c>
      <c r="CG112" s="230">
        <v>638200</v>
      </c>
      <c r="CH112" s="230">
        <v>203800</v>
      </c>
      <c r="CI112" s="229">
        <v>0.31929999999999997</v>
      </c>
      <c r="CJ112" s="230">
        <v>30600</v>
      </c>
      <c r="CK112" s="230">
        <v>28100</v>
      </c>
      <c r="CL112" s="230">
        <v>2500</v>
      </c>
      <c r="CM112" s="229">
        <v>8.8999999999999996E-2</v>
      </c>
      <c r="CN112" s="230">
        <v>1707600</v>
      </c>
      <c r="CO112" s="230">
        <v>1973600</v>
      </c>
      <c r="CP112" s="230">
        <v>-266000</v>
      </c>
      <c r="CQ112" s="229">
        <v>-0.1348</v>
      </c>
      <c r="CR112" s="230">
        <v>700800</v>
      </c>
      <c r="CS112" s="230">
        <v>804900</v>
      </c>
      <c r="CT112" s="230">
        <v>-104100</v>
      </c>
      <c r="CU112" s="229">
        <v>-0.1293</v>
      </c>
      <c r="CV112" s="230">
        <v>3647900</v>
      </c>
      <c r="CW112" s="230">
        <v>4099400</v>
      </c>
      <c r="CX112" s="230">
        <v>-451500</v>
      </c>
      <c r="CY112" s="229">
        <v>-0.1101</v>
      </c>
      <c r="CZ112" s="228">
        <v>40.14</v>
      </c>
      <c r="DA112" s="228">
        <v>39.89</v>
      </c>
      <c r="DB112" s="228">
        <v>0.25</v>
      </c>
      <c r="DC112" s="228">
        <v>0.25</v>
      </c>
      <c r="DD112" s="228">
        <v>55.04</v>
      </c>
      <c r="DE112" s="228">
        <v>55.17</v>
      </c>
      <c r="DF112" s="228">
        <v>-14.9</v>
      </c>
      <c r="DG112" s="228">
        <v>-0.13</v>
      </c>
      <c r="DH112" s="228">
        <v>39.950000000000003</v>
      </c>
      <c r="DI112" s="228">
        <v>40.270000000000003</v>
      </c>
      <c r="DJ112" s="228">
        <v>-0.32</v>
      </c>
      <c r="DK112" s="228">
        <v>-0.32</v>
      </c>
      <c r="DL112" s="228">
        <v>40.590000000000003</v>
      </c>
      <c r="DM112" s="228">
        <v>39.049999999999997</v>
      </c>
      <c r="DN112" s="228">
        <v>1.54</v>
      </c>
      <c r="DO112" s="228">
        <v>1.54</v>
      </c>
      <c r="DP112" s="228">
        <v>0.41</v>
      </c>
      <c r="DQ112" s="228">
        <v>0.41</v>
      </c>
      <c r="DR112" s="228">
        <v>0</v>
      </c>
      <c r="DS112" s="229">
        <v>0</v>
      </c>
      <c r="DT112" s="231">
        <v>7000</v>
      </c>
      <c r="DU112" s="231">
        <v>6500</v>
      </c>
      <c r="DV112" s="228">
        <v>0.34</v>
      </c>
      <c r="DW112" s="228">
        <v>0.36</v>
      </c>
      <c r="DX112" s="228">
        <v>-0.02</v>
      </c>
      <c r="DY112" s="229">
        <v>-5.5599999999999997E-2</v>
      </c>
      <c r="DZ112" s="229">
        <v>0.70399999999999996</v>
      </c>
      <c r="EA112" s="230">
        <v>666300</v>
      </c>
      <c r="EB112" s="229">
        <v>5.1999999999999998E-3</v>
      </c>
      <c r="EC112" s="229">
        <v>0.70399999999999996</v>
      </c>
      <c r="ED112" s="228">
        <v>27.57</v>
      </c>
      <c r="EE112" s="229">
        <v>4.1000000000000003E-3</v>
      </c>
      <c r="EF112" s="230">
        <v>109957</v>
      </c>
      <c r="EG112" s="230">
        <v>93861</v>
      </c>
      <c r="EH112" s="229">
        <v>0.17150000000000001</v>
      </c>
      <c r="EI112" s="229">
        <v>0.40600000000000003</v>
      </c>
      <c r="EJ112" s="231">
        <v>160443.21</v>
      </c>
      <c r="EK112" s="231">
        <v>50533.62</v>
      </c>
      <c r="EL112" s="231">
        <v>71810.710000000006</v>
      </c>
      <c r="EM112" s="231">
        <v>6640</v>
      </c>
      <c r="EN112" s="231">
        <v>282787.53999999998</v>
      </c>
      <c r="EO112" s="231">
        <v>394828.08</v>
      </c>
      <c r="EP112" s="231">
        <v>-112040.54</v>
      </c>
      <c r="EQ112" s="229">
        <v>-0.2838</v>
      </c>
      <c r="ER112" s="231">
        <v>125623</v>
      </c>
      <c r="ES112" s="231">
        <v>47508</v>
      </c>
      <c r="ET112" s="231">
        <v>83778</v>
      </c>
      <c r="EU112" s="231">
        <v>4667784</v>
      </c>
      <c r="EV112" s="231">
        <v>256910</v>
      </c>
      <c r="EW112" s="231">
        <v>289287</v>
      </c>
      <c r="EX112" s="231">
        <v>-32377</v>
      </c>
      <c r="EY112" s="229">
        <v>-0.1119</v>
      </c>
      <c r="EZ112" s="229">
        <v>0.78149999999999997</v>
      </c>
      <c r="FA112" s="227" t="s">
        <v>556</v>
      </c>
      <c r="FB112" s="161">
        <f t="shared" si="1"/>
        <v>872600</v>
      </c>
    </row>
    <row r="113" spans="1:158" ht="17.25" hidden="1" thickBot="1" x14ac:dyDescent="0.3">
      <c r="A113" s="226">
        <v>45957</v>
      </c>
      <c r="B113" s="227" t="s">
        <v>161</v>
      </c>
      <c r="C113" s="227" t="s">
        <v>610</v>
      </c>
      <c r="D113" s="228">
        <v>175</v>
      </c>
      <c r="E113" s="231">
        <v>4095.7</v>
      </c>
      <c r="F113" s="231">
        <v>4138.8999999999996</v>
      </c>
      <c r="G113" s="228">
        <v>-43.2</v>
      </c>
      <c r="H113" s="229">
        <v>-1.04E-2</v>
      </c>
      <c r="I113" s="231">
        <v>4084.8</v>
      </c>
      <c r="J113" s="231">
        <v>4125.7</v>
      </c>
      <c r="K113" s="228">
        <v>-40.9</v>
      </c>
      <c r="L113" s="229">
        <v>-9.9000000000000008E-3</v>
      </c>
      <c r="M113" s="231">
        <v>4095.7</v>
      </c>
      <c r="N113" s="231">
        <v>4138.8999999999996</v>
      </c>
      <c r="O113" s="228">
        <v>-43.2</v>
      </c>
      <c r="P113" s="229">
        <v>-1.04E-2</v>
      </c>
      <c r="Q113" s="231">
        <v>4092.2</v>
      </c>
      <c r="R113" s="231">
        <v>4105.3</v>
      </c>
      <c r="S113" s="228">
        <v>-13.1</v>
      </c>
      <c r="T113" s="229">
        <v>-3.2000000000000002E-3</v>
      </c>
      <c r="U113" s="231">
        <v>4078.6</v>
      </c>
      <c r="V113" s="231">
        <v>4096.2</v>
      </c>
      <c r="W113" s="228">
        <v>-17.600000000000001</v>
      </c>
      <c r="X113" s="229">
        <v>-4.3E-3</v>
      </c>
      <c r="Y113" s="228">
        <v>10.9</v>
      </c>
      <c r="Z113" s="228">
        <v>13.2</v>
      </c>
      <c r="AA113" s="228">
        <v>-2.2999999999999998</v>
      </c>
      <c r="AB113" s="229">
        <v>2.7000000000000001E-3</v>
      </c>
      <c r="AC113" s="228">
        <v>10.9</v>
      </c>
      <c r="AD113" s="228">
        <v>13.2</v>
      </c>
      <c r="AE113" s="228">
        <v>-2.2999999999999998</v>
      </c>
      <c r="AF113" s="229">
        <v>2.7000000000000001E-3</v>
      </c>
      <c r="AG113" s="228">
        <v>7.4</v>
      </c>
      <c r="AH113" s="228">
        <v>-20.399999999999999</v>
      </c>
      <c r="AI113" s="228">
        <v>27.8</v>
      </c>
      <c r="AJ113" s="229">
        <v>1.8E-3</v>
      </c>
      <c r="AK113" s="228">
        <v>-6.2</v>
      </c>
      <c r="AL113" s="228">
        <v>-29.5</v>
      </c>
      <c r="AM113" s="228">
        <v>23.3</v>
      </c>
      <c r="AN113" s="229">
        <v>-1.5E-3</v>
      </c>
      <c r="AO113" s="231">
        <v>4119.7700000000004</v>
      </c>
      <c r="AP113" s="231">
        <v>4103.9399999999996</v>
      </c>
      <c r="AQ113" s="228">
        <v>0</v>
      </c>
      <c r="AR113" s="230">
        <v>1228325</v>
      </c>
      <c r="AS113" s="230">
        <v>1664425</v>
      </c>
      <c r="AT113" s="230">
        <v>-436100</v>
      </c>
      <c r="AU113" s="229">
        <v>-0.26200000000000001</v>
      </c>
      <c r="AV113" s="230">
        <v>599900</v>
      </c>
      <c r="AW113" s="230">
        <v>878850</v>
      </c>
      <c r="AX113" s="230">
        <v>-278950</v>
      </c>
      <c r="AY113" s="229">
        <v>-0.31740000000000002</v>
      </c>
      <c r="AZ113" s="230">
        <v>621075</v>
      </c>
      <c r="BA113" s="230">
        <v>779100</v>
      </c>
      <c r="BB113" s="230">
        <v>-158025</v>
      </c>
      <c r="BC113" s="229">
        <v>-0.20280000000000001</v>
      </c>
      <c r="BD113" s="230">
        <v>7350</v>
      </c>
      <c r="BE113" s="230">
        <v>6475</v>
      </c>
      <c r="BF113" s="228">
        <v>875</v>
      </c>
      <c r="BG113" s="229">
        <v>0.1351</v>
      </c>
      <c r="BH113" s="230">
        <v>2099125</v>
      </c>
      <c r="BI113" s="230">
        <v>1917300</v>
      </c>
      <c r="BJ113" s="230">
        <v>181825</v>
      </c>
      <c r="BK113" s="229">
        <v>9.4799999999999995E-2</v>
      </c>
      <c r="BL113" s="230">
        <v>554400</v>
      </c>
      <c r="BM113" s="230">
        <v>924700</v>
      </c>
      <c r="BN113" s="230">
        <v>-370300</v>
      </c>
      <c r="BO113" s="229">
        <v>-0.40050000000000002</v>
      </c>
      <c r="BP113" s="230">
        <v>3881850</v>
      </c>
      <c r="BQ113" s="230">
        <v>4506425</v>
      </c>
      <c r="BR113" s="230">
        <v>-624575</v>
      </c>
      <c r="BS113" s="229">
        <v>-0.1386</v>
      </c>
      <c r="BT113" s="230">
        <v>167515</v>
      </c>
      <c r="BU113" s="230">
        <v>251602</v>
      </c>
      <c r="BV113" s="230">
        <v>-84087</v>
      </c>
      <c r="BW113" s="229">
        <v>-0.3342</v>
      </c>
      <c r="BX113" s="230">
        <v>1336825</v>
      </c>
      <c r="BY113" s="230">
        <v>1464225</v>
      </c>
      <c r="BZ113" s="230">
        <v>-127400</v>
      </c>
      <c r="CA113" s="229">
        <v>-8.6999999999999994E-2</v>
      </c>
      <c r="CB113" s="230">
        <v>303100</v>
      </c>
      <c r="CC113" s="230">
        <v>565775</v>
      </c>
      <c r="CD113" s="230">
        <v>-262675</v>
      </c>
      <c r="CE113" s="229">
        <v>-0.46429999999999999</v>
      </c>
      <c r="CF113" s="230">
        <v>1003975</v>
      </c>
      <c r="CG113" s="230">
        <v>869575</v>
      </c>
      <c r="CH113" s="230">
        <v>134400</v>
      </c>
      <c r="CI113" s="229">
        <v>0.15459999999999999</v>
      </c>
      <c r="CJ113" s="230">
        <v>29750</v>
      </c>
      <c r="CK113" s="230">
        <v>28875</v>
      </c>
      <c r="CL113" s="228">
        <v>875</v>
      </c>
      <c r="CM113" s="229">
        <v>3.0300000000000001E-2</v>
      </c>
      <c r="CN113" s="230">
        <v>1269800</v>
      </c>
      <c r="CO113" s="230">
        <v>1503425</v>
      </c>
      <c r="CP113" s="230">
        <v>-233625</v>
      </c>
      <c r="CQ113" s="229">
        <v>-0.15540000000000001</v>
      </c>
      <c r="CR113" s="230">
        <v>463925</v>
      </c>
      <c r="CS113" s="230">
        <v>589225</v>
      </c>
      <c r="CT113" s="230">
        <v>-125300</v>
      </c>
      <c r="CU113" s="229">
        <v>-0.2127</v>
      </c>
      <c r="CV113" s="230">
        <v>3070550</v>
      </c>
      <c r="CW113" s="230">
        <v>3556875</v>
      </c>
      <c r="CX113" s="230">
        <v>-486325</v>
      </c>
      <c r="CY113" s="229">
        <v>-0.13669999999999999</v>
      </c>
      <c r="CZ113" s="228">
        <v>32.31</v>
      </c>
      <c r="DA113" s="228">
        <v>31.84</v>
      </c>
      <c r="DB113" s="228">
        <v>0.47</v>
      </c>
      <c r="DC113" s="228">
        <v>0.47</v>
      </c>
      <c r="DD113" s="228">
        <v>48.27</v>
      </c>
      <c r="DE113" s="228">
        <v>48.37</v>
      </c>
      <c r="DF113" s="228">
        <v>-15.96</v>
      </c>
      <c r="DG113" s="228">
        <v>-0.1</v>
      </c>
      <c r="DH113" s="228">
        <v>32.479999999999997</v>
      </c>
      <c r="DI113" s="228">
        <v>32.049999999999997</v>
      </c>
      <c r="DJ113" s="228">
        <v>0.43</v>
      </c>
      <c r="DK113" s="228">
        <v>0.43</v>
      </c>
      <c r="DL113" s="228">
        <v>31.67</v>
      </c>
      <c r="DM113" s="228">
        <v>31.01</v>
      </c>
      <c r="DN113" s="228">
        <v>0.66</v>
      </c>
      <c r="DO113" s="228">
        <v>0.66</v>
      </c>
      <c r="DP113" s="228">
        <v>0.37</v>
      </c>
      <c r="DQ113" s="228">
        <v>0.39</v>
      </c>
      <c r="DR113" s="228">
        <v>-0.02</v>
      </c>
      <c r="DS113" s="229">
        <v>-5.1299999999999998E-2</v>
      </c>
      <c r="DT113" s="231">
        <v>4400</v>
      </c>
      <c r="DU113" s="231">
        <v>3900</v>
      </c>
      <c r="DV113" s="228">
        <v>0.26</v>
      </c>
      <c r="DW113" s="228">
        <v>0.48</v>
      </c>
      <c r="DX113" s="228">
        <v>-0.22</v>
      </c>
      <c r="DY113" s="229">
        <v>-0.45829999999999999</v>
      </c>
      <c r="DZ113" s="229">
        <v>0.77329999999999999</v>
      </c>
      <c r="EA113" s="230">
        <v>898450</v>
      </c>
      <c r="EB113" s="229">
        <v>-8.9999999999999998E-4</v>
      </c>
      <c r="EC113" s="229">
        <v>0.77329999999999999</v>
      </c>
      <c r="ED113" s="228">
        <v>-15.83</v>
      </c>
      <c r="EE113" s="229">
        <v>-3.8E-3</v>
      </c>
      <c r="EF113" s="230">
        <v>85868</v>
      </c>
      <c r="EG113" s="230">
        <v>133525</v>
      </c>
      <c r="EH113" s="229">
        <v>-0.3569</v>
      </c>
      <c r="EI113" s="229">
        <v>0.51259999999999994</v>
      </c>
      <c r="EJ113" s="231">
        <v>90613.119999999995</v>
      </c>
      <c r="EK113" s="231">
        <v>23130.85</v>
      </c>
      <c r="EL113" s="231">
        <v>50504.06</v>
      </c>
      <c r="EM113" s="231">
        <v>5508</v>
      </c>
      <c r="EN113" s="231">
        <v>164248.03</v>
      </c>
      <c r="EO113" s="231">
        <v>188996.55</v>
      </c>
      <c r="EP113" s="231">
        <v>-24748.52</v>
      </c>
      <c r="EQ113" s="229">
        <v>-0.13089999999999999</v>
      </c>
      <c r="ER113" s="231">
        <v>55243</v>
      </c>
      <c r="ES113" s="231">
        <v>18924</v>
      </c>
      <c r="ET113" s="231">
        <v>54712</v>
      </c>
      <c r="EU113" s="231">
        <v>9313740</v>
      </c>
      <c r="EV113" s="231">
        <v>128879</v>
      </c>
      <c r="EW113" s="231">
        <v>150220</v>
      </c>
      <c r="EX113" s="231">
        <v>-21341</v>
      </c>
      <c r="EY113" s="229">
        <v>-0.1421</v>
      </c>
      <c r="EZ113" s="229">
        <v>0.32969999999999999</v>
      </c>
      <c r="FA113" s="227" t="s">
        <v>568</v>
      </c>
      <c r="FB113" s="161">
        <f t="shared" si="1"/>
        <v>1033725</v>
      </c>
    </row>
    <row r="114" spans="1:158" ht="17.25" hidden="1" thickBot="1" x14ac:dyDescent="0.3">
      <c r="A114" s="226">
        <v>45957</v>
      </c>
      <c r="B114" s="227" t="s">
        <v>175</v>
      </c>
      <c r="C114" s="227" t="s">
        <v>684</v>
      </c>
      <c r="D114" s="228">
        <v>450</v>
      </c>
      <c r="E114" s="231">
        <v>1167.4000000000001</v>
      </c>
      <c r="F114" s="231">
        <v>1151.3</v>
      </c>
      <c r="G114" s="228">
        <v>16.100000000000001</v>
      </c>
      <c r="H114" s="229">
        <v>1.4E-2</v>
      </c>
      <c r="I114" s="231">
        <v>1168.9000000000001</v>
      </c>
      <c r="J114" s="231">
        <v>1149.4000000000001</v>
      </c>
      <c r="K114" s="228">
        <v>19.5</v>
      </c>
      <c r="L114" s="229">
        <v>1.7000000000000001E-2</v>
      </c>
      <c r="M114" s="231">
        <v>1167.4000000000001</v>
      </c>
      <c r="N114" s="231">
        <v>1151.3</v>
      </c>
      <c r="O114" s="228">
        <v>16.100000000000001</v>
      </c>
      <c r="P114" s="229">
        <v>1.4E-2</v>
      </c>
      <c r="Q114" s="231">
        <v>1157</v>
      </c>
      <c r="R114" s="231">
        <v>1138.5</v>
      </c>
      <c r="S114" s="228">
        <v>18.5</v>
      </c>
      <c r="T114" s="229">
        <v>1.6199999999999999E-2</v>
      </c>
      <c r="U114" s="231">
        <v>1154.5</v>
      </c>
      <c r="V114" s="231">
        <v>1134.8</v>
      </c>
      <c r="W114" s="228">
        <v>19.7</v>
      </c>
      <c r="X114" s="229">
        <v>1.7399999999999999E-2</v>
      </c>
      <c r="Y114" s="228">
        <v>-1.5</v>
      </c>
      <c r="Z114" s="228">
        <v>1.9</v>
      </c>
      <c r="AA114" s="228">
        <v>-3.4</v>
      </c>
      <c r="AB114" s="229">
        <v>-1.2999999999999999E-3</v>
      </c>
      <c r="AC114" s="228">
        <v>-1.5</v>
      </c>
      <c r="AD114" s="228">
        <v>1.9</v>
      </c>
      <c r="AE114" s="228">
        <v>-3.4</v>
      </c>
      <c r="AF114" s="229">
        <v>-1.2999999999999999E-3</v>
      </c>
      <c r="AG114" s="228">
        <v>-11.9</v>
      </c>
      <c r="AH114" s="228">
        <v>-10.9</v>
      </c>
      <c r="AI114" s="228">
        <v>-1</v>
      </c>
      <c r="AJ114" s="229">
        <v>-1.0200000000000001E-2</v>
      </c>
      <c r="AK114" s="228">
        <v>-14.4</v>
      </c>
      <c r="AL114" s="228">
        <v>-14.6</v>
      </c>
      <c r="AM114" s="228">
        <v>0.2</v>
      </c>
      <c r="AN114" s="229">
        <v>-1.23E-2</v>
      </c>
      <c r="AO114" s="231">
        <v>1166.8900000000001</v>
      </c>
      <c r="AP114" s="231">
        <v>1155.25</v>
      </c>
      <c r="AQ114" s="228">
        <v>0</v>
      </c>
      <c r="AR114" s="230">
        <v>4284000</v>
      </c>
      <c r="AS114" s="230">
        <v>3406050</v>
      </c>
      <c r="AT114" s="230">
        <v>877950</v>
      </c>
      <c r="AU114" s="229">
        <v>0.25779999999999997</v>
      </c>
      <c r="AV114" s="230">
        <v>1885950</v>
      </c>
      <c r="AW114" s="230">
        <v>1804050</v>
      </c>
      <c r="AX114" s="230">
        <v>81900</v>
      </c>
      <c r="AY114" s="229">
        <v>4.5400000000000003E-2</v>
      </c>
      <c r="AZ114" s="230">
        <v>2359350</v>
      </c>
      <c r="BA114" s="230">
        <v>1584900</v>
      </c>
      <c r="BB114" s="230">
        <v>774450</v>
      </c>
      <c r="BC114" s="229">
        <v>0.48859999999999998</v>
      </c>
      <c r="BD114" s="230">
        <v>38700</v>
      </c>
      <c r="BE114" s="230">
        <v>17100</v>
      </c>
      <c r="BF114" s="230">
        <v>21600</v>
      </c>
      <c r="BG114" s="229">
        <v>1.2632000000000001</v>
      </c>
      <c r="BH114" s="230">
        <v>10521900</v>
      </c>
      <c r="BI114" s="230">
        <v>3921750</v>
      </c>
      <c r="BJ114" s="230">
        <v>6600150</v>
      </c>
      <c r="BK114" s="229">
        <v>1.6830000000000001</v>
      </c>
      <c r="BL114" s="230">
        <v>3937500</v>
      </c>
      <c r="BM114" s="230">
        <v>1477800</v>
      </c>
      <c r="BN114" s="230">
        <v>2459700</v>
      </c>
      <c r="BO114" s="229">
        <v>1.6644000000000001</v>
      </c>
      <c r="BP114" s="230">
        <v>18743400</v>
      </c>
      <c r="BQ114" s="230">
        <v>8805600</v>
      </c>
      <c r="BR114" s="230">
        <v>9937800</v>
      </c>
      <c r="BS114" s="229">
        <v>1.1286</v>
      </c>
      <c r="BT114" s="230">
        <v>1537977</v>
      </c>
      <c r="BU114" s="230">
        <v>881127</v>
      </c>
      <c r="BV114" s="230">
        <v>656850</v>
      </c>
      <c r="BW114" s="229">
        <v>0.74550000000000005</v>
      </c>
      <c r="BX114" s="230">
        <v>2804850</v>
      </c>
      <c r="BY114" s="230">
        <v>3023550</v>
      </c>
      <c r="BZ114" s="230">
        <v>-218700</v>
      </c>
      <c r="CA114" s="229">
        <v>-7.2300000000000003E-2</v>
      </c>
      <c r="CB114" s="230">
        <v>495450</v>
      </c>
      <c r="CC114" s="230">
        <v>1240650</v>
      </c>
      <c r="CD114" s="230">
        <v>-745200</v>
      </c>
      <c r="CE114" s="229">
        <v>-0.60070000000000001</v>
      </c>
      <c r="CF114" s="230">
        <v>2238300</v>
      </c>
      <c r="CG114" s="230">
        <v>1731150</v>
      </c>
      <c r="CH114" s="230">
        <v>507150</v>
      </c>
      <c r="CI114" s="229">
        <v>0.29299999999999998</v>
      </c>
      <c r="CJ114" s="230">
        <v>71100</v>
      </c>
      <c r="CK114" s="230">
        <v>51750</v>
      </c>
      <c r="CL114" s="230">
        <v>19350</v>
      </c>
      <c r="CM114" s="229">
        <v>0.37390000000000001</v>
      </c>
      <c r="CN114" s="230">
        <v>3150900</v>
      </c>
      <c r="CO114" s="230">
        <v>2398050</v>
      </c>
      <c r="CP114" s="230">
        <v>752850</v>
      </c>
      <c r="CQ114" s="229">
        <v>0.31390000000000001</v>
      </c>
      <c r="CR114" s="230">
        <v>1996650</v>
      </c>
      <c r="CS114" s="230">
        <v>1728000</v>
      </c>
      <c r="CT114" s="230">
        <v>268650</v>
      </c>
      <c r="CU114" s="229">
        <v>0.1555</v>
      </c>
      <c r="CV114" s="230">
        <v>7952400</v>
      </c>
      <c r="CW114" s="230">
        <v>7149600</v>
      </c>
      <c r="CX114" s="230">
        <v>802800</v>
      </c>
      <c r="CY114" s="229">
        <v>0.1123</v>
      </c>
      <c r="CZ114" s="228">
        <v>40.54</v>
      </c>
      <c r="DA114" s="228">
        <v>40.14</v>
      </c>
      <c r="DB114" s="228">
        <v>0.4</v>
      </c>
      <c r="DC114" s="228">
        <v>0.4</v>
      </c>
      <c r="DD114" s="228">
        <v>55.38</v>
      </c>
      <c r="DE114" s="228">
        <v>55.49</v>
      </c>
      <c r="DF114" s="228">
        <v>-14.84</v>
      </c>
      <c r="DG114" s="228">
        <v>-0.11</v>
      </c>
      <c r="DH114" s="228">
        <v>40.39</v>
      </c>
      <c r="DI114" s="228">
        <v>40.18</v>
      </c>
      <c r="DJ114" s="228">
        <v>0.21</v>
      </c>
      <c r="DK114" s="228">
        <v>0.21</v>
      </c>
      <c r="DL114" s="228">
        <v>41.08</v>
      </c>
      <c r="DM114" s="228">
        <v>40.04</v>
      </c>
      <c r="DN114" s="228">
        <v>1.04</v>
      </c>
      <c r="DO114" s="228">
        <v>1.04</v>
      </c>
      <c r="DP114" s="228">
        <v>0.63</v>
      </c>
      <c r="DQ114" s="228">
        <v>0.72</v>
      </c>
      <c r="DR114" s="228">
        <v>-0.09</v>
      </c>
      <c r="DS114" s="229">
        <v>-0.125</v>
      </c>
      <c r="DT114" s="231">
        <v>1200</v>
      </c>
      <c r="DU114" s="231">
        <v>1120</v>
      </c>
      <c r="DV114" s="228">
        <v>0.37</v>
      </c>
      <c r="DW114" s="228">
        <v>0.38</v>
      </c>
      <c r="DX114" s="228">
        <v>-0.01</v>
      </c>
      <c r="DY114" s="229">
        <v>-2.63E-2</v>
      </c>
      <c r="DZ114" s="229">
        <v>0.82340000000000002</v>
      </c>
      <c r="EA114" s="230">
        <v>1782900</v>
      </c>
      <c r="EB114" s="229">
        <v>-8.8999999999999999E-3</v>
      </c>
      <c r="EC114" s="229">
        <v>0.82340000000000002</v>
      </c>
      <c r="ED114" s="228">
        <v>-11.64</v>
      </c>
      <c r="EE114" s="229">
        <v>-0.01</v>
      </c>
      <c r="EF114" s="230">
        <v>607259</v>
      </c>
      <c r="EG114" s="230">
        <v>415182</v>
      </c>
      <c r="EH114" s="229">
        <v>0.46260000000000001</v>
      </c>
      <c r="EI114" s="229">
        <v>0.39479999999999998</v>
      </c>
      <c r="EJ114" s="231">
        <v>128208.81</v>
      </c>
      <c r="EK114" s="231">
        <v>44960.92</v>
      </c>
      <c r="EL114" s="231">
        <v>49708.959999999999</v>
      </c>
      <c r="EM114" s="231">
        <v>3891</v>
      </c>
      <c r="EN114" s="231">
        <v>222878.69</v>
      </c>
      <c r="EO114" s="231">
        <v>102606.81</v>
      </c>
      <c r="EP114" s="231">
        <v>120271.88</v>
      </c>
      <c r="EQ114" s="229">
        <v>1.1721999999999999</v>
      </c>
      <c r="ER114" s="231">
        <v>37359</v>
      </c>
      <c r="ES114" s="231">
        <v>21996</v>
      </c>
      <c r="ET114" s="231">
        <v>32502</v>
      </c>
      <c r="EU114" s="231">
        <v>19911179</v>
      </c>
      <c r="EV114" s="231">
        <v>91856</v>
      </c>
      <c r="EW114" s="231">
        <v>81700</v>
      </c>
      <c r="EX114" s="231">
        <v>10156</v>
      </c>
      <c r="EY114" s="229">
        <v>0.12429999999999999</v>
      </c>
      <c r="EZ114" s="229">
        <v>0.39939999999999998</v>
      </c>
      <c r="FA114" s="227" t="s">
        <v>556</v>
      </c>
      <c r="FB114" s="161">
        <f t="shared" si="1"/>
        <v>2309400</v>
      </c>
    </row>
    <row r="115" spans="1:158" ht="17.25" hidden="1" thickBot="1" x14ac:dyDescent="0.3">
      <c r="A115" s="226">
        <v>45957</v>
      </c>
      <c r="B115" s="227" t="s">
        <v>172</v>
      </c>
      <c r="C115" s="227" t="s">
        <v>246</v>
      </c>
      <c r="D115" s="228">
        <v>400</v>
      </c>
      <c r="E115" s="231">
        <v>2151.1</v>
      </c>
      <c r="F115" s="231">
        <v>2189.1</v>
      </c>
      <c r="G115" s="228">
        <v>-38</v>
      </c>
      <c r="H115" s="229">
        <v>-1.7399999999999999E-2</v>
      </c>
      <c r="I115" s="231">
        <v>2148.6</v>
      </c>
      <c r="J115" s="231">
        <v>2187</v>
      </c>
      <c r="K115" s="228">
        <v>-38.4</v>
      </c>
      <c r="L115" s="229">
        <v>-1.7600000000000001E-2</v>
      </c>
      <c r="M115" s="231">
        <v>2151.1</v>
      </c>
      <c r="N115" s="231">
        <v>2189.1</v>
      </c>
      <c r="O115" s="228">
        <v>-38</v>
      </c>
      <c r="P115" s="229">
        <v>-1.7399999999999999E-2</v>
      </c>
      <c r="Q115" s="231">
        <v>2163.1</v>
      </c>
      <c r="R115" s="231">
        <v>2201.1999999999998</v>
      </c>
      <c r="S115" s="228">
        <v>-38.1</v>
      </c>
      <c r="T115" s="229">
        <v>-1.7299999999999999E-2</v>
      </c>
      <c r="U115" s="231">
        <v>2177.6</v>
      </c>
      <c r="V115" s="231">
        <v>2214.6</v>
      </c>
      <c r="W115" s="228">
        <v>-37</v>
      </c>
      <c r="X115" s="229">
        <v>-1.67E-2</v>
      </c>
      <c r="Y115" s="228">
        <v>2.5</v>
      </c>
      <c r="Z115" s="228">
        <v>2.1</v>
      </c>
      <c r="AA115" s="228">
        <v>0.4</v>
      </c>
      <c r="AB115" s="229">
        <v>1.1999999999999999E-3</v>
      </c>
      <c r="AC115" s="228">
        <v>2.5</v>
      </c>
      <c r="AD115" s="228">
        <v>2.1</v>
      </c>
      <c r="AE115" s="228">
        <v>0.4</v>
      </c>
      <c r="AF115" s="229">
        <v>1.1999999999999999E-3</v>
      </c>
      <c r="AG115" s="228">
        <v>14.5</v>
      </c>
      <c r="AH115" s="228">
        <v>14.2</v>
      </c>
      <c r="AI115" s="228">
        <v>0.3</v>
      </c>
      <c r="AJ115" s="229">
        <v>6.7000000000000002E-3</v>
      </c>
      <c r="AK115" s="228">
        <v>29</v>
      </c>
      <c r="AL115" s="228">
        <v>27.6</v>
      </c>
      <c r="AM115" s="228">
        <v>1.4</v>
      </c>
      <c r="AN115" s="229">
        <v>1.35E-2</v>
      </c>
      <c r="AO115" s="231">
        <v>2157.21</v>
      </c>
      <c r="AP115" s="231">
        <v>2169.9299999999998</v>
      </c>
      <c r="AQ115" s="228">
        <v>0</v>
      </c>
      <c r="AR115" s="230">
        <v>27262000</v>
      </c>
      <c r="AS115" s="230">
        <v>23331600</v>
      </c>
      <c r="AT115" s="230">
        <v>3930400</v>
      </c>
      <c r="AU115" s="229">
        <v>0.16850000000000001</v>
      </c>
      <c r="AV115" s="230">
        <v>11794800</v>
      </c>
      <c r="AW115" s="230">
        <v>12120400</v>
      </c>
      <c r="AX115" s="230">
        <v>-325600</v>
      </c>
      <c r="AY115" s="229">
        <v>-2.69E-2</v>
      </c>
      <c r="AZ115" s="230">
        <v>15368800</v>
      </c>
      <c r="BA115" s="230">
        <v>11135200</v>
      </c>
      <c r="BB115" s="230">
        <v>4233600</v>
      </c>
      <c r="BC115" s="229">
        <v>0.38019999999999998</v>
      </c>
      <c r="BD115" s="230">
        <v>98400</v>
      </c>
      <c r="BE115" s="230">
        <v>76000</v>
      </c>
      <c r="BF115" s="230">
        <v>22400</v>
      </c>
      <c r="BG115" s="229">
        <v>0.29470000000000002</v>
      </c>
      <c r="BH115" s="230">
        <v>49322800</v>
      </c>
      <c r="BI115" s="230">
        <v>37512000</v>
      </c>
      <c r="BJ115" s="230">
        <v>11810800</v>
      </c>
      <c r="BK115" s="229">
        <v>0.31490000000000001</v>
      </c>
      <c r="BL115" s="230">
        <v>34423200</v>
      </c>
      <c r="BM115" s="230">
        <v>27781200</v>
      </c>
      <c r="BN115" s="230">
        <v>6642000</v>
      </c>
      <c r="BO115" s="229">
        <v>0.23910000000000001</v>
      </c>
      <c r="BP115" s="230">
        <v>111008000</v>
      </c>
      <c r="BQ115" s="230">
        <v>88624800</v>
      </c>
      <c r="BR115" s="230">
        <v>22383200</v>
      </c>
      <c r="BS115" s="229">
        <v>0.25259999999999999</v>
      </c>
      <c r="BT115" s="230">
        <v>4328341</v>
      </c>
      <c r="BU115" s="230">
        <v>3306439</v>
      </c>
      <c r="BV115" s="230">
        <v>1021902</v>
      </c>
      <c r="BW115" s="229">
        <v>0.30909999999999999</v>
      </c>
      <c r="BX115" s="230">
        <v>31713200</v>
      </c>
      <c r="BY115" s="230">
        <v>31429200</v>
      </c>
      <c r="BZ115" s="230">
        <v>284000</v>
      </c>
      <c r="CA115" s="229">
        <v>8.9999999999999993E-3</v>
      </c>
      <c r="CB115" s="230">
        <v>5876800</v>
      </c>
      <c r="CC115" s="230">
        <v>14072800</v>
      </c>
      <c r="CD115" s="230">
        <v>-8196000</v>
      </c>
      <c r="CE115" s="229">
        <v>-0.58240000000000003</v>
      </c>
      <c r="CF115" s="230">
        <v>24808800</v>
      </c>
      <c r="CG115" s="230">
        <v>16360000</v>
      </c>
      <c r="CH115" s="230">
        <v>8448800</v>
      </c>
      <c r="CI115" s="229">
        <v>0.51639999999999997</v>
      </c>
      <c r="CJ115" s="230">
        <v>1027600</v>
      </c>
      <c r="CK115" s="230">
        <v>996400</v>
      </c>
      <c r="CL115" s="230">
        <v>31200</v>
      </c>
      <c r="CM115" s="229">
        <v>3.1300000000000001E-2</v>
      </c>
      <c r="CN115" s="230">
        <v>11509200</v>
      </c>
      <c r="CO115" s="230">
        <v>10647200</v>
      </c>
      <c r="CP115" s="230">
        <v>862000</v>
      </c>
      <c r="CQ115" s="229">
        <v>8.1000000000000003E-2</v>
      </c>
      <c r="CR115" s="230">
        <v>9532400</v>
      </c>
      <c r="CS115" s="230">
        <v>11117600</v>
      </c>
      <c r="CT115" s="230">
        <v>-1585200</v>
      </c>
      <c r="CU115" s="229">
        <v>-0.1426</v>
      </c>
      <c r="CV115" s="230">
        <v>52754800</v>
      </c>
      <c r="CW115" s="230">
        <v>53194000</v>
      </c>
      <c r="CX115" s="230">
        <v>-439200</v>
      </c>
      <c r="CY115" s="229">
        <v>-8.3000000000000001E-3</v>
      </c>
      <c r="CZ115" s="228">
        <v>19.68</v>
      </c>
      <c r="DA115" s="228">
        <v>23.32</v>
      </c>
      <c r="DB115" s="228">
        <v>-3.64</v>
      </c>
      <c r="DC115" s="228">
        <v>-3.64</v>
      </c>
      <c r="DD115" s="228">
        <v>27.49</v>
      </c>
      <c r="DE115" s="228">
        <v>27.45</v>
      </c>
      <c r="DF115" s="228">
        <v>-7.81</v>
      </c>
      <c r="DG115" s="228">
        <v>0.04</v>
      </c>
      <c r="DH115" s="228">
        <v>19.86</v>
      </c>
      <c r="DI115" s="228">
        <v>23.2</v>
      </c>
      <c r="DJ115" s="228">
        <v>-3.34</v>
      </c>
      <c r="DK115" s="228">
        <v>-3.34</v>
      </c>
      <c r="DL115" s="228">
        <v>19.399999999999999</v>
      </c>
      <c r="DM115" s="228">
        <v>23.48</v>
      </c>
      <c r="DN115" s="228">
        <v>-4.08</v>
      </c>
      <c r="DO115" s="228">
        <v>-4.08</v>
      </c>
      <c r="DP115" s="228">
        <v>0.83</v>
      </c>
      <c r="DQ115" s="228">
        <v>1.04</v>
      </c>
      <c r="DR115" s="228">
        <v>-0.21</v>
      </c>
      <c r="DS115" s="229">
        <v>-0.2019</v>
      </c>
      <c r="DT115" s="231">
        <v>2200</v>
      </c>
      <c r="DU115" s="231">
        <v>2100</v>
      </c>
      <c r="DV115" s="228">
        <v>0.7</v>
      </c>
      <c r="DW115" s="228">
        <v>0.74</v>
      </c>
      <c r="DX115" s="228">
        <v>-0.04</v>
      </c>
      <c r="DY115" s="229">
        <v>-5.4100000000000002E-2</v>
      </c>
      <c r="DZ115" s="229">
        <v>0.81469999999999998</v>
      </c>
      <c r="EA115" s="230">
        <v>17356400</v>
      </c>
      <c r="EB115" s="229">
        <v>5.5999999999999999E-3</v>
      </c>
      <c r="EC115" s="229">
        <v>0.81469999999999998</v>
      </c>
      <c r="ED115" s="228">
        <v>12.72</v>
      </c>
      <c r="EE115" s="229">
        <v>5.8999999999999999E-3</v>
      </c>
      <c r="EF115" s="230">
        <v>2459916</v>
      </c>
      <c r="EG115" s="230">
        <v>1751934</v>
      </c>
      <c r="EH115" s="229">
        <v>0.40410000000000001</v>
      </c>
      <c r="EI115" s="229">
        <v>0.56830000000000003</v>
      </c>
      <c r="EJ115" s="231">
        <v>1097826.3700000001</v>
      </c>
      <c r="EK115" s="231">
        <v>737241.8</v>
      </c>
      <c r="EL115" s="231">
        <v>590081.14</v>
      </c>
      <c r="EM115" s="231">
        <v>33446</v>
      </c>
      <c r="EN115" s="231">
        <v>2425149.31</v>
      </c>
      <c r="EO115" s="231">
        <v>1955147.01</v>
      </c>
      <c r="EP115" s="231">
        <v>470002.3</v>
      </c>
      <c r="EQ115" s="229">
        <v>0.2404</v>
      </c>
      <c r="ER115" s="231">
        <v>254835</v>
      </c>
      <c r="ES115" s="231">
        <v>198614</v>
      </c>
      <c r="ET115" s="231">
        <v>685432</v>
      </c>
      <c r="EU115" s="231">
        <v>215751979</v>
      </c>
      <c r="EV115" s="231">
        <v>1138881</v>
      </c>
      <c r="EW115" s="231">
        <v>1158529</v>
      </c>
      <c r="EX115" s="231">
        <v>-19648</v>
      </c>
      <c r="EY115" s="229">
        <v>-1.7000000000000001E-2</v>
      </c>
      <c r="EZ115" s="229">
        <v>0.2445</v>
      </c>
      <c r="FA115" s="227" t="s">
        <v>567</v>
      </c>
      <c r="FB115" s="161">
        <f t="shared" si="1"/>
        <v>25836400</v>
      </c>
    </row>
    <row r="116" spans="1:158" ht="17.25" hidden="1" thickBot="1" x14ac:dyDescent="0.3">
      <c r="A116" s="226">
        <v>45957</v>
      </c>
      <c r="B116" s="227" t="s">
        <v>221</v>
      </c>
      <c r="C116" s="227" t="s">
        <v>577</v>
      </c>
      <c r="D116" s="228">
        <v>400</v>
      </c>
      <c r="E116" s="231">
        <v>1209.5999999999999</v>
      </c>
      <c r="F116" s="231">
        <v>1177.9000000000001</v>
      </c>
      <c r="G116" s="228">
        <v>31.7</v>
      </c>
      <c r="H116" s="229">
        <v>2.69E-2</v>
      </c>
      <c r="I116" s="231">
        <v>1207</v>
      </c>
      <c r="J116" s="231">
        <v>1178.7</v>
      </c>
      <c r="K116" s="228">
        <v>28.3</v>
      </c>
      <c r="L116" s="229">
        <v>2.4E-2</v>
      </c>
      <c r="M116" s="231">
        <v>1209.5999999999999</v>
      </c>
      <c r="N116" s="231">
        <v>1177.9000000000001</v>
      </c>
      <c r="O116" s="228">
        <v>31.7</v>
      </c>
      <c r="P116" s="229">
        <v>2.69E-2</v>
      </c>
      <c r="Q116" s="231">
        <v>1205.5</v>
      </c>
      <c r="R116" s="231">
        <v>1172.4000000000001</v>
      </c>
      <c r="S116" s="228">
        <v>33.1</v>
      </c>
      <c r="T116" s="229">
        <v>2.8199999999999999E-2</v>
      </c>
      <c r="U116" s="231">
        <v>1204.2</v>
      </c>
      <c r="V116" s="231">
        <v>1167.3</v>
      </c>
      <c r="W116" s="228">
        <v>36.9</v>
      </c>
      <c r="X116" s="229">
        <v>3.1600000000000003E-2</v>
      </c>
      <c r="Y116" s="228">
        <v>2.6</v>
      </c>
      <c r="Z116" s="228">
        <v>-0.8</v>
      </c>
      <c r="AA116" s="228">
        <v>3.4</v>
      </c>
      <c r="AB116" s="229">
        <v>2.2000000000000001E-3</v>
      </c>
      <c r="AC116" s="228">
        <v>2.6</v>
      </c>
      <c r="AD116" s="228">
        <v>-0.8</v>
      </c>
      <c r="AE116" s="228">
        <v>3.4</v>
      </c>
      <c r="AF116" s="229">
        <v>2.2000000000000001E-3</v>
      </c>
      <c r="AG116" s="228">
        <v>-1.5</v>
      </c>
      <c r="AH116" s="228">
        <v>-6.3</v>
      </c>
      <c r="AI116" s="228">
        <v>4.8</v>
      </c>
      <c r="AJ116" s="229">
        <v>-1.1999999999999999E-3</v>
      </c>
      <c r="AK116" s="228">
        <v>-2.8</v>
      </c>
      <c r="AL116" s="228">
        <v>-11.4</v>
      </c>
      <c r="AM116" s="228">
        <v>8.6</v>
      </c>
      <c r="AN116" s="229">
        <v>-2.3E-3</v>
      </c>
      <c r="AO116" s="231">
        <v>1201.1199999999999</v>
      </c>
      <c r="AP116" s="231">
        <v>1197.27</v>
      </c>
      <c r="AQ116" s="228">
        <v>0</v>
      </c>
      <c r="AR116" s="230">
        <v>4277600</v>
      </c>
      <c r="AS116" s="230">
        <v>4869200</v>
      </c>
      <c r="AT116" s="230">
        <v>-591600</v>
      </c>
      <c r="AU116" s="229">
        <v>-0.1215</v>
      </c>
      <c r="AV116" s="230">
        <v>2074000</v>
      </c>
      <c r="AW116" s="230">
        <v>2390000</v>
      </c>
      <c r="AX116" s="230">
        <v>-316000</v>
      </c>
      <c r="AY116" s="229">
        <v>-0.13220000000000001</v>
      </c>
      <c r="AZ116" s="230">
        <v>2115200</v>
      </c>
      <c r="BA116" s="230">
        <v>2428000</v>
      </c>
      <c r="BB116" s="230">
        <v>-312800</v>
      </c>
      <c r="BC116" s="229">
        <v>-0.1288</v>
      </c>
      <c r="BD116" s="230">
        <v>88400</v>
      </c>
      <c r="BE116" s="230">
        <v>51200</v>
      </c>
      <c r="BF116" s="230">
        <v>37200</v>
      </c>
      <c r="BG116" s="229">
        <v>0.72660000000000002</v>
      </c>
      <c r="BH116" s="230">
        <v>8540000</v>
      </c>
      <c r="BI116" s="230">
        <v>4572800</v>
      </c>
      <c r="BJ116" s="230">
        <v>3967200</v>
      </c>
      <c r="BK116" s="229">
        <v>0.86760000000000004</v>
      </c>
      <c r="BL116" s="230">
        <v>2981600</v>
      </c>
      <c r="BM116" s="230">
        <v>2123200</v>
      </c>
      <c r="BN116" s="230">
        <v>858400</v>
      </c>
      <c r="BO116" s="229">
        <v>0.40429999999999999</v>
      </c>
      <c r="BP116" s="230">
        <v>15799200</v>
      </c>
      <c r="BQ116" s="230">
        <v>11565200</v>
      </c>
      <c r="BR116" s="230">
        <v>4234000</v>
      </c>
      <c r="BS116" s="229">
        <v>0.36609999999999998</v>
      </c>
      <c r="BT116" s="230">
        <v>783290</v>
      </c>
      <c r="BU116" s="230">
        <v>506566</v>
      </c>
      <c r="BV116" s="230">
        <v>276724</v>
      </c>
      <c r="BW116" s="229">
        <v>0.54630000000000001</v>
      </c>
      <c r="BX116" s="230">
        <v>4265200</v>
      </c>
      <c r="BY116" s="230">
        <v>4336400</v>
      </c>
      <c r="BZ116" s="230">
        <v>-71200</v>
      </c>
      <c r="CA116" s="229">
        <v>-1.6400000000000001E-2</v>
      </c>
      <c r="CB116" s="230">
        <v>578000</v>
      </c>
      <c r="CC116" s="230">
        <v>1542800</v>
      </c>
      <c r="CD116" s="230">
        <v>-964800</v>
      </c>
      <c r="CE116" s="229">
        <v>-0.62539999999999996</v>
      </c>
      <c r="CF116" s="230">
        <v>3549200</v>
      </c>
      <c r="CG116" s="230">
        <v>2694400</v>
      </c>
      <c r="CH116" s="230">
        <v>854800</v>
      </c>
      <c r="CI116" s="229">
        <v>0.31730000000000003</v>
      </c>
      <c r="CJ116" s="230">
        <v>138000</v>
      </c>
      <c r="CK116" s="230">
        <v>99200</v>
      </c>
      <c r="CL116" s="230">
        <v>38800</v>
      </c>
      <c r="CM116" s="229">
        <v>0.3911</v>
      </c>
      <c r="CN116" s="230">
        <v>1878400</v>
      </c>
      <c r="CO116" s="230">
        <v>2730800</v>
      </c>
      <c r="CP116" s="230">
        <v>-852400</v>
      </c>
      <c r="CQ116" s="229">
        <v>-0.31209999999999999</v>
      </c>
      <c r="CR116" s="230">
        <v>1471600</v>
      </c>
      <c r="CS116" s="230">
        <v>1446000</v>
      </c>
      <c r="CT116" s="230">
        <v>25600</v>
      </c>
      <c r="CU116" s="229">
        <v>1.77E-2</v>
      </c>
      <c r="CV116" s="230">
        <v>7615200</v>
      </c>
      <c r="CW116" s="230">
        <v>8513200</v>
      </c>
      <c r="CX116" s="230">
        <v>-898000</v>
      </c>
      <c r="CY116" s="229">
        <v>-0.1055</v>
      </c>
      <c r="CZ116" s="228">
        <v>38.5</v>
      </c>
      <c r="DA116" s="228">
        <v>37.1</v>
      </c>
      <c r="DB116" s="228">
        <v>1.4</v>
      </c>
      <c r="DC116" s="228">
        <v>1.4</v>
      </c>
      <c r="DD116" s="228">
        <v>44.44</v>
      </c>
      <c r="DE116" s="228">
        <v>44.43</v>
      </c>
      <c r="DF116" s="228">
        <v>-5.94</v>
      </c>
      <c r="DG116" s="228">
        <v>0.01</v>
      </c>
      <c r="DH116" s="228">
        <v>38.17</v>
      </c>
      <c r="DI116" s="228">
        <v>35.85</v>
      </c>
      <c r="DJ116" s="228">
        <v>2.3199999999999998</v>
      </c>
      <c r="DK116" s="228">
        <v>2.3199999999999998</v>
      </c>
      <c r="DL116" s="228">
        <v>39.49</v>
      </c>
      <c r="DM116" s="228">
        <v>38.49</v>
      </c>
      <c r="DN116" s="228">
        <v>1</v>
      </c>
      <c r="DO116" s="228">
        <v>1</v>
      </c>
      <c r="DP116" s="228">
        <v>0.78</v>
      </c>
      <c r="DQ116" s="228">
        <v>0.53</v>
      </c>
      <c r="DR116" s="228">
        <v>0.25</v>
      </c>
      <c r="DS116" s="229">
        <v>0.47170000000000001</v>
      </c>
      <c r="DT116" s="231">
        <v>1300</v>
      </c>
      <c r="DU116" s="231">
        <v>1160</v>
      </c>
      <c r="DV116" s="228">
        <v>0.35</v>
      </c>
      <c r="DW116" s="228">
        <v>0.46</v>
      </c>
      <c r="DX116" s="228">
        <v>-0.11</v>
      </c>
      <c r="DY116" s="229">
        <v>-0.23910000000000001</v>
      </c>
      <c r="DZ116" s="229">
        <v>0.86450000000000005</v>
      </c>
      <c r="EA116" s="230">
        <v>2793600</v>
      </c>
      <c r="EB116" s="229">
        <v>-3.3999999999999998E-3</v>
      </c>
      <c r="EC116" s="229">
        <v>0.86450000000000005</v>
      </c>
      <c r="ED116" s="228">
        <v>-3.85</v>
      </c>
      <c r="EE116" s="229">
        <v>-3.2000000000000002E-3</v>
      </c>
      <c r="EF116" s="230">
        <v>324956</v>
      </c>
      <c r="EG116" s="230">
        <v>268350</v>
      </c>
      <c r="EH116" s="229">
        <v>0.2109</v>
      </c>
      <c r="EI116" s="229">
        <v>0.41489999999999999</v>
      </c>
      <c r="EJ116" s="231">
        <v>106117.69</v>
      </c>
      <c r="EK116" s="231">
        <v>34816.35</v>
      </c>
      <c r="EL116" s="231">
        <v>51296.97</v>
      </c>
      <c r="EM116" s="231">
        <v>6004</v>
      </c>
      <c r="EN116" s="231">
        <v>192231.01</v>
      </c>
      <c r="EO116" s="231">
        <v>136609.54999999999</v>
      </c>
      <c r="EP116" s="231">
        <v>55621.46</v>
      </c>
      <c r="EQ116" s="229">
        <v>0.40720000000000001</v>
      </c>
      <c r="ER116" s="231">
        <v>23310</v>
      </c>
      <c r="ES116" s="231">
        <v>16613</v>
      </c>
      <c r="ET116" s="231">
        <v>51439</v>
      </c>
      <c r="EU116" s="231">
        <v>24568295</v>
      </c>
      <c r="EV116" s="231">
        <v>91362</v>
      </c>
      <c r="EW116" s="231">
        <v>100937</v>
      </c>
      <c r="EX116" s="231">
        <v>-9575</v>
      </c>
      <c r="EY116" s="229">
        <v>-9.4899999999999998E-2</v>
      </c>
      <c r="EZ116" s="229">
        <v>0.31</v>
      </c>
      <c r="FA116" s="227" t="s">
        <v>556</v>
      </c>
      <c r="FB116" s="161">
        <f t="shared" si="1"/>
        <v>3687200</v>
      </c>
    </row>
    <row r="117" spans="1:158" ht="17.25" hidden="1" thickBot="1" x14ac:dyDescent="0.3">
      <c r="A117" s="226">
        <v>45957</v>
      </c>
      <c r="B117" s="227" t="s">
        <v>170</v>
      </c>
      <c r="C117" s="227" t="s">
        <v>535</v>
      </c>
      <c r="D117" s="228">
        <v>1700</v>
      </c>
      <c r="E117" s="228">
        <v>939.5</v>
      </c>
      <c r="F117" s="228">
        <v>926.05</v>
      </c>
      <c r="G117" s="228">
        <v>13.45</v>
      </c>
      <c r="H117" s="229">
        <v>1.4500000000000001E-2</v>
      </c>
      <c r="I117" s="228">
        <v>940.15</v>
      </c>
      <c r="J117" s="228">
        <v>926.4</v>
      </c>
      <c r="K117" s="228">
        <v>13.75</v>
      </c>
      <c r="L117" s="229">
        <v>1.4800000000000001E-2</v>
      </c>
      <c r="M117" s="228">
        <v>939.5</v>
      </c>
      <c r="N117" s="228">
        <v>926.05</v>
      </c>
      <c r="O117" s="228">
        <v>13.45</v>
      </c>
      <c r="P117" s="229">
        <v>1.4500000000000001E-2</v>
      </c>
      <c r="Q117" s="228">
        <v>943.8</v>
      </c>
      <c r="R117" s="228">
        <v>930.35</v>
      </c>
      <c r="S117" s="228">
        <v>13.45</v>
      </c>
      <c r="T117" s="229">
        <v>1.4500000000000001E-2</v>
      </c>
      <c r="U117" s="228">
        <v>950.45</v>
      </c>
      <c r="V117" s="228">
        <v>935.75</v>
      </c>
      <c r="W117" s="228">
        <v>14.7</v>
      </c>
      <c r="X117" s="229">
        <v>1.5699999999999999E-2</v>
      </c>
      <c r="Y117" s="228">
        <v>-0.65</v>
      </c>
      <c r="Z117" s="228">
        <v>-0.35</v>
      </c>
      <c r="AA117" s="228">
        <v>-0.3</v>
      </c>
      <c r="AB117" s="229">
        <v>-6.9999999999999999E-4</v>
      </c>
      <c r="AC117" s="228">
        <v>-0.65</v>
      </c>
      <c r="AD117" s="228">
        <v>-0.35</v>
      </c>
      <c r="AE117" s="228">
        <v>-0.3</v>
      </c>
      <c r="AF117" s="229">
        <v>-6.9999999999999999E-4</v>
      </c>
      <c r="AG117" s="228">
        <v>3.65</v>
      </c>
      <c r="AH117" s="228">
        <v>3.95</v>
      </c>
      <c r="AI117" s="228">
        <v>-0.3</v>
      </c>
      <c r="AJ117" s="229">
        <v>3.8999999999999998E-3</v>
      </c>
      <c r="AK117" s="228">
        <v>10.3</v>
      </c>
      <c r="AL117" s="228">
        <v>9.35</v>
      </c>
      <c r="AM117" s="228">
        <v>0.95</v>
      </c>
      <c r="AN117" s="229">
        <v>1.0999999999999999E-2</v>
      </c>
      <c r="AO117" s="228">
        <v>944.06</v>
      </c>
      <c r="AP117" s="228">
        <v>948.76</v>
      </c>
      <c r="AQ117" s="228">
        <v>0</v>
      </c>
      <c r="AR117" s="230">
        <v>24687400</v>
      </c>
      <c r="AS117" s="230">
        <v>34005100</v>
      </c>
      <c r="AT117" s="230">
        <v>-9317700</v>
      </c>
      <c r="AU117" s="229">
        <v>-0.27400000000000002</v>
      </c>
      <c r="AV117" s="230">
        <v>10381900</v>
      </c>
      <c r="AW117" s="230">
        <v>17294100</v>
      </c>
      <c r="AX117" s="230">
        <v>-6912200</v>
      </c>
      <c r="AY117" s="229">
        <v>-0.3997</v>
      </c>
      <c r="AZ117" s="230">
        <v>13875400</v>
      </c>
      <c r="BA117" s="230">
        <v>16214600</v>
      </c>
      <c r="BB117" s="230">
        <v>-2339200</v>
      </c>
      <c r="BC117" s="229">
        <v>-0.14430000000000001</v>
      </c>
      <c r="BD117" s="230">
        <v>430100</v>
      </c>
      <c r="BE117" s="230">
        <v>496400</v>
      </c>
      <c r="BF117" s="230">
        <v>-66300</v>
      </c>
      <c r="BG117" s="229">
        <v>-0.1336</v>
      </c>
      <c r="BH117" s="230">
        <v>96435900</v>
      </c>
      <c r="BI117" s="230">
        <v>189538100</v>
      </c>
      <c r="BJ117" s="230">
        <v>-93102200</v>
      </c>
      <c r="BK117" s="229">
        <v>-0.49120000000000003</v>
      </c>
      <c r="BL117" s="230">
        <v>37728100</v>
      </c>
      <c r="BM117" s="230">
        <v>87726800</v>
      </c>
      <c r="BN117" s="230">
        <v>-49998700</v>
      </c>
      <c r="BO117" s="229">
        <v>-0.56989999999999996</v>
      </c>
      <c r="BP117" s="230">
        <v>158851400</v>
      </c>
      <c r="BQ117" s="230">
        <v>311270000</v>
      </c>
      <c r="BR117" s="230">
        <v>-152418600</v>
      </c>
      <c r="BS117" s="229">
        <v>-0.48970000000000002</v>
      </c>
      <c r="BT117" s="230">
        <v>5058774</v>
      </c>
      <c r="BU117" s="230">
        <v>9311722</v>
      </c>
      <c r="BV117" s="230">
        <v>-4252948</v>
      </c>
      <c r="BW117" s="229">
        <v>-0.45669999999999999</v>
      </c>
      <c r="BX117" s="230">
        <v>23798300</v>
      </c>
      <c r="BY117" s="230">
        <v>24661900</v>
      </c>
      <c r="BZ117" s="230">
        <v>-863600</v>
      </c>
      <c r="CA117" s="229">
        <v>-3.5000000000000003E-2</v>
      </c>
      <c r="CB117" s="230">
        <v>6308700</v>
      </c>
      <c r="CC117" s="230">
        <v>11337300</v>
      </c>
      <c r="CD117" s="230">
        <v>-5028600</v>
      </c>
      <c r="CE117" s="229">
        <v>-0.44350000000000001</v>
      </c>
      <c r="CF117" s="230">
        <v>16998300</v>
      </c>
      <c r="CG117" s="230">
        <v>12930200</v>
      </c>
      <c r="CH117" s="230">
        <v>4068100</v>
      </c>
      <c r="CI117" s="229">
        <v>0.31459999999999999</v>
      </c>
      <c r="CJ117" s="230">
        <v>491300</v>
      </c>
      <c r="CK117" s="230">
        <v>394400</v>
      </c>
      <c r="CL117" s="230">
        <v>96900</v>
      </c>
      <c r="CM117" s="229">
        <v>0.2457</v>
      </c>
      <c r="CN117" s="230">
        <v>18778200</v>
      </c>
      <c r="CO117" s="230">
        <v>22696700</v>
      </c>
      <c r="CP117" s="230">
        <v>-3918500</v>
      </c>
      <c r="CQ117" s="229">
        <v>-0.1726</v>
      </c>
      <c r="CR117" s="230">
        <v>13256600</v>
      </c>
      <c r="CS117" s="230">
        <v>14091300</v>
      </c>
      <c r="CT117" s="230">
        <v>-834700</v>
      </c>
      <c r="CU117" s="229">
        <v>-5.9200000000000003E-2</v>
      </c>
      <c r="CV117" s="230">
        <v>55833100</v>
      </c>
      <c r="CW117" s="230">
        <v>61449900</v>
      </c>
      <c r="CX117" s="230">
        <v>-5616800</v>
      </c>
      <c r="CY117" s="229">
        <v>-9.1399999999999995E-2</v>
      </c>
      <c r="CZ117" s="228">
        <v>30.68</v>
      </c>
      <c r="DA117" s="228">
        <v>31.28</v>
      </c>
      <c r="DB117" s="228">
        <v>-0.6</v>
      </c>
      <c r="DC117" s="228">
        <v>-0.6</v>
      </c>
      <c r="DD117" s="228">
        <v>40.619999999999997</v>
      </c>
      <c r="DE117" s="228">
        <v>40.67</v>
      </c>
      <c r="DF117" s="228">
        <v>-9.94</v>
      </c>
      <c r="DG117" s="228">
        <v>-0.05</v>
      </c>
      <c r="DH117" s="228">
        <v>30.57</v>
      </c>
      <c r="DI117" s="228">
        <v>30.93</v>
      </c>
      <c r="DJ117" s="228">
        <v>-0.36</v>
      </c>
      <c r="DK117" s="228">
        <v>-0.36</v>
      </c>
      <c r="DL117" s="228">
        <v>30.96</v>
      </c>
      <c r="DM117" s="228">
        <v>32.14</v>
      </c>
      <c r="DN117" s="228">
        <v>-1.18</v>
      </c>
      <c r="DO117" s="228">
        <v>-1.18</v>
      </c>
      <c r="DP117" s="228">
        <v>0.71</v>
      </c>
      <c r="DQ117" s="228">
        <v>0.62</v>
      </c>
      <c r="DR117" s="228">
        <v>0.09</v>
      </c>
      <c r="DS117" s="229">
        <v>0.1452</v>
      </c>
      <c r="DT117" s="231">
        <v>1000</v>
      </c>
      <c r="DU117" s="228">
        <v>900</v>
      </c>
      <c r="DV117" s="228">
        <v>0.39</v>
      </c>
      <c r="DW117" s="228">
        <v>0.46</v>
      </c>
      <c r="DX117" s="228">
        <v>-7.0000000000000007E-2</v>
      </c>
      <c r="DY117" s="229">
        <v>-0.1522</v>
      </c>
      <c r="DZ117" s="229">
        <v>0.7349</v>
      </c>
      <c r="EA117" s="230">
        <v>13324600</v>
      </c>
      <c r="EB117" s="229">
        <v>4.5999999999999999E-3</v>
      </c>
      <c r="EC117" s="229">
        <v>0.7349</v>
      </c>
      <c r="ED117" s="228">
        <v>4.7</v>
      </c>
      <c r="EE117" s="229">
        <v>5.0000000000000001E-3</v>
      </c>
      <c r="EF117" s="230">
        <v>1889421</v>
      </c>
      <c r="EG117" s="230">
        <v>1727361</v>
      </c>
      <c r="EH117" s="229">
        <v>9.3799999999999994E-2</v>
      </c>
      <c r="EI117" s="229">
        <v>0.3735</v>
      </c>
      <c r="EJ117" s="231">
        <v>939346.75</v>
      </c>
      <c r="EK117" s="231">
        <v>349455</v>
      </c>
      <c r="EL117" s="231">
        <v>233755.57</v>
      </c>
      <c r="EM117" s="231">
        <v>10858</v>
      </c>
      <c r="EN117" s="231">
        <v>1522557.32</v>
      </c>
      <c r="EO117" s="231">
        <v>2935425.15</v>
      </c>
      <c r="EP117" s="231">
        <v>-1412867.83</v>
      </c>
      <c r="EQ117" s="229">
        <v>-0.48130000000000001</v>
      </c>
      <c r="ER117" s="231">
        <v>180116</v>
      </c>
      <c r="ES117" s="231">
        <v>116644</v>
      </c>
      <c r="ET117" s="231">
        <v>224370</v>
      </c>
      <c r="EU117" s="231">
        <v>58629477</v>
      </c>
      <c r="EV117" s="231">
        <v>521130</v>
      </c>
      <c r="EW117" s="231">
        <v>569568</v>
      </c>
      <c r="EX117" s="231">
        <v>-48438</v>
      </c>
      <c r="EY117" s="229">
        <v>-8.5000000000000006E-2</v>
      </c>
      <c r="EZ117" s="229">
        <v>0.95230000000000004</v>
      </c>
      <c r="FA117" s="227" t="s">
        <v>556</v>
      </c>
      <c r="FB117" s="161">
        <f t="shared" si="1"/>
        <v>17489600</v>
      </c>
    </row>
    <row r="118" spans="1:158" ht="17.25" hidden="1" thickBot="1" x14ac:dyDescent="0.3">
      <c r="A118" s="226">
        <v>45957</v>
      </c>
      <c r="B118" s="227" t="s">
        <v>175</v>
      </c>
      <c r="C118" s="227" t="s">
        <v>248</v>
      </c>
      <c r="D118" s="228">
        <v>1000</v>
      </c>
      <c r="E118" s="228">
        <v>585.1</v>
      </c>
      <c r="F118" s="228">
        <v>579.70000000000005</v>
      </c>
      <c r="G118" s="228">
        <v>5.4</v>
      </c>
      <c r="H118" s="229">
        <v>9.2999999999999992E-3</v>
      </c>
      <c r="I118" s="228">
        <v>584.35</v>
      </c>
      <c r="J118" s="228">
        <v>579.5</v>
      </c>
      <c r="K118" s="228">
        <v>4.8499999999999996</v>
      </c>
      <c r="L118" s="229">
        <v>8.3999999999999995E-3</v>
      </c>
      <c r="M118" s="228">
        <v>585.1</v>
      </c>
      <c r="N118" s="228">
        <v>579.70000000000005</v>
      </c>
      <c r="O118" s="228">
        <v>5.4</v>
      </c>
      <c r="P118" s="229">
        <v>9.2999999999999992E-3</v>
      </c>
      <c r="Q118" s="228">
        <v>588.6</v>
      </c>
      <c r="R118" s="228">
        <v>582.85</v>
      </c>
      <c r="S118" s="228">
        <v>5.75</v>
      </c>
      <c r="T118" s="229">
        <v>9.9000000000000008E-3</v>
      </c>
      <c r="U118" s="228">
        <v>592.5</v>
      </c>
      <c r="V118" s="228">
        <v>586.35</v>
      </c>
      <c r="W118" s="228">
        <v>6.15</v>
      </c>
      <c r="X118" s="229">
        <v>1.0500000000000001E-2</v>
      </c>
      <c r="Y118" s="228">
        <v>0.75</v>
      </c>
      <c r="Z118" s="228">
        <v>0.2</v>
      </c>
      <c r="AA118" s="228">
        <v>0.55000000000000004</v>
      </c>
      <c r="AB118" s="229">
        <v>1.2999999999999999E-3</v>
      </c>
      <c r="AC118" s="228">
        <v>0.75</v>
      </c>
      <c r="AD118" s="228">
        <v>0.2</v>
      </c>
      <c r="AE118" s="228">
        <v>0.55000000000000004</v>
      </c>
      <c r="AF118" s="229">
        <v>1.2999999999999999E-3</v>
      </c>
      <c r="AG118" s="228">
        <v>4.25</v>
      </c>
      <c r="AH118" s="228">
        <v>3.35</v>
      </c>
      <c r="AI118" s="228">
        <v>0.9</v>
      </c>
      <c r="AJ118" s="229">
        <v>7.3000000000000001E-3</v>
      </c>
      <c r="AK118" s="228">
        <v>8.15</v>
      </c>
      <c r="AL118" s="228">
        <v>6.85</v>
      </c>
      <c r="AM118" s="228">
        <v>1.3</v>
      </c>
      <c r="AN118" s="229">
        <v>1.3899999999999999E-2</v>
      </c>
      <c r="AO118" s="228">
        <v>584.45000000000005</v>
      </c>
      <c r="AP118" s="228">
        <v>587.67999999999995</v>
      </c>
      <c r="AQ118" s="228">
        <v>0</v>
      </c>
      <c r="AR118" s="230">
        <v>28048000</v>
      </c>
      <c r="AS118" s="230">
        <v>13828000</v>
      </c>
      <c r="AT118" s="230">
        <v>14220000</v>
      </c>
      <c r="AU118" s="229">
        <v>1.0283</v>
      </c>
      <c r="AV118" s="230">
        <v>13560000</v>
      </c>
      <c r="AW118" s="230">
        <v>6878000</v>
      </c>
      <c r="AX118" s="230">
        <v>6682000</v>
      </c>
      <c r="AY118" s="229">
        <v>0.97150000000000003</v>
      </c>
      <c r="AZ118" s="230">
        <v>14289000</v>
      </c>
      <c r="BA118" s="230">
        <v>6882000</v>
      </c>
      <c r="BB118" s="230">
        <v>7407000</v>
      </c>
      <c r="BC118" s="229">
        <v>1.0763</v>
      </c>
      <c r="BD118" s="230">
        <v>199000</v>
      </c>
      <c r="BE118" s="230">
        <v>68000</v>
      </c>
      <c r="BF118" s="230">
        <v>131000</v>
      </c>
      <c r="BG118" s="229">
        <v>1.9265000000000001</v>
      </c>
      <c r="BH118" s="230">
        <v>10597000</v>
      </c>
      <c r="BI118" s="230">
        <v>12735000</v>
      </c>
      <c r="BJ118" s="230">
        <v>-2138000</v>
      </c>
      <c r="BK118" s="229">
        <v>-0.16789999999999999</v>
      </c>
      <c r="BL118" s="230">
        <v>5930000</v>
      </c>
      <c r="BM118" s="230">
        <v>4907000</v>
      </c>
      <c r="BN118" s="230">
        <v>1023000</v>
      </c>
      <c r="BO118" s="229">
        <v>0.20849999999999999</v>
      </c>
      <c r="BP118" s="230">
        <v>44575000</v>
      </c>
      <c r="BQ118" s="230">
        <v>31470000</v>
      </c>
      <c r="BR118" s="230">
        <v>13105000</v>
      </c>
      <c r="BS118" s="229">
        <v>0.41639999999999999</v>
      </c>
      <c r="BT118" s="230">
        <v>760827</v>
      </c>
      <c r="BU118" s="230">
        <v>965608</v>
      </c>
      <c r="BV118" s="230">
        <v>-204781</v>
      </c>
      <c r="BW118" s="229">
        <v>-0.21210000000000001</v>
      </c>
      <c r="BX118" s="230">
        <v>31707000</v>
      </c>
      <c r="BY118" s="230">
        <v>31711000</v>
      </c>
      <c r="BZ118" s="230">
        <v>-4000</v>
      </c>
      <c r="CA118" s="229">
        <v>-1E-4</v>
      </c>
      <c r="CB118" s="230">
        <v>5202000</v>
      </c>
      <c r="CC118" s="230">
        <v>16928000</v>
      </c>
      <c r="CD118" s="230">
        <v>-11726000</v>
      </c>
      <c r="CE118" s="229">
        <v>-0.69269999999999998</v>
      </c>
      <c r="CF118" s="230">
        <v>26285000</v>
      </c>
      <c r="CG118" s="230">
        <v>14626000</v>
      </c>
      <c r="CH118" s="230">
        <v>11659000</v>
      </c>
      <c r="CI118" s="229">
        <v>0.79710000000000003</v>
      </c>
      <c r="CJ118" s="230">
        <v>220000</v>
      </c>
      <c r="CK118" s="230">
        <v>157000</v>
      </c>
      <c r="CL118" s="230">
        <v>63000</v>
      </c>
      <c r="CM118" s="229">
        <v>0.40129999999999999</v>
      </c>
      <c r="CN118" s="230">
        <v>8998000</v>
      </c>
      <c r="CO118" s="230">
        <v>9418000</v>
      </c>
      <c r="CP118" s="230">
        <v>-420000</v>
      </c>
      <c r="CQ118" s="229">
        <v>-4.4600000000000001E-2</v>
      </c>
      <c r="CR118" s="230">
        <v>7181000</v>
      </c>
      <c r="CS118" s="230">
        <v>6649000</v>
      </c>
      <c r="CT118" s="230">
        <v>532000</v>
      </c>
      <c r="CU118" s="229">
        <v>0.08</v>
      </c>
      <c r="CV118" s="230">
        <v>47886000</v>
      </c>
      <c r="CW118" s="230">
        <v>47778000</v>
      </c>
      <c r="CX118" s="230">
        <v>108000</v>
      </c>
      <c r="CY118" s="229">
        <v>2.3E-3</v>
      </c>
      <c r="CZ118" s="228">
        <v>25.26</v>
      </c>
      <c r="DA118" s="228">
        <v>24.25</v>
      </c>
      <c r="DB118" s="228">
        <v>1.01</v>
      </c>
      <c r="DC118" s="228">
        <v>1.01</v>
      </c>
      <c r="DD118" s="228">
        <v>34.18</v>
      </c>
      <c r="DE118" s="228">
        <v>34.24</v>
      </c>
      <c r="DF118" s="228">
        <v>-8.92</v>
      </c>
      <c r="DG118" s="228">
        <v>-0.06</v>
      </c>
      <c r="DH118" s="228">
        <v>25.35</v>
      </c>
      <c r="DI118" s="228">
        <v>24.32</v>
      </c>
      <c r="DJ118" s="228">
        <v>1.03</v>
      </c>
      <c r="DK118" s="228">
        <v>1.03</v>
      </c>
      <c r="DL118" s="228">
        <v>25.11</v>
      </c>
      <c r="DM118" s="228">
        <v>24.1</v>
      </c>
      <c r="DN118" s="228">
        <v>1.01</v>
      </c>
      <c r="DO118" s="228">
        <v>1.01</v>
      </c>
      <c r="DP118" s="228">
        <v>0.8</v>
      </c>
      <c r="DQ118" s="228">
        <v>0.71</v>
      </c>
      <c r="DR118" s="228">
        <v>0.09</v>
      </c>
      <c r="DS118" s="229">
        <v>0.1268</v>
      </c>
      <c r="DT118" s="228">
        <v>600</v>
      </c>
      <c r="DU118" s="228">
        <v>600</v>
      </c>
      <c r="DV118" s="228">
        <v>0.56000000000000005</v>
      </c>
      <c r="DW118" s="228">
        <v>0.39</v>
      </c>
      <c r="DX118" s="228">
        <v>0.17</v>
      </c>
      <c r="DY118" s="229">
        <v>0.43590000000000001</v>
      </c>
      <c r="DZ118" s="229">
        <v>0.83589999999999998</v>
      </c>
      <c r="EA118" s="230">
        <v>14783000</v>
      </c>
      <c r="EB118" s="229">
        <v>6.0000000000000001E-3</v>
      </c>
      <c r="EC118" s="229">
        <v>0.83589999999999998</v>
      </c>
      <c r="ED118" s="228">
        <v>3.23</v>
      </c>
      <c r="EE118" s="229">
        <v>5.4999999999999997E-3</v>
      </c>
      <c r="EF118" s="230">
        <v>332520</v>
      </c>
      <c r="EG118" s="230">
        <v>315493</v>
      </c>
      <c r="EH118" s="229">
        <v>5.3999999999999999E-2</v>
      </c>
      <c r="EI118" s="229">
        <v>0.43709999999999999</v>
      </c>
      <c r="EJ118" s="231">
        <v>64234.29</v>
      </c>
      <c r="EK118" s="231">
        <v>35031.47</v>
      </c>
      <c r="EL118" s="231">
        <v>164400.93</v>
      </c>
      <c r="EM118" s="231">
        <v>9907</v>
      </c>
      <c r="EN118" s="231">
        <v>263666.69</v>
      </c>
      <c r="EO118" s="231">
        <v>185680.27</v>
      </c>
      <c r="EP118" s="231">
        <v>77986.42</v>
      </c>
      <c r="EQ118" s="229">
        <v>0.42</v>
      </c>
      <c r="ER118" s="231">
        <v>53742</v>
      </c>
      <c r="ES118" s="231">
        <v>41430</v>
      </c>
      <c r="ET118" s="231">
        <v>186454</v>
      </c>
      <c r="EU118" s="231">
        <v>45183075</v>
      </c>
      <c r="EV118" s="231">
        <v>281625</v>
      </c>
      <c r="EW118" s="231">
        <v>278693</v>
      </c>
      <c r="EX118" s="231">
        <v>2932</v>
      </c>
      <c r="EY118" s="229">
        <v>1.0500000000000001E-2</v>
      </c>
      <c r="EZ118" s="229">
        <v>1.0598000000000001</v>
      </c>
      <c r="FA118" s="227" t="s">
        <v>556</v>
      </c>
      <c r="FB118" s="161">
        <f t="shared" si="1"/>
        <v>26505000</v>
      </c>
    </row>
    <row r="119" spans="1:158" ht="17.25" hidden="1" thickBot="1" x14ac:dyDescent="0.3">
      <c r="A119" s="226">
        <v>45957</v>
      </c>
      <c r="B119" s="227" t="s">
        <v>175</v>
      </c>
      <c r="C119" s="227" t="s">
        <v>607</v>
      </c>
      <c r="D119" s="228">
        <v>700</v>
      </c>
      <c r="E119" s="228">
        <v>898.75</v>
      </c>
      <c r="F119" s="228">
        <v>890.6</v>
      </c>
      <c r="G119" s="228">
        <v>8.15</v>
      </c>
      <c r="H119" s="229">
        <v>9.1999999999999998E-3</v>
      </c>
      <c r="I119" s="228">
        <v>897.65</v>
      </c>
      <c r="J119" s="228">
        <v>889.65</v>
      </c>
      <c r="K119" s="228">
        <v>8</v>
      </c>
      <c r="L119" s="229">
        <v>8.9999999999999993E-3</v>
      </c>
      <c r="M119" s="228">
        <v>898.75</v>
      </c>
      <c r="N119" s="228">
        <v>890.6</v>
      </c>
      <c r="O119" s="228">
        <v>8.15</v>
      </c>
      <c r="P119" s="229">
        <v>9.1999999999999998E-3</v>
      </c>
      <c r="Q119" s="228">
        <v>903.8</v>
      </c>
      <c r="R119" s="228">
        <v>894.6</v>
      </c>
      <c r="S119" s="228">
        <v>9.1999999999999993</v>
      </c>
      <c r="T119" s="229">
        <v>1.03E-2</v>
      </c>
      <c r="U119" s="228">
        <v>909</v>
      </c>
      <c r="V119" s="228">
        <v>900.2</v>
      </c>
      <c r="W119" s="228">
        <v>8.8000000000000007</v>
      </c>
      <c r="X119" s="229">
        <v>9.7999999999999997E-3</v>
      </c>
      <c r="Y119" s="228">
        <v>1.1000000000000001</v>
      </c>
      <c r="Z119" s="228">
        <v>0.95</v>
      </c>
      <c r="AA119" s="228">
        <v>0.15</v>
      </c>
      <c r="AB119" s="229">
        <v>1.1999999999999999E-3</v>
      </c>
      <c r="AC119" s="228">
        <v>1.1000000000000001</v>
      </c>
      <c r="AD119" s="228">
        <v>0.95</v>
      </c>
      <c r="AE119" s="228">
        <v>0.15</v>
      </c>
      <c r="AF119" s="229">
        <v>1.1999999999999999E-3</v>
      </c>
      <c r="AG119" s="228">
        <v>6.15</v>
      </c>
      <c r="AH119" s="228">
        <v>4.95</v>
      </c>
      <c r="AI119" s="228">
        <v>1.2</v>
      </c>
      <c r="AJ119" s="229">
        <v>6.8999999999999999E-3</v>
      </c>
      <c r="AK119" s="228">
        <v>11.35</v>
      </c>
      <c r="AL119" s="228">
        <v>10.55</v>
      </c>
      <c r="AM119" s="228">
        <v>0.8</v>
      </c>
      <c r="AN119" s="229">
        <v>1.26E-2</v>
      </c>
      <c r="AO119" s="228">
        <v>894.73</v>
      </c>
      <c r="AP119" s="228">
        <v>899.81</v>
      </c>
      <c r="AQ119" s="228">
        <v>0</v>
      </c>
      <c r="AR119" s="230">
        <v>6329400</v>
      </c>
      <c r="AS119" s="230">
        <v>6738900</v>
      </c>
      <c r="AT119" s="230">
        <v>-409500</v>
      </c>
      <c r="AU119" s="229">
        <v>-6.08E-2</v>
      </c>
      <c r="AV119" s="230">
        <v>3092600</v>
      </c>
      <c r="AW119" s="230">
        <v>3352300</v>
      </c>
      <c r="AX119" s="230">
        <v>-259700</v>
      </c>
      <c r="AY119" s="229">
        <v>-7.7499999999999999E-2</v>
      </c>
      <c r="AZ119" s="230">
        <v>3168200</v>
      </c>
      <c r="BA119" s="230">
        <v>3332700</v>
      </c>
      <c r="BB119" s="230">
        <v>-164500</v>
      </c>
      <c r="BC119" s="229">
        <v>-4.9399999999999999E-2</v>
      </c>
      <c r="BD119" s="230">
        <v>68600</v>
      </c>
      <c r="BE119" s="230">
        <v>53900</v>
      </c>
      <c r="BF119" s="230">
        <v>14700</v>
      </c>
      <c r="BG119" s="229">
        <v>0.2727</v>
      </c>
      <c r="BH119" s="230">
        <v>4354700</v>
      </c>
      <c r="BI119" s="230">
        <v>4506600</v>
      </c>
      <c r="BJ119" s="230">
        <v>-151900</v>
      </c>
      <c r="BK119" s="229">
        <v>-3.3700000000000001E-2</v>
      </c>
      <c r="BL119" s="230">
        <v>3432800</v>
      </c>
      <c r="BM119" s="230">
        <v>2445100</v>
      </c>
      <c r="BN119" s="230">
        <v>987700</v>
      </c>
      <c r="BO119" s="229">
        <v>0.40400000000000003</v>
      </c>
      <c r="BP119" s="230">
        <v>14116900</v>
      </c>
      <c r="BQ119" s="230">
        <v>13690600</v>
      </c>
      <c r="BR119" s="230">
        <v>426300</v>
      </c>
      <c r="BS119" s="229">
        <v>3.1099999999999999E-2</v>
      </c>
      <c r="BT119" s="230">
        <v>906826</v>
      </c>
      <c r="BU119" s="230">
        <v>609781</v>
      </c>
      <c r="BV119" s="230">
        <v>297045</v>
      </c>
      <c r="BW119" s="229">
        <v>0.48709999999999998</v>
      </c>
      <c r="BX119" s="230">
        <v>8228500</v>
      </c>
      <c r="BY119" s="230">
        <v>8824900</v>
      </c>
      <c r="BZ119" s="230">
        <v>-596400</v>
      </c>
      <c r="CA119" s="229">
        <v>-6.7599999999999993E-2</v>
      </c>
      <c r="CB119" s="230">
        <v>1790600</v>
      </c>
      <c r="CC119" s="230">
        <v>3878000</v>
      </c>
      <c r="CD119" s="230">
        <v>-2087400</v>
      </c>
      <c r="CE119" s="229">
        <v>-0.5383</v>
      </c>
      <c r="CF119" s="230">
        <v>6304900</v>
      </c>
      <c r="CG119" s="230">
        <v>4832100</v>
      </c>
      <c r="CH119" s="230">
        <v>1472800</v>
      </c>
      <c r="CI119" s="229">
        <v>0.30480000000000002</v>
      </c>
      <c r="CJ119" s="230">
        <v>133000</v>
      </c>
      <c r="CK119" s="230">
        <v>114800</v>
      </c>
      <c r="CL119" s="230">
        <v>18200</v>
      </c>
      <c r="CM119" s="229">
        <v>0.1585</v>
      </c>
      <c r="CN119" s="230">
        <v>4073300</v>
      </c>
      <c r="CO119" s="230">
        <v>4394600</v>
      </c>
      <c r="CP119" s="230">
        <v>-321300</v>
      </c>
      <c r="CQ119" s="229">
        <v>-7.3099999999999998E-2</v>
      </c>
      <c r="CR119" s="230">
        <v>2207800</v>
      </c>
      <c r="CS119" s="230">
        <v>2193100</v>
      </c>
      <c r="CT119" s="230">
        <v>14700</v>
      </c>
      <c r="CU119" s="229">
        <v>6.7000000000000002E-3</v>
      </c>
      <c r="CV119" s="230">
        <v>14509600</v>
      </c>
      <c r="CW119" s="230">
        <v>15412600</v>
      </c>
      <c r="CX119" s="230">
        <v>-903000</v>
      </c>
      <c r="CY119" s="229">
        <v>-5.8599999999999999E-2</v>
      </c>
      <c r="CZ119" s="228">
        <v>24.2</v>
      </c>
      <c r="DA119" s="228">
        <v>23.74</v>
      </c>
      <c r="DB119" s="228">
        <v>0.46</v>
      </c>
      <c r="DC119" s="228">
        <v>0.46</v>
      </c>
      <c r="DD119" s="228">
        <v>31.84</v>
      </c>
      <c r="DE119" s="228">
        <v>31.89</v>
      </c>
      <c r="DF119" s="228">
        <v>-7.64</v>
      </c>
      <c r="DG119" s="228">
        <v>-0.05</v>
      </c>
      <c r="DH119" s="228">
        <v>24.2</v>
      </c>
      <c r="DI119" s="228">
        <v>24.16</v>
      </c>
      <c r="DJ119" s="228">
        <v>0.04</v>
      </c>
      <c r="DK119" s="228">
        <v>0.04</v>
      </c>
      <c r="DL119" s="228">
        <v>24.21</v>
      </c>
      <c r="DM119" s="228">
        <v>23.07</v>
      </c>
      <c r="DN119" s="228">
        <v>1.1399999999999999</v>
      </c>
      <c r="DO119" s="228">
        <v>1.1399999999999999</v>
      </c>
      <c r="DP119" s="228">
        <v>0.54</v>
      </c>
      <c r="DQ119" s="228">
        <v>0.5</v>
      </c>
      <c r="DR119" s="228">
        <v>0.04</v>
      </c>
      <c r="DS119" s="229">
        <v>0.08</v>
      </c>
      <c r="DT119" s="231">
        <v>1000</v>
      </c>
      <c r="DU119" s="228">
        <v>900</v>
      </c>
      <c r="DV119" s="228">
        <v>0.79</v>
      </c>
      <c r="DW119" s="228">
        <v>0.54</v>
      </c>
      <c r="DX119" s="228">
        <v>0.25</v>
      </c>
      <c r="DY119" s="229">
        <v>0.46300000000000002</v>
      </c>
      <c r="DZ119" s="229">
        <v>0.78239999999999998</v>
      </c>
      <c r="EA119" s="230">
        <v>4946900</v>
      </c>
      <c r="EB119" s="229">
        <v>5.5999999999999999E-3</v>
      </c>
      <c r="EC119" s="229">
        <v>0.78239999999999998</v>
      </c>
      <c r="ED119" s="228">
        <v>5.08</v>
      </c>
      <c r="EE119" s="229">
        <v>5.7000000000000002E-3</v>
      </c>
      <c r="EF119" s="230">
        <v>352032</v>
      </c>
      <c r="EG119" s="230">
        <v>267948</v>
      </c>
      <c r="EH119" s="229">
        <v>0.31380000000000002</v>
      </c>
      <c r="EI119" s="229">
        <v>0.38819999999999999</v>
      </c>
      <c r="EJ119" s="231">
        <v>40319.550000000003</v>
      </c>
      <c r="EK119" s="231">
        <v>30494.57</v>
      </c>
      <c r="EL119" s="231">
        <v>56799.06</v>
      </c>
      <c r="EM119" s="231">
        <v>5313</v>
      </c>
      <c r="EN119" s="231">
        <v>127613.18</v>
      </c>
      <c r="EO119" s="231">
        <v>123874.4</v>
      </c>
      <c r="EP119" s="231">
        <v>3738.78</v>
      </c>
      <c r="EQ119" s="229">
        <v>3.0200000000000001E-2</v>
      </c>
      <c r="ER119" s="231">
        <v>38246</v>
      </c>
      <c r="ES119" s="231">
        <v>19374</v>
      </c>
      <c r="ET119" s="231">
        <v>74286</v>
      </c>
      <c r="EU119" s="231">
        <v>32057152</v>
      </c>
      <c r="EV119" s="231">
        <v>131906</v>
      </c>
      <c r="EW119" s="231">
        <v>139271</v>
      </c>
      <c r="EX119" s="231">
        <v>-7365</v>
      </c>
      <c r="EY119" s="229">
        <v>-5.2900000000000003E-2</v>
      </c>
      <c r="EZ119" s="229">
        <v>0.4526</v>
      </c>
      <c r="FA119" s="227" t="s">
        <v>556</v>
      </c>
      <c r="FB119" s="161">
        <f t="shared" si="1"/>
        <v>6437900</v>
      </c>
    </row>
    <row r="120" spans="1:158" ht="17.25" hidden="1" thickBot="1" x14ac:dyDescent="0.3">
      <c r="A120" s="226">
        <v>45957</v>
      </c>
      <c r="B120" s="227" t="s">
        <v>206</v>
      </c>
      <c r="C120" s="227" t="s">
        <v>588</v>
      </c>
      <c r="D120" s="228">
        <v>450</v>
      </c>
      <c r="E120" s="231">
        <v>1176.5999999999999</v>
      </c>
      <c r="F120" s="231">
        <v>1171.4000000000001</v>
      </c>
      <c r="G120" s="228">
        <v>5.2</v>
      </c>
      <c r="H120" s="229">
        <v>4.4000000000000003E-3</v>
      </c>
      <c r="I120" s="231">
        <v>1177</v>
      </c>
      <c r="J120" s="231">
        <v>1172.9000000000001</v>
      </c>
      <c r="K120" s="228">
        <v>4.0999999999999996</v>
      </c>
      <c r="L120" s="229">
        <v>3.5000000000000001E-3</v>
      </c>
      <c r="M120" s="231">
        <v>1176.5999999999999</v>
      </c>
      <c r="N120" s="231">
        <v>1171.4000000000001</v>
      </c>
      <c r="O120" s="228">
        <v>5.2</v>
      </c>
      <c r="P120" s="229">
        <v>4.4000000000000003E-3</v>
      </c>
      <c r="Q120" s="231">
        <v>1183.2</v>
      </c>
      <c r="R120" s="231">
        <v>1178.2</v>
      </c>
      <c r="S120" s="228">
        <v>5</v>
      </c>
      <c r="T120" s="229">
        <v>4.1999999999999997E-3</v>
      </c>
      <c r="U120" s="231">
        <v>1192.0999999999999</v>
      </c>
      <c r="V120" s="231">
        <v>1187</v>
      </c>
      <c r="W120" s="228">
        <v>5.0999999999999996</v>
      </c>
      <c r="X120" s="229">
        <v>4.3E-3</v>
      </c>
      <c r="Y120" s="228">
        <v>-0.4</v>
      </c>
      <c r="Z120" s="228">
        <v>-1.5</v>
      </c>
      <c r="AA120" s="228">
        <v>1.1000000000000001</v>
      </c>
      <c r="AB120" s="229">
        <v>-2.9999999999999997E-4</v>
      </c>
      <c r="AC120" s="228">
        <v>-0.4</v>
      </c>
      <c r="AD120" s="228">
        <v>-1.5</v>
      </c>
      <c r="AE120" s="228">
        <v>1.1000000000000001</v>
      </c>
      <c r="AF120" s="229">
        <v>-2.9999999999999997E-4</v>
      </c>
      <c r="AG120" s="228">
        <v>6.2</v>
      </c>
      <c r="AH120" s="228">
        <v>5.3</v>
      </c>
      <c r="AI120" s="228">
        <v>0.9</v>
      </c>
      <c r="AJ120" s="229">
        <v>5.3E-3</v>
      </c>
      <c r="AK120" s="228">
        <v>15.1</v>
      </c>
      <c r="AL120" s="228">
        <v>14.1</v>
      </c>
      <c r="AM120" s="228">
        <v>1</v>
      </c>
      <c r="AN120" s="229">
        <v>1.2800000000000001E-2</v>
      </c>
      <c r="AO120" s="231">
        <v>1182.8900000000001</v>
      </c>
      <c r="AP120" s="231">
        <v>1189.44</v>
      </c>
      <c r="AQ120" s="228">
        <v>0</v>
      </c>
      <c r="AR120" s="230">
        <v>7922250</v>
      </c>
      <c r="AS120" s="230">
        <v>6908400</v>
      </c>
      <c r="AT120" s="230">
        <v>1013850</v>
      </c>
      <c r="AU120" s="229">
        <v>0.14680000000000001</v>
      </c>
      <c r="AV120" s="230">
        <v>3904650</v>
      </c>
      <c r="AW120" s="230">
        <v>3503250</v>
      </c>
      <c r="AX120" s="230">
        <v>401400</v>
      </c>
      <c r="AY120" s="229">
        <v>0.11459999999999999</v>
      </c>
      <c r="AZ120" s="230">
        <v>3977550</v>
      </c>
      <c r="BA120" s="230">
        <v>3395700</v>
      </c>
      <c r="BB120" s="230">
        <v>581850</v>
      </c>
      <c r="BC120" s="229">
        <v>0.17130000000000001</v>
      </c>
      <c r="BD120" s="230">
        <v>40050</v>
      </c>
      <c r="BE120" s="230">
        <v>9450</v>
      </c>
      <c r="BF120" s="230">
        <v>30600</v>
      </c>
      <c r="BG120" s="229">
        <v>3.2381000000000002</v>
      </c>
      <c r="BH120" s="230">
        <v>5391450</v>
      </c>
      <c r="BI120" s="230">
        <v>5120100</v>
      </c>
      <c r="BJ120" s="230">
        <v>271350</v>
      </c>
      <c r="BK120" s="229">
        <v>5.2999999999999999E-2</v>
      </c>
      <c r="BL120" s="230">
        <v>4100850</v>
      </c>
      <c r="BM120" s="230">
        <v>1765350</v>
      </c>
      <c r="BN120" s="230">
        <v>2335500</v>
      </c>
      <c r="BO120" s="229">
        <v>1.323</v>
      </c>
      <c r="BP120" s="230">
        <v>17414550</v>
      </c>
      <c r="BQ120" s="230">
        <v>13793850</v>
      </c>
      <c r="BR120" s="230">
        <v>3620700</v>
      </c>
      <c r="BS120" s="229">
        <v>0.26250000000000001</v>
      </c>
      <c r="BT120" s="230">
        <v>598522</v>
      </c>
      <c r="BU120" s="230">
        <v>975210</v>
      </c>
      <c r="BV120" s="230">
        <v>-376688</v>
      </c>
      <c r="BW120" s="229">
        <v>-0.38629999999999998</v>
      </c>
      <c r="BX120" s="230">
        <v>11538900</v>
      </c>
      <c r="BY120" s="230">
        <v>11578050</v>
      </c>
      <c r="BZ120" s="230">
        <v>-39150</v>
      </c>
      <c r="CA120" s="229">
        <v>-3.3999999999999998E-3</v>
      </c>
      <c r="CB120" s="230">
        <v>2256750</v>
      </c>
      <c r="CC120" s="230">
        <v>5548950</v>
      </c>
      <c r="CD120" s="230">
        <v>-3292200</v>
      </c>
      <c r="CE120" s="229">
        <v>-0.59330000000000005</v>
      </c>
      <c r="CF120" s="230">
        <v>9207450</v>
      </c>
      <c r="CG120" s="230">
        <v>5982300</v>
      </c>
      <c r="CH120" s="230">
        <v>3225150</v>
      </c>
      <c r="CI120" s="229">
        <v>0.53910000000000002</v>
      </c>
      <c r="CJ120" s="230">
        <v>74700</v>
      </c>
      <c r="CK120" s="230">
        <v>46800</v>
      </c>
      <c r="CL120" s="230">
        <v>27900</v>
      </c>
      <c r="CM120" s="229">
        <v>0.59619999999999995</v>
      </c>
      <c r="CN120" s="230">
        <v>3246300</v>
      </c>
      <c r="CO120" s="230">
        <v>3294000</v>
      </c>
      <c r="CP120" s="230">
        <v>-47700</v>
      </c>
      <c r="CQ120" s="229">
        <v>-1.4500000000000001E-2</v>
      </c>
      <c r="CR120" s="230">
        <v>1882350</v>
      </c>
      <c r="CS120" s="230">
        <v>1827900</v>
      </c>
      <c r="CT120" s="230">
        <v>54450</v>
      </c>
      <c r="CU120" s="229">
        <v>2.98E-2</v>
      </c>
      <c r="CV120" s="230">
        <v>16667550</v>
      </c>
      <c r="CW120" s="230">
        <v>16699950</v>
      </c>
      <c r="CX120" s="230">
        <v>-32400</v>
      </c>
      <c r="CY120" s="229">
        <v>-1.9E-3</v>
      </c>
      <c r="CZ120" s="228">
        <v>33.1</v>
      </c>
      <c r="DA120" s="228">
        <v>32.99</v>
      </c>
      <c r="DB120" s="228">
        <v>0.11</v>
      </c>
      <c r="DC120" s="228">
        <v>0.11</v>
      </c>
      <c r="DD120" s="228">
        <v>46.89</v>
      </c>
      <c r="DE120" s="228">
        <v>47.01</v>
      </c>
      <c r="DF120" s="228">
        <v>-13.79</v>
      </c>
      <c r="DG120" s="228">
        <v>-0.12</v>
      </c>
      <c r="DH120" s="228">
        <v>33.17</v>
      </c>
      <c r="DI120" s="228">
        <v>33.36</v>
      </c>
      <c r="DJ120" s="228">
        <v>-0.19</v>
      </c>
      <c r="DK120" s="228">
        <v>-0.19</v>
      </c>
      <c r="DL120" s="228">
        <v>32.950000000000003</v>
      </c>
      <c r="DM120" s="228">
        <v>32.35</v>
      </c>
      <c r="DN120" s="228">
        <v>0.6</v>
      </c>
      <c r="DO120" s="228">
        <v>0.6</v>
      </c>
      <c r="DP120" s="228">
        <v>0.57999999999999996</v>
      </c>
      <c r="DQ120" s="228">
        <v>0.55000000000000004</v>
      </c>
      <c r="DR120" s="228">
        <v>0.03</v>
      </c>
      <c r="DS120" s="229">
        <v>5.45E-2</v>
      </c>
      <c r="DT120" s="231">
        <v>1200</v>
      </c>
      <c r="DU120" s="231">
        <v>1140</v>
      </c>
      <c r="DV120" s="228">
        <v>0.76</v>
      </c>
      <c r="DW120" s="228">
        <v>0.34</v>
      </c>
      <c r="DX120" s="228">
        <v>0.42</v>
      </c>
      <c r="DY120" s="229">
        <v>1.2353000000000001</v>
      </c>
      <c r="DZ120" s="229">
        <v>0.8044</v>
      </c>
      <c r="EA120" s="230">
        <v>6029100</v>
      </c>
      <c r="EB120" s="229">
        <v>5.5999999999999999E-3</v>
      </c>
      <c r="EC120" s="229">
        <v>0.8044</v>
      </c>
      <c r="ED120" s="228">
        <v>6.55</v>
      </c>
      <c r="EE120" s="229">
        <v>5.4999999999999997E-3</v>
      </c>
      <c r="EF120" s="230">
        <v>326628</v>
      </c>
      <c r="EG120" s="230">
        <v>543450</v>
      </c>
      <c r="EH120" s="229">
        <v>-0.39900000000000002</v>
      </c>
      <c r="EI120" s="229">
        <v>0.54569999999999996</v>
      </c>
      <c r="EJ120" s="231">
        <v>65968.97</v>
      </c>
      <c r="EK120" s="231">
        <v>46922</v>
      </c>
      <c r="EL120" s="231">
        <v>93977.98</v>
      </c>
      <c r="EM120" s="231">
        <v>8101</v>
      </c>
      <c r="EN120" s="231">
        <v>206868.95</v>
      </c>
      <c r="EO120" s="231">
        <v>165335.04999999999</v>
      </c>
      <c r="EP120" s="231">
        <v>41533.9</v>
      </c>
      <c r="EQ120" s="229">
        <v>0.25119999999999998</v>
      </c>
      <c r="ER120" s="231">
        <v>39531</v>
      </c>
      <c r="ES120" s="231">
        <v>21543</v>
      </c>
      <c r="ET120" s="231">
        <v>136386</v>
      </c>
      <c r="EU120" s="231">
        <v>42060143</v>
      </c>
      <c r="EV120" s="231">
        <v>197459</v>
      </c>
      <c r="EW120" s="231">
        <v>196910</v>
      </c>
      <c r="EX120" s="228">
        <v>549</v>
      </c>
      <c r="EY120" s="229">
        <v>2.8E-3</v>
      </c>
      <c r="EZ120" s="229">
        <v>0.39629999999999999</v>
      </c>
      <c r="FA120" s="227" t="s">
        <v>556</v>
      </c>
      <c r="FB120" s="161">
        <f t="shared" si="1"/>
        <v>9282150</v>
      </c>
    </row>
    <row r="121" spans="1:158" ht="17.25" hidden="1" thickBot="1" x14ac:dyDescent="0.3">
      <c r="A121" s="226">
        <v>45957</v>
      </c>
      <c r="B121" s="227" t="s">
        <v>184</v>
      </c>
      <c r="C121" s="227" t="s">
        <v>249</v>
      </c>
      <c r="D121" s="228">
        <v>175</v>
      </c>
      <c r="E121" s="231">
        <v>3926.8</v>
      </c>
      <c r="F121" s="231">
        <v>3908.5</v>
      </c>
      <c r="G121" s="228">
        <v>18.3</v>
      </c>
      <c r="H121" s="229">
        <v>4.7000000000000002E-3</v>
      </c>
      <c r="I121" s="231">
        <v>3923.8</v>
      </c>
      <c r="J121" s="231">
        <v>3904.9</v>
      </c>
      <c r="K121" s="228">
        <v>18.899999999999999</v>
      </c>
      <c r="L121" s="229">
        <v>4.7999999999999996E-3</v>
      </c>
      <c r="M121" s="231">
        <v>3926.8</v>
      </c>
      <c r="N121" s="231">
        <v>3908.5</v>
      </c>
      <c r="O121" s="228">
        <v>18.3</v>
      </c>
      <c r="P121" s="229">
        <v>4.7000000000000002E-3</v>
      </c>
      <c r="Q121" s="231">
        <v>3950.8</v>
      </c>
      <c r="R121" s="231">
        <v>3931.6</v>
      </c>
      <c r="S121" s="228">
        <v>19.2</v>
      </c>
      <c r="T121" s="229">
        <v>4.8999999999999998E-3</v>
      </c>
      <c r="U121" s="231">
        <v>3974.8</v>
      </c>
      <c r="V121" s="231">
        <v>3955.6</v>
      </c>
      <c r="W121" s="228">
        <v>19.2</v>
      </c>
      <c r="X121" s="229">
        <v>4.8999999999999998E-3</v>
      </c>
      <c r="Y121" s="228">
        <v>3</v>
      </c>
      <c r="Z121" s="228">
        <v>3.6</v>
      </c>
      <c r="AA121" s="228">
        <v>-0.6</v>
      </c>
      <c r="AB121" s="229">
        <v>8.0000000000000004E-4</v>
      </c>
      <c r="AC121" s="228">
        <v>3</v>
      </c>
      <c r="AD121" s="228">
        <v>3.6</v>
      </c>
      <c r="AE121" s="228">
        <v>-0.6</v>
      </c>
      <c r="AF121" s="229">
        <v>8.0000000000000004E-4</v>
      </c>
      <c r="AG121" s="228">
        <v>27</v>
      </c>
      <c r="AH121" s="228">
        <v>26.7</v>
      </c>
      <c r="AI121" s="228">
        <v>0.3</v>
      </c>
      <c r="AJ121" s="229">
        <v>6.8999999999999999E-3</v>
      </c>
      <c r="AK121" s="228">
        <v>51</v>
      </c>
      <c r="AL121" s="228">
        <v>50.7</v>
      </c>
      <c r="AM121" s="228">
        <v>0.3</v>
      </c>
      <c r="AN121" s="229">
        <v>1.2999999999999999E-2</v>
      </c>
      <c r="AO121" s="231">
        <v>3933.29</v>
      </c>
      <c r="AP121" s="231">
        <v>3956.35</v>
      </c>
      <c r="AQ121" s="228">
        <v>0</v>
      </c>
      <c r="AR121" s="230">
        <v>9539600</v>
      </c>
      <c r="AS121" s="230">
        <v>9432500</v>
      </c>
      <c r="AT121" s="230">
        <v>107100</v>
      </c>
      <c r="AU121" s="229">
        <v>1.14E-2</v>
      </c>
      <c r="AV121" s="230">
        <v>4627875</v>
      </c>
      <c r="AW121" s="230">
        <v>5021800</v>
      </c>
      <c r="AX121" s="230">
        <v>-393925</v>
      </c>
      <c r="AY121" s="229">
        <v>-7.8399999999999997E-2</v>
      </c>
      <c r="AZ121" s="230">
        <v>4887400</v>
      </c>
      <c r="BA121" s="230">
        <v>4391625</v>
      </c>
      <c r="BB121" s="230">
        <v>495775</v>
      </c>
      <c r="BC121" s="229">
        <v>0.1129</v>
      </c>
      <c r="BD121" s="230">
        <v>24325</v>
      </c>
      <c r="BE121" s="230">
        <v>19075</v>
      </c>
      <c r="BF121" s="230">
        <v>5250</v>
      </c>
      <c r="BG121" s="229">
        <v>0.2752</v>
      </c>
      <c r="BH121" s="230">
        <v>6606250</v>
      </c>
      <c r="BI121" s="230">
        <v>7716275</v>
      </c>
      <c r="BJ121" s="230">
        <v>-1110025</v>
      </c>
      <c r="BK121" s="229">
        <v>-0.1439</v>
      </c>
      <c r="BL121" s="230">
        <v>4053875</v>
      </c>
      <c r="BM121" s="230">
        <v>5144125</v>
      </c>
      <c r="BN121" s="230">
        <v>-1090250</v>
      </c>
      <c r="BO121" s="229">
        <v>-0.21190000000000001</v>
      </c>
      <c r="BP121" s="230">
        <v>20199725</v>
      </c>
      <c r="BQ121" s="230">
        <v>22292900</v>
      </c>
      <c r="BR121" s="230">
        <v>-2093175</v>
      </c>
      <c r="BS121" s="229">
        <v>-9.3899999999999997E-2</v>
      </c>
      <c r="BT121" s="230">
        <v>1108353</v>
      </c>
      <c r="BU121" s="230">
        <v>1171793</v>
      </c>
      <c r="BV121" s="230">
        <v>-63440</v>
      </c>
      <c r="BW121" s="229">
        <v>-5.4100000000000002E-2</v>
      </c>
      <c r="BX121" s="230">
        <v>17687950</v>
      </c>
      <c r="BY121" s="230">
        <v>17047625</v>
      </c>
      <c r="BZ121" s="230">
        <v>640325</v>
      </c>
      <c r="CA121" s="229">
        <v>3.7600000000000001E-2</v>
      </c>
      <c r="CB121" s="230">
        <v>5274675</v>
      </c>
      <c r="CC121" s="230">
        <v>8552775</v>
      </c>
      <c r="CD121" s="230">
        <v>-3278100</v>
      </c>
      <c r="CE121" s="229">
        <v>-0.38329999999999997</v>
      </c>
      <c r="CF121" s="230">
        <v>11974550</v>
      </c>
      <c r="CG121" s="230">
        <v>8065400</v>
      </c>
      <c r="CH121" s="230">
        <v>3909150</v>
      </c>
      <c r="CI121" s="229">
        <v>0.48470000000000002</v>
      </c>
      <c r="CJ121" s="230">
        <v>438725</v>
      </c>
      <c r="CK121" s="230">
        <v>429450</v>
      </c>
      <c r="CL121" s="230">
        <v>9275</v>
      </c>
      <c r="CM121" s="229">
        <v>2.1600000000000001E-2</v>
      </c>
      <c r="CN121" s="230">
        <v>8454950</v>
      </c>
      <c r="CO121" s="230">
        <v>8666875</v>
      </c>
      <c r="CP121" s="230">
        <v>-211925</v>
      </c>
      <c r="CQ121" s="229">
        <v>-2.4500000000000001E-2</v>
      </c>
      <c r="CR121" s="230">
        <v>5495875</v>
      </c>
      <c r="CS121" s="230">
        <v>5598950</v>
      </c>
      <c r="CT121" s="230">
        <v>-103075</v>
      </c>
      <c r="CU121" s="229">
        <v>-1.84E-2</v>
      </c>
      <c r="CV121" s="230">
        <v>31638775</v>
      </c>
      <c r="CW121" s="230">
        <v>31313450</v>
      </c>
      <c r="CX121" s="230">
        <v>325325</v>
      </c>
      <c r="CY121" s="229">
        <v>1.04E-2</v>
      </c>
      <c r="CZ121" s="228">
        <v>23.07</v>
      </c>
      <c r="DA121" s="228">
        <v>21.79</v>
      </c>
      <c r="DB121" s="228">
        <v>1.28</v>
      </c>
      <c r="DC121" s="228">
        <v>1.28</v>
      </c>
      <c r="DD121" s="228">
        <v>27.66</v>
      </c>
      <c r="DE121" s="228">
        <v>27.73</v>
      </c>
      <c r="DF121" s="228">
        <v>-4.59</v>
      </c>
      <c r="DG121" s="228">
        <v>-7.0000000000000007E-2</v>
      </c>
      <c r="DH121" s="228">
        <v>23.23</v>
      </c>
      <c r="DI121" s="228">
        <v>21.98</v>
      </c>
      <c r="DJ121" s="228">
        <v>1.25</v>
      </c>
      <c r="DK121" s="228">
        <v>1.25</v>
      </c>
      <c r="DL121" s="228">
        <v>22.65</v>
      </c>
      <c r="DM121" s="228">
        <v>21.36</v>
      </c>
      <c r="DN121" s="228">
        <v>1.29</v>
      </c>
      <c r="DO121" s="228">
        <v>1.29</v>
      </c>
      <c r="DP121" s="228">
        <v>0.65</v>
      </c>
      <c r="DQ121" s="228">
        <v>0.65</v>
      </c>
      <c r="DR121" s="228">
        <v>0</v>
      </c>
      <c r="DS121" s="229">
        <v>0</v>
      </c>
      <c r="DT121" s="231">
        <v>3800</v>
      </c>
      <c r="DU121" s="231">
        <v>3800</v>
      </c>
      <c r="DV121" s="228">
        <v>0.61</v>
      </c>
      <c r="DW121" s="228">
        <v>0.67</v>
      </c>
      <c r="DX121" s="228">
        <v>-0.06</v>
      </c>
      <c r="DY121" s="229">
        <v>-8.9599999999999999E-2</v>
      </c>
      <c r="DZ121" s="229">
        <v>0.70179999999999998</v>
      </c>
      <c r="EA121" s="230">
        <v>8494850</v>
      </c>
      <c r="EB121" s="229">
        <v>6.1000000000000004E-3</v>
      </c>
      <c r="EC121" s="229">
        <v>0.70179999999999998</v>
      </c>
      <c r="ED121" s="228">
        <v>23.06</v>
      </c>
      <c r="EE121" s="229">
        <v>5.8999999999999999E-3</v>
      </c>
      <c r="EF121" s="230">
        <v>645851</v>
      </c>
      <c r="EG121" s="230">
        <v>537642</v>
      </c>
      <c r="EH121" s="229">
        <v>0.20130000000000001</v>
      </c>
      <c r="EI121" s="229">
        <v>0.5827</v>
      </c>
      <c r="EJ121" s="231">
        <v>266423.71999999997</v>
      </c>
      <c r="EK121" s="231">
        <v>157054.1</v>
      </c>
      <c r="EL121" s="231">
        <v>376359.13</v>
      </c>
      <c r="EM121" s="231">
        <v>32200</v>
      </c>
      <c r="EN121" s="231">
        <v>799836.95</v>
      </c>
      <c r="EO121" s="231">
        <v>879537</v>
      </c>
      <c r="EP121" s="231">
        <v>-79700.05</v>
      </c>
      <c r="EQ121" s="229">
        <v>-9.06E-2</v>
      </c>
      <c r="ER121" s="231">
        <v>330977</v>
      </c>
      <c r="ES121" s="231">
        <v>206922</v>
      </c>
      <c r="ET121" s="231">
        <v>697655</v>
      </c>
      <c r="EU121" s="231">
        <v>136007303</v>
      </c>
      <c r="EV121" s="231">
        <v>1235554</v>
      </c>
      <c r="EW121" s="231">
        <v>1217804</v>
      </c>
      <c r="EX121" s="231">
        <v>17750</v>
      </c>
      <c r="EY121" s="229">
        <v>1.46E-2</v>
      </c>
      <c r="EZ121" s="229">
        <v>0.2326</v>
      </c>
      <c r="FA121" s="227" t="s">
        <v>555</v>
      </c>
      <c r="FB121" s="161">
        <f t="shared" si="1"/>
        <v>12413275</v>
      </c>
    </row>
    <row r="122" spans="1:158" ht="17.25" hidden="1" thickBot="1" x14ac:dyDescent="0.3">
      <c r="A122" s="226">
        <v>45957</v>
      </c>
      <c r="B122" s="227" t="s">
        <v>175</v>
      </c>
      <c r="C122" s="227" t="s">
        <v>565</v>
      </c>
      <c r="D122" s="228">
        <v>4462</v>
      </c>
      <c r="E122" s="228">
        <v>267.45999999999998</v>
      </c>
      <c r="F122" s="228">
        <v>267.43</v>
      </c>
      <c r="G122" s="228">
        <v>0.03</v>
      </c>
      <c r="H122" s="229">
        <v>1E-4</v>
      </c>
      <c r="I122" s="228">
        <v>267.14999999999998</v>
      </c>
      <c r="J122" s="228">
        <v>267</v>
      </c>
      <c r="K122" s="228">
        <v>0.15</v>
      </c>
      <c r="L122" s="229">
        <v>5.9999999999999995E-4</v>
      </c>
      <c r="M122" s="228">
        <v>267.45999999999998</v>
      </c>
      <c r="N122" s="228">
        <v>267.43</v>
      </c>
      <c r="O122" s="228">
        <v>0.03</v>
      </c>
      <c r="P122" s="229">
        <v>1E-4</v>
      </c>
      <c r="Q122" s="228">
        <v>268.98</v>
      </c>
      <c r="R122" s="228">
        <v>268.92</v>
      </c>
      <c r="S122" s="228">
        <v>0.06</v>
      </c>
      <c r="T122" s="229">
        <v>2.0000000000000001E-4</v>
      </c>
      <c r="U122" s="228">
        <v>269.89</v>
      </c>
      <c r="V122" s="228">
        <v>269.75</v>
      </c>
      <c r="W122" s="228">
        <v>0.14000000000000001</v>
      </c>
      <c r="X122" s="229">
        <v>5.0000000000000001E-4</v>
      </c>
      <c r="Y122" s="228">
        <v>0.31</v>
      </c>
      <c r="Z122" s="228">
        <v>0.43</v>
      </c>
      <c r="AA122" s="228">
        <v>-0.12</v>
      </c>
      <c r="AB122" s="229">
        <v>1.1999999999999999E-3</v>
      </c>
      <c r="AC122" s="228">
        <v>0.31</v>
      </c>
      <c r="AD122" s="228">
        <v>0.43</v>
      </c>
      <c r="AE122" s="228">
        <v>-0.12</v>
      </c>
      <c r="AF122" s="229">
        <v>1.1999999999999999E-3</v>
      </c>
      <c r="AG122" s="228">
        <v>1.83</v>
      </c>
      <c r="AH122" s="228">
        <v>1.92</v>
      </c>
      <c r="AI122" s="228">
        <v>-0.09</v>
      </c>
      <c r="AJ122" s="229">
        <v>6.8999999999999999E-3</v>
      </c>
      <c r="AK122" s="228">
        <v>2.74</v>
      </c>
      <c r="AL122" s="228">
        <v>2.75</v>
      </c>
      <c r="AM122" s="228">
        <v>-0.01</v>
      </c>
      <c r="AN122" s="229">
        <v>1.03E-2</v>
      </c>
      <c r="AO122" s="228">
        <v>266.94</v>
      </c>
      <c r="AP122" s="228">
        <v>268.45</v>
      </c>
      <c r="AQ122" s="228">
        <v>0</v>
      </c>
      <c r="AR122" s="230">
        <v>38507060</v>
      </c>
      <c r="AS122" s="230">
        <v>64011852</v>
      </c>
      <c r="AT122" s="230">
        <v>-25504792</v>
      </c>
      <c r="AU122" s="229">
        <v>-0.39839999999999998</v>
      </c>
      <c r="AV122" s="230">
        <v>15889182</v>
      </c>
      <c r="AW122" s="230">
        <v>30859192</v>
      </c>
      <c r="AX122" s="230">
        <v>-14970010</v>
      </c>
      <c r="AY122" s="229">
        <v>-0.48509999999999998</v>
      </c>
      <c r="AZ122" s="230">
        <v>22185064</v>
      </c>
      <c r="BA122" s="230">
        <v>32996490</v>
      </c>
      <c r="BB122" s="230">
        <v>-10811426</v>
      </c>
      <c r="BC122" s="229">
        <v>-0.32769999999999999</v>
      </c>
      <c r="BD122" s="230">
        <v>432814</v>
      </c>
      <c r="BE122" s="230">
        <v>156170</v>
      </c>
      <c r="BF122" s="230">
        <v>276644</v>
      </c>
      <c r="BG122" s="229">
        <v>1.7714000000000001</v>
      </c>
      <c r="BH122" s="230">
        <v>30529004</v>
      </c>
      <c r="BI122" s="230">
        <v>28083828</v>
      </c>
      <c r="BJ122" s="230">
        <v>2445176</v>
      </c>
      <c r="BK122" s="229">
        <v>8.7099999999999997E-2</v>
      </c>
      <c r="BL122" s="230">
        <v>24429450</v>
      </c>
      <c r="BM122" s="230">
        <v>14894156</v>
      </c>
      <c r="BN122" s="230">
        <v>9535294</v>
      </c>
      <c r="BO122" s="229">
        <v>0.64019999999999999</v>
      </c>
      <c r="BP122" s="230">
        <v>93465514</v>
      </c>
      <c r="BQ122" s="230">
        <v>106989836</v>
      </c>
      <c r="BR122" s="230">
        <v>-13524322</v>
      </c>
      <c r="BS122" s="229">
        <v>-0.12640000000000001</v>
      </c>
      <c r="BT122" s="230">
        <v>9137787</v>
      </c>
      <c r="BU122" s="230">
        <v>4294947</v>
      </c>
      <c r="BV122" s="230">
        <v>4842840</v>
      </c>
      <c r="BW122" s="229">
        <v>1.1275999999999999</v>
      </c>
      <c r="BX122" s="230">
        <v>48194062</v>
      </c>
      <c r="BY122" s="230">
        <v>49300638</v>
      </c>
      <c r="BZ122" s="230">
        <v>-1106576</v>
      </c>
      <c r="CA122" s="229">
        <v>-2.24E-2</v>
      </c>
      <c r="CB122" s="230">
        <v>6304806</v>
      </c>
      <c r="CC122" s="230">
        <v>15733012</v>
      </c>
      <c r="CD122" s="230">
        <v>-9428206</v>
      </c>
      <c r="CE122" s="229">
        <v>-0.59930000000000005</v>
      </c>
      <c r="CF122" s="230">
        <v>41322582</v>
      </c>
      <c r="CG122" s="230">
        <v>33023262</v>
      </c>
      <c r="CH122" s="230">
        <v>8299320</v>
      </c>
      <c r="CI122" s="229">
        <v>0.25130000000000002</v>
      </c>
      <c r="CJ122" s="230">
        <v>566674</v>
      </c>
      <c r="CK122" s="230">
        <v>544364</v>
      </c>
      <c r="CL122" s="230">
        <v>22310</v>
      </c>
      <c r="CM122" s="229">
        <v>4.1000000000000002E-2</v>
      </c>
      <c r="CN122" s="230">
        <v>29337650</v>
      </c>
      <c r="CO122" s="230">
        <v>30671788</v>
      </c>
      <c r="CP122" s="230">
        <v>-1334138</v>
      </c>
      <c r="CQ122" s="229">
        <v>-4.3499999999999997E-2</v>
      </c>
      <c r="CR122" s="230">
        <v>27352060</v>
      </c>
      <c r="CS122" s="230">
        <v>27954430</v>
      </c>
      <c r="CT122" s="230">
        <v>-602370</v>
      </c>
      <c r="CU122" s="229">
        <v>-2.1499999999999998E-2</v>
      </c>
      <c r="CV122" s="230">
        <v>104883772</v>
      </c>
      <c r="CW122" s="230">
        <v>107926856</v>
      </c>
      <c r="CX122" s="230">
        <v>-3043084</v>
      </c>
      <c r="CY122" s="229">
        <v>-2.8199999999999999E-2</v>
      </c>
      <c r="CZ122" s="228">
        <v>28.29</v>
      </c>
      <c r="DA122" s="228">
        <v>27.52</v>
      </c>
      <c r="DB122" s="228">
        <v>0.77</v>
      </c>
      <c r="DC122" s="228">
        <v>0.77</v>
      </c>
      <c r="DD122" s="228">
        <v>38.35</v>
      </c>
      <c r="DE122" s="228">
        <v>38.44</v>
      </c>
      <c r="DF122" s="228">
        <v>-10.06</v>
      </c>
      <c r="DG122" s="228">
        <v>-0.09</v>
      </c>
      <c r="DH122" s="228">
        <v>27.76</v>
      </c>
      <c r="DI122" s="228">
        <v>27.43</v>
      </c>
      <c r="DJ122" s="228">
        <v>0.33</v>
      </c>
      <c r="DK122" s="228">
        <v>0.33</v>
      </c>
      <c r="DL122" s="228">
        <v>28.86</v>
      </c>
      <c r="DM122" s="228">
        <v>27.64</v>
      </c>
      <c r="DN122" s="228">
        <v>1.22</v>
      </c>
      <c r="DO122" s="228">
        <v>1.22</v>
      </c>
      <c r="DP122" s="228">
        <v>0.93</v>
      </c>
      <c r="DQ122" s="228">
        <v>0.91</v>
      </c>
      <c r="DR122" s="228">
        <v>0.02</v>
      </c>
      <c r="DS122" s="229">
        <v>2.1999999999999999E-2</v>
      </c>
      <c r="DT122" s="228">
        <v>280</v>
      </c>
      <c r="DU122" s="228">
        <v>250</v>
      </c>
      <c r="DV122" s="228">
        <v>0.8</v>
      </c>
      <c r="DW122" s="228">
        <v>0.53</v>
      </c>
      <c r="DX122" s="228">
        <v>0.27</v>
      </c>
      <c r="DY122" s="229">
        <v>0.50939999999999996</v>
      </c>
      <c r="DZ122" s="229">
        <v>0.86919999999999997</v>
      </c>
      <c r="EA122" s="230">
        <v>33567626</v>
      </c>
      <c r="EB122" s="229">
        <v>5.7000000000000002E-3</v>
      </c>
      <c r="EC122" s="229">
        <v>0.86919999999999997</v>
      </c>
      <c r="ED122" s="228">
        <v>1.51</v>
      </c>
      <c r="EE122" s="229">
        <v>5.7000000000000002E-3</v>
      </c>
      <c r="EF122" s="230">
        <v>5208125</v>
      </c>
      <c r="EG122" s="230">
        <v>2450793</v>
      </c>
      <c r="EH122" s="229">
        <v>1.1251</v>
      </c>
      <c r="EI122" s="229">
        <v>0.56999999999999995</v>
      </c>
      <c r="EJ122" s="231">
        <v>83615.88</v>
      </c>
      <c r="EK122" s="231">
        <v>63421.46</v>
      </c>
      <c r="EL122" s="231">
        <v>103135.28</v>
      </c>
      <c r="EM122" s="231">
        <v>5912</v>
      </c>
      <c r="EN122" s="231">
        <v>250172.62</v>
      </c>
      <c r="EO122" s="231">
        <v>288151.07</v>
      </c>
      <c r="EP122" s="231">
        <v>-37978.449999999997</v>
      </c>
      <c r="EQ122" s="229">
        <v>-0.1318</v>
      </c>
      <c r="ER122" s="231">
        <v>79842</v>
      </c>
      <c r="ES122" s="231">
        <v>68007</v>
      </c>
      <c r="ET122" s="231">
        <v>129542</v>
      </c>
      <c r="EU122" s="231">
        <v>126777205</v>
      </c>
      <c r="EV122" s="231">
        <v>277391</v>
      </c>
      <c r="EW122" s="231">
        <v>285400</v>
      </c>
      <c r="EX122" s="231">
        <v>-8009</v>
      </c>
      <c r="EY122" s="229">
        <v>-2.81E-2</v>
      </c>
      <c r="EZ122" s="229">
        <v>0.82730000000000004</v>
      </c>
      <c r="FA122" s="227" t="s">
        <v>556</v>
      </c>
      <c r="FB122" s="161">
        <f t="shared" si="1"/>
        <v>41889256</v>
      </c>
    </row>
    <row r="123" spans="1:158" ht="17.25" hidden="1" thickBot="1" x14ac:dyDescent="0.3">
      <c r="A123" s="226">
        <v>45957</v>
      </c>
      <c r="B123" s="227" t="s">
        <v>221</v>
      </c>
      <c r="C123" s="227" t="s">
        <v>561</v>
      </c>
      <c r="D123" s="228">
        <v>150</v>
      </c>
      <c r="E123" s="231">
        <v>5639.5</v>
      </c>
      <c r="F123" s="231">
        <v>5547.5</v>
      </c>
      <c r="G123" s="228">
        <v>92</v>
      </c>
      <c r="H123" s="229">
        <v>1.66E-2</v>
      </c>
      <c r="I123" s="231">
        <v>5640</v>
      </c>
      <c r="J123" s="231">
        <v>5546</v>
      </c>
      <c r="K123" s="228">
        <v>94</v>
      </c>
      <c r="L123" s="229">
        <v>1.6899999999999998E-2</v>
      </c>
      <c r="M123" s="231">
        <v>5639.5</v>
      </c>
      <c r="N123" s="231">
        <v>5547.5</v>
      </c>
      <c r="O123" s="228">
        <v>92</v>
      </c>
      <c r="P123" s="229">
        <v>1.66E-2</v>
      </c>
      <c r="Q123" s="231">
        <v>5668.5</v>
      </c>
      <c r="R123" s="231">
        <v>5549.5</v>
      </c>
      <c r="S123" s="228">
        <v>119</v>
      </c>
      <c r="T123" s="229">
        <v>2.1399999999999999E-2</v>
      </c>
      <c r="U123" s="231">
        <v>5664.5</v>
      </c>
      <c r="V123" s="231">
        <v>5539</v>
      </c>
      <c r="W123" s="228">
        <v>125.5</v>
      </c>
      <c r="X123" s="229">
        <v>2.2700000000000001E-2</v>
      </c>
      <c r="Y123" s="228">
        <v>-0.5</v>
      </c>
      <c r="Z123" s="228">
        <v>1.5</v>
      </c>
      <c r="AA123" s="228">
        <v>-2</v>
      </c>
      <c r="AB123" s="229">
        <v>-1E-4</v>
      </c>
      <c r="AC123" s="228">
        <v>-0.5</v>
      </c>
      <c r="AD123" s="228">
        <v>1.5</v>
      </c>
      <c r="AE123" s="228">
        <v>-2</v>
      </c>
      <c r="AF123" s="229">
        <v>-1E-4</v>
      </c>
      <c r="AG123" s="228">
        <v>28.5</v>
      </c>
      <c r="AH123" s="228">
        <v>3.5</v>
      </c>
      <c r="AI123" s="228">
        <v>25</v>
      </c>
      <c r="AJ123" s="229">
        <v>5.1000000000000004E-3</v>
      </c>
      <c r="AK123" s="228">
        <v>24.5</v>
      </c>
      <c r="AL123" s="228">
        <v>-7</v>
      </c>
      <c r="AM123" s="228">
        <v>31.5</v>
      </c>
      <c r="AN123" s="229">
        <v>4.3E-3</v>
      </c>
      <c r="AO123" s="231">
        <v>5626.48</v>
      </c>
      <c r="AP123" s="231">
        <v>5644.8</v>
      </c>
      <c r="AQ123" s="228">
        <v>0</v>
      </c>
      <c r="AR123" s="230">
        <v>1692150</v>
      </c>
      <c r="AS123" s="230">
        <v>2731200</v>
      </c>
      <c r="AT123" s="230">
        <v>-1039050</v>
      </c>
      <c r="AU123" s="229">
        <v>-0.38040000000000002</v>
      </c>
      <c r="AV123" s="230">
        <v>805650</v>
      </c>
      <c r="AW123" s="230">
        <v>1387200</v>
      </c>
      <c r="AX123" s="230">
        <v>-581550</v>
      </c>
      <c r="AY123" s="229">
        <v>-0.41920000000000002</v>
      </c>
      <c r="AZ123" s="230">
        <v>874350</v>
      </c>
      <c r="BA123" s="230">
        <v>1339350</v>
      </c>
      <c r="BB123" s="230">
        <v>-465000</v>
      </c>
      <c r="BC123" s="229">
        <v>-0.34720000000000001</v>
      </c>
      <c r="BD123" s="230">
        <v>12150</v>
      </c>
      <c r="BE123" s="230">
        <v>4650</v>
      </c>
      <c r="BF123" s="230">
        <v>7500</v>
      </c>
      <c r="BG123" s="229">
        <v>1.6129</v>
      </c>
      <c r="BH123" s="230">
        <v>2247750</v>
      </c>
      <c r="BI123" s="230">
        <v>3234750</v>
      </c>
      <c r="BJ123" s="230">
        <v>-987000</v>
      </c>
      <c r="BK123" s="229">
        <v>-0.30509999999999998</v>
      </c>
      <c r="BL123" s="230">
        <v>1445850</v>
      </c>
      <c r="BM123" s="230">
        <v>1746600</v>
      </c>
      <c r="BN123" s="230">
        <v>-300750</v>
      </c>
      <c r="BO123" s="229">
        <v>-0.17219999999999999</v>
      </c>
      <c r="BP123" s="230">
        <v>5385750</v>
      </c>
      <c r="BQ123" s="230">
        <v>7712550</v>
      </c>
      <c r="BR123" s="230">
        <v>-2326800</v>
      </c>
      <c r="BS123" s="229">
        <v>-0.30170000000000002</v>
      </c>
      <c r="BT123" s="230">
        <v>165061</v>
      </c>
      <c r="BU123" s="230">
        <v>188831</v>
      </c>
      <c r="BV123" s="230">
        <v>-23770</v>
      </c>
      <c r="BW123" s="229">
        <v>-0.12590000000000001</v>
      </c>
      <c r="BX123" s="230">
        <v>2605800</v>
      </c>
      <c r="BY123" s="230">
        <v>2919300</v>
      </c>
      <c r="BZ123" s="230">
        <v>-313500</v>
      </c>
      <c r="CA123" s="229">
        <v>-0.1074</v>
      </c>
      <c r="CB123" s="230">
        <v>620400</v>
      </c>
      <c r="CC123" s="230">
        <v>1154250</v>
      </c>
      <c r="CD123" s="230">
        <v>-533850</v>
      </c>
      <c r="CE123" s="229">
        <v>-0.46250000000000002</v>
      </c>
      <c r="CF123" s="230">
        <v>1968900</v>
      </c>
      <c r="CG123" s="230">
        <v>1749300</v>
      </c>
      <c r="CH123" s="230">
        <v>219600</v>
      </c>
      <c r="CI123" s="229">
        <v>0.1255</v>
      </c>
      <c r="CJ123" s="230">
        <v>16500</v>
      </c>
      <c r="CK123" s="230">
        <v>15750</v>
      </c>
      <c r="CL123" s="228">
        <v>750</v>
      </c>
      <c r="CM123" s="229">
        <v>4.7600000000000003E-2</v>
      </c>
      <c r="CN123" s="230">
        <v>1411050</v>
      </c>
      <c r="CO123" s="230">
        <v>1733100</v>
      </c>
      <c r="CP123" s="230">
        <v>-322050</v>
      </c>
      <c r="CQ123" s="229">
        <v>-0.18579999999999999</v>
      </c>
      <c r="CR123" s="230">
        <v>1007700</v>
      </c>
      <c r="CS123" s="230">
        <v>1018500</v>
      </c>
      <c r="CT123" s="230">
        <v>-10800</v>
      </c>
      <c r="CU123" s="229">
        <v>-1.06E-2</v>
      </c>
      <c r="CV123" s="230">
        <v>5024550</v>
      </c>
      <c r="CW123" s="230">
        <v>5670900</v>
      </c>
      <c r="CX123" s="230">
        <v>-646350</v>
      </c>
      <c r="CY123" s="229">
        <v>-0.114</v>
      </c>
      <c r="CZ123" s="228">
        <v>28.11</v>
      </c>
      <c r="DA123" s="228">
        <v>26.31</v>
      </c>
      <c r="DB123" s="228">
        <v>1.8</v>
      </c>
      <c r="DC123" s="228">
        <v>1.8</v>
      </c>
      <c r="DD123" s="228">
        <v>33.54</v>
      </c>
      <c r="DE123" s="228">
        <v>33.549999999999997</v>
      </c>
      <c r="DF123" s="228">
        <v>-5.43</v>
      </c>
      <c r="DG123" s="228">
        <v>-0.01</v>
      </c>
      <c r="DH123" s="228">
        <v>26.66</v>
      </c>
      <c r="DI123" s="228">
        <v>25.85</v>
      </c>
      <c r="DJ123" s="228">
        <v>0.81</v>
      </c>
      <c r="DK123" s="228">
        <v>0.81</v>
      </c>
      <c r="DL123" s="228">
        <v>30.25</v>
      </c>
      <c r="DM123" s="228">
        <v>27.26</v>
      </c>
      <c r="DN123" s="228">
        <v>2.99</v>
      </c>
      <c r="DO123" s="228">
        <v>2.99</v>
      </c>
      <c r="DP123" s="228">
        <v>0.71</v>
      </c>
      <c r="DQ123" s="228">
        <v>0.59</v>
      </c>
      <c r="DR123" s="228">
        <v>0.12</v>
      </c>
      <c r="DS123" s="229">
        <v>0.2034</v>
      </c>
      <c r="DT123" s="231">
        <v>5700</v>
      </c>
      <c r="DU123" s="231">
        <v>5000</v>
      </c>
      <c r="DV123" s="228">
        <v>0.64</v>
      </c>
      <c r="DW123" s="228">
        <v>0.54</v>
      </c>
      <c r="DX123" s="228">
        <v>0.1</v>
      </c>
      <c r="DY123" s="229">
        <v>0.1852</v>
      </c>
      <c r="DZ123" s="229">
        <v>0.76190000000000002</v>
      </c>
      <c r="EA123" s="230">
        <v>1765050</v>
      </c>
      <c r="EB123" s="229">
        <v>5.1000000000000004E-3</v>
      </c>
      <c r="EC123" s="229">
        <v>0.76190000000000002</v>
      </c>
      <c r="ED123" s="228">
        <v>18.32</v>
      </c>
      <c r="EE123" s="229">
        <v>3.3E-3</v>
      </c>
      <c r="EF123" s="230">
        <v>78275</v>
      </c>
      <c r="EG123" s="230">
        <v>97419</v>
      </c>
      <c r="EH123" s="229">
        <v>-0.19650000000000001</v>
      </c>
      <c r="EI123" s="229">
        <v>0.47420000000000001</v>
      </c>
      <c r="EJ123" s="231">
        <v>130064.92</v>
      </c>
      <c r="EK123" s="231">
        <v>77678.05</v>
      </c>
      <c r="EL123" s="231">
        <v>95369.91</v>
      </c>
      <c r="EM123" s="231">
        <v>10527</v>
      </c>
      <c r="EN123" s="231">
        <v>303112.88</v>
      </c>
      <c r="EO123" s="231">
        <v>435704.8</v>
      </c>
      <c r="EP123" s="231">
        <v>-132591.92000000001</v>
      </c>
      <c r="EQ123" s="229">
        <v>-0.30430000000000001</v>
      </c>
      <c r="ER123" s="231">
        <v>81564</v>
      </c>
      <c r="ES123" s="231">
        <v>52874</v>
      </c>
      <c r="ET123" s="231">
        <v>147529</v>
      </c>
      <c r="EU123" s="231">
        <v>9315942</v>
      </c>
      <c r="EV123" s="231">
        <v>281967</v>
      </c>
      <c r="EW123" s="231">
        <v>315290</v>
      </c>
      <c r="EX123" s="231">
        <v>-33323</v>
      </c>
      <c r="EY123" s="229">
        <v>-0.1057</v>
      </c>
      <c r="EZ123" s="229">
        <v>0.5393</v>
      </c>
      <c r="FA123" s="227" t="s">
        <v>556</v>
      </c>
      <c r="FB123" s="161">
        <f t="shared" si="1"/>
        <v>1985400</v>
      </c>
    </row>
    <row r="124" spans="1:158" ht="17.25" hidden="1" thickBot="1" x14ac:dyDescent="0.3">
      <c r="A124" s="226">
        <v>45957</v>
      </c>
      <c r="B124" s="227" t="s">
        <v>170</v>
      </c>
      <c r="C124" s="227" t="s">
        <v>250</v>
      </c>
      <c r="D124" s="228">
        <v>425</v>
      </c>
      <c r="E124" s="231">
        <v>1924.7</v>
      </c>
      <c r="F124" s="231">
        <v>1930.7</v>
      </c>
      <c r="G124" s="228">
        <v>-6</v>
      </c>
      <c r="H124" s="229">
        <v>-3.0999999999999999E-3</v>
      </c>
      <c r="I124" s="231">
        <v>1922.9</v>
      </c>
      <c r="J124" s="231">
        <v>1931.2</v>
      </c>
      <c r="K124" s="228">
        <v>-8.3000000000000007</v>
      </c>
      <c r="L124" s="229">
        <v>-4.3E-3</v>
      </c>
      <c r="M124" s="231">
        <v>1924.7</v>
      </c>
      <c r="N124" s="231">
        <v>1930.7</v>
      </c>
      <c r="O124" s="228">
        <v>-6</v>
      </c>
      <c r="P124" s="229">
        <v>-3.0999999999999999E-3</v>
      </c>
      <c r="Q124" s="231">
        <v>1935</v>
      </c>
      <c r="R124" s="231">
        <v>1941.2</v>
      </c>
      <c r="S124" s="228">
        <v>-6.2</v>
      </c>
      <c r="T124" s="229">
        <v>-3.2000000000000002E-3</v>
      </c>
      <c r="U124" s="231">
        <v>1948.9</v>
      </c>
      <c r="V124" s="231">
        <v>1953.6</v>
      </c>
      <c r="W124" s="228">
        <v>-4.7</v>
      </c>
      <c r="X124" s="229">
        <v>-2.3999999999999998E-3</v>
      </c>
      <c r="Y124" s="228">
        <v>1.8</v>
      </c>
      <c r="Z124" s="228">
        <v>-0.5</v>
      </c>
      <c r="AA124" s="228">
        <v>2.2999999999999998</v>
      </c>
      <c r="AB124" s="229">
        <v>8.9999999999999998E-4</v>
      </c>
      <c r="AC124" s="228">
        <v>1.8</v>
      </c>
      <c r="AD124" s="228">
        <v>-0.5</v>
      </c>
      <c r="AE124" s="228">
        <v>2.2999999999999998</v>
      </c>
      <c r="AF124" s="229">
        <v>8.9999999999999998E-4</v>
      </c>
      <c r="AG124" s="228">
        <v>12.1</v>
      </c>
      <c r="AH124" s="228">
        <v>10</v>
      </c>
      <c r="AI124" s="228">
        <v>2.1</v>
      </c>
      <c r="AJ124" s="229">
        <v>6.3E-3</v>
      </c>
      <c r="AK124" s="228">
        <v>26</v>
      </c>
      <c r="AL124" s="228">
        <v>22.4</v>
      </c>
      <c r="AM124" s="228">
        <v>3.6</v>
      </c>
      <c r="AN124" s="229">
        <v>1.35E-2</v>
      </c>
      <c r="AO124" s="231">
        <v>1926.46</v>
      </c>
      <c r="AP124" s="231">
        <v>1937.29</v>
      </c>
      <c r="AQ124" s="228">
        <v>0</v>
      </c>
      <c r="AR124" s="230">
        <v>5562825</v>
      </c>
      <c r="AS124" s="230">
        <v>10987950</v>
      </c>
      <c r="AT124" s="230">
        <v>-5425125</v>
      </c>
      <c r="AU124" s="229">
        <v>-0.49370000000000003</v>
      </c>
      <c r="AV124" s="230">
        <v>2769725</v>
      </c>
      <c r="AW124" s="230">
        <v>5559000</v>
      </c>
      <c r="AX124" s="230">
        <v>-2789275</v>
      </c>
      <c r="AY124" s="229">
        <v>-0.50180000000000002</v>
      </c>
      <c r="AZ124" s="230">
        <v>2768450</v>
      </c>
      <c r="BA124" s="230">
        <v>5414925</v>
      </c>
      <c r="BB124" s="230">
        <v>-2646475</v>
      </c>
      <c r="BC124" s="229">
        <v>-0.48870000000000002</v>
      </c>
      <c r="BD124" s="230">
        <v>24650</v>
      </c>
      <c r="BE124" s="230">
        <v>14025</v>
      </c>
      <c r="BF124" s="230">
        <v>10625</v>
      </c>
      <c r="BG124" s="229">
        <v>0.75760000000000005</v>
      </c>
      <c r="BH124" s="230">
        <v>3419975</v>
      </c>
      <c r="BI124" s="230">
        <v>3706000</v>
      </c>
      <c r="BJ124" s="230">
        <v>-286025</v>
      </c>
      <c r="BK124" s="229">
        <v>-7.7200000000000005E-2</v>
      </c>
      <c r="BL124" s="230">
        <v>1862775</v>
      </c>
      <c r="BM124" s="230">
        <v>1639225</v>
      </c>
      <c r="BN124" s="230">
        <v>223550</v>
      </c>
      <c r="BO124" s="229">
        <v>0.13639999999999999</v>
      </c>
      <c r="BP124" s="230">
        <v>10845575</v>
      </c>
      <c r="BQ124" s="230">
        <v>16333175</v>
      </c>
      <c r="BR124" s="230">
        <v>-5487600</v>
      </c>
      <c r="BS124" s="229">
        <v>-0.33600000000000002</v>
      </c>
      <c r="BT124" s="230">
        <v>252122</v>
      </c>
      <c r="BU124" s="230">
        <v>473806</v>
      </c>
      <c r="BV124" s="230">
        <v>-221684</v>
      </c>
      <c r="BW124" s="229">
        <v>-0.46789999999999998</v>
      </c>
      <c r="BX124" s="230">
        <v>11883000</v>
      </c>
      <c r="BY124" s="230">
        <v>11637350</v>
      </c>
      <c r="BZ124" s="230">
        <v>245650</v>
      </c>
      <c r="CA124" s="229">
        <v>2.1100000000000001E-2</v>
      </c>
      <c r="CB124" s="230">
        <v>2819025</v>
      </c>
      <c r="CC124" s="230">
        <v>4772325</v>
      </c>
      <c r="CD124" s="230">
        <v>-1953300</v>
      </c>
      <c r="CE124" s="229">
        <v>-0.4093</v>
      </c>
      <c r="CF124" s="230">
        <v>8999800</v>
      </c>
      <c r="CG124" s="230">
        <v>6820400</v>
      </c>
      <c r="CH124" s="230">
        <v>2179400</v>
      </c>
      <c r="CI124" s="229">
        <v>0.31950000000000001</v>
      </c>
      <c r="CJ124" s="230">
        <v>64175</v>
      </c>
      <c r="CK124" s="230">
        <v>44625</v>
      </c>
      <c r="CL124" s="230">
        <v>19550</v>
      </c>
      <c r="CM124" s="229">
        <v>0.43809999999999999</v>
      </c>
      <c r="CN124" s="230">
        <v>3410625</v>
      </c>
      <c r="CO124" s="230">
        <v>3711100</v>
      </c>
      <c r="CP124" s="230">
        <v>-300475</v>
      </c>
      <c r="CQ124" s="229">
        <v>-8.1000000000000003E-2</v>
      </c>
      <c r="CR124" s="230">
        <v>2127550</v>
      </c>
      <c r="CS124" s="230">
        <v>2249525</v>
      </c>
      <c r="CT124" s="230">
        <v>-121975</v>
      </c>
      <c r="CU124" s="229">
        <v>-5.4199999999999998E-2</v>
      </c>
      <c r="CV124" s="230">
        <v>17421175</v>
      </c>
      <c r="CW124" s="230">
        <v>17597975</v>
      </c>
      <c r="CX124" s="230">
        <v>-176800</v>
      </c>
      <c r="CY124" s="229">
        <v>-0.01</v>
      </c>
      <c r="CZ124" s="228">
        <v>26.79</v>
      </c>
      <c r="DA124" s="228">
        <v>26.66</v>
      </c>
      <c r="DB124" s="228">
        <v>0.13</v>
      </c>
      <c r="DC124" s="228">
        <v>0.13</v>
      </c>
      <c r="DD124" s="228">
        <v>31.94</v>
      </c>
      <c r="DE124" s="228">
        <v>32.020000000000003</v>
      </c>
      <c r="DF124" s="228">
        <v>-5.15</v>
      </c>
      <c r="DG124" s="228">
        <v>-0.08</v>
      </c>
      <c r="DH124" s="228">
        <v>27.05</v>
      </c>
      <c r="DI124" s="228">
        <v>26.73</v>
      </c>
      <c r="DJ124" s="228">
        <v>0.32</v>
      </c>
      <c r="DK124" s="228">
        <v>0.32</v>
      </c>
      <c r="DL124" s="228">
        <v>26.36</v>
      </c>
      <c r="DM124" s="228">
        <v>26.54</v>
      </c>
      <c r="DN124" s="228">
        <v>-0.18</v>
      </c>
      <c r="DO124" s="228">
        <v>-0.18</v>
      </c>
      <c r="DP124" s="228">
        <v>0.62</v>
      </c>
      <c r="DQ124" s="228">
        <v>0.61</v>
      </c>
      <c r="DR124" s="228">
        <v>0.01</v>
      </c>
      <c r="DS124" s="229">
        <v>1.6400000000000001E-2</v>
      </c>
      <c r="DT124" s="231">
        <v>2000</v>
      </c>
      <c r="DU124" s="231">
        <v>1900</v>
      </c>
      <c r="DV124" s="228">
        <v>0.54</v>
      </c>
      <c r="DW124" s="228">
        <v>0.44</v>
      </c>
      <c r="DX124" s="228">
        <v>0.1</v>
      </c>
      <c r="DY124" s="229">
        <v>0.2273</v>
      </c>
      <c r="DZ124" s="229">
        <v>0.76280000000000003</v>
      </c>
      <c r="EA124" s="230">
        <v>6865025</v>
      </c>
      <c r="EB124" s="229">
        <v>5.4000000000000003E-3</v>
      </c>
      <c r="EC124" s="229">
        <v>0.76280000000000003</v>
      </c>
      <c r="ED124" s="228">
        <v>10.83</v>
      </c>
      <c r="EE124" s="229">
        <v>5.5999999999999999E-3</v>
      </c>
      <c r="EF124" s="230">
        <v>140417</v>
      </c>
      <c r="EG124" s="230">
        <v>273211</v>
      </c>
      <c r="EH124" s="229">
        <v>-0.48599999999999999</v>
      </c>
      <c r="EI124" s="229">
        <v>0.55689999999999995</v>
      </c>
      <c r="EJ124" s="231">
        <v>68139.820000000007</v>
      </c>
      <c r="EK124" s="231">
        <v>35646.300000000003</v>
      </c>
      <c r="EL124" s="231">
        <v>107470.8</v>
      </c>
      <c r="EM124" s="231">
        <v>9979</v>
      </c>
      <c r="EN124" s="231">
        <v>211256.92</v>
      </c>
      <c r="EO124" s="231">
        <v>318572.90000000002</v>
      </c>
      <c r="EP124" s="231">
        <v>-107315.98</v>
      </c>
      <c r="EQ124" s="229">
        <v>-0.33689999999999998</v>
      </c>
      <c r="ER124" s="231">
        <v>69391</v>
      </c>
      <c r="ES124" s="231">
        <v>40698</v>
      </c>
      <c r="ET124" s="231">
        <v>229655</v>
      </c>
      <c r="EU124" s="231">
        <v>35341043</v>
      </c>
      <c r="EV124" s="231">
        <v>339744</v>
      </c>
      <c r="EW124" s="231">
        <v>343811</v>
      </c>
      <c r="EX124" s="231">
        <v>-4067</v>
      </c>
      <c r="EY124" s="229">
        <v>-1.18E-2</v>
      </c>
      <c r="EZ124" s="229">
        <v>0.4929</v>
      </c>
      <c r="FA124" s="227" t="s">
        <v>567</v>
      </c>
      <c r="FB124" s="161">
        <f t="shared" si="1"/>
        <v>9063975</v>
      </c>
    </row>
    <row r="125" spans="1:158" ht="17.25" hidden="1" thickBot="1" x14ac:dyDescent="0.3">
      <c r="A125" s="226">
        <v>45957</v>
      </c>
      <c r="B125" s="227" t="s">
        <v>162</v>
      </c>
      <c r="C125" s="227" t="s">
        <v>251</v>
      </c>
      <c r="D125" s="228">
        <v>200</v>
      </c>
      <c r="E125" s="231">
        <v>3615.6</v>
      </c>
      <c r="F125" s="231">
        <v>3620.1</v>
      </c>
      <c r="G125" s="228">
        <v>-4.5</v>
      </c>
      <c r="H125" s="229">
        <v>-1.1999999999999999E-3</v>
      </c>
      <c r="I125" s="231">
        <v>3611.6</v>
      </c>
      <c r="J125" s="231">
        <v>3625</v>
      </c>
      <c r="K125" s="228">
        <v>-13.4</v>
      </c>
      <c r="L125" s="229">
        <v>-3.7000000000000002E-3</v>
      </c>
      <c r="M125" s="231">
        <v>3615.6</v>
      </c>
      <c r="N125" s="231">
        <v>3620.1</v>
      </c>
      <c r="O125" s="228">
        <v>-4.5</v>
      </c>
      <c r="P125" s="229">
        <v>-1.1999999999999999E-3</v>
      </c>
      <c r="Q125" s="231">
        <v>3636.5</v>
      </c>
      <c r="R125" s="231">
        <v>3640.7</v>
      </c>
      <c r="S125" s="228">
        <v>-4.2</v>
      </c>
      <c r="T125" s="229">
        <v>-1.1999999999999999E-3</v>
      </c>
      <c r="U125" s="231">
        <v>3660.4</v>
      </c>
      <c r="V125" s="231">
        <v>3664.3</v>
      </c>
      <c r="W125" s="228">
        <v>-3.9</v>
      </c>
      <c r="X125" s="229">
        <v>-1.1000000000000001E-3</v>
      </c>
      <c r="Y125" s="228">
        <v>4</v>
      </c>
      <c r="Z125" s="228">
        <v>-4.9000000000000004</v>
      </c>
      <c r="AA125" s="228">
        <v>8.9</v>
      </c>
      <c r="AB125" s="229">
        <v>1.1000000000000001E-3</v>
      </c>
      <c r="AC125" s="228">
        <v>4</v>
      </c>
      <c r="AD125" s="228">
        <v>-4.9000000000000004</v>
      </c>
      <c r="AE125" s="228">
        <v>8.9</v>
      </c>
      <c r="AF125" s="229">
        <v>1.1000000000000001E-3</v>
      </c>
      <c r="AG125" s="228">
        <v>24.9</v>
      </c>
      <c r="AH125" s="228">
        <v>15.7</v>
      </c>
      <c r="AI125" s="228">
        <v>9.1999999999999993</v>
      </c>
      <c r="AJ125" s="229">
        <v>6.8999999999999999E-3</v>
      </c>
      <c r="AK125" s="228">
        <v>48.8</v>
      </c>
      <c r="AL125" s="228">
        <v>39.299999999999997</v>
      </c>
      <c r="AM125" s="228">
        <v>9.5</v>
      </c>
      <c r="AN125" s="229">
        <v>1.35E-2</v>
      </c>
      <c r="AO125" s="231">
        <v>3613.78</v>
      </c>
      <c r="AP125" s="231">
        <v>3634.53</v>
      </c>
      <c r="AQ125" s="228">
        <v>0</v>
      </c>
      <c r="AR125" s="230">
        <v>10601400</v>
      </c>
      <c r="AS125" s="230">
        <v>11181400</v>
      </c>
      <c r="AT125" s="230">
        <v>-580000</v>
      </c>
      <c r="AU125" s="229">
        <v>-5.1900000000000002E-2</v>
      </c>
      <c r="AV125" s="230">
        <v>5043000</v>
      </c>
      <c r="AW125" s="230">
        <v>5755400</v>
      </c>
      <c r="AX125" s="230">
        <v>-712400</v>
      </c>
      <c r="AY125" s="229">
        <v>-0.12379999999999999</v>
      </c>
      <c r="AZ125" s="230">
        <v>5534600</v>
      </c>
      <c r="BA125" s="230">
        <v>5403400</v>
      </c>
      <c r="BB125" s="230">
        <v>131200</v>
      </c>
      <c r="BC125" s="229">
        <v>2.4299999999999999E-2</v>
      </c>
      <c r="BD125" s="230">
        <v>23800</v>
      </c>
      <c r="BE125" s="230">
        <v>22600</v>
      </c>
      <c r="BF125" s="230">
        <v>1200</v>
      </c>
      <c r="BG125" s="229">
        <v>5.3100000000000001E-2</v>
      </c>
      <c r="BH125" s="230">
        <v>5422800</v>
      </c>
      <c r="BI125" s="230">
        <v>6463000</v>
      </c>
      <c r="BJ125" s="230">
        <v>-1040200</v>
      </c>
      <c r="BK125" s="229">
        <v>-0.16089999999999999</v>
      </c>
      <c r="BL125" s="230">
        <v>4300800</v>
      </c>
      <c r="BM125" s="230">
        <v>4279200</v>
      </c>
      <c r="BN125" s="230">
        <v>21600</v>
      </c>
      <c r="BO125" s="229">
        <v>5.0000000000000001E-3</v>
      </c>
      <c r="BP125" s="230">
        <v>20325000</v>
      </c>
      <c r="BQ125" s="230">
        <v>21923600</v>
      </c>
      <c r="BR125" s="230">
        <v>-1598600</v>
      </c>
      <c r="BS125" s="229">
        <v>-7.2900000000000006E-2</v>
      </c>
      <c r="BT125" s="230">
        <v>1472246</v>
      </c>
      <c r="BU125" s="230">
        <v>1687311</v>
      </c>
      <c r="BV125" s="230">
        <v>-215065</v>
      </c>
      <c r="BW125" s="229">
        <v>-0.1275</v>
      </c>
      <c r="BX125" s="230">
        <v>19555800</v>
      </c>
      <c r="BY125" s="230">
        <v>19448400</v>
      </c>
      <c r="BZ125" s="230">
        <v>107400</v>
      </c>
      <c r="CA125" s="229">
        <v>5.4999999999999997E-3</v>
      </c>
      <c r="CB125" s="230">
        <v>3740600</v>
      </c>
      <c r="CC125" s="230">
        <v>8102400</v>
      </c>
      <c r="CD125" s="230">
        <v>-4361800</v>
      </c>
      <c r="CE125" s="229">
        <v>-0.5383</v>
      </c>
      <c r="CF125" s="230">
        <v>15436000</v>
      </c>
      <c r="CG125" s="230">
        <v>10974800</v>
      </c>
      <c r="CH125" s="230">
        <v>4461200</v>
      </c>
      <c r="CI125" s="229">
        <v>0.40649999999999997</v>
      </c>
      <c r="CJ125" s="230">
        <v>379200</v>
      </c>
      <c r="CK125" s="230">
        <v>371200</v>
      </c>
      <c r="CL125" s="230">
        <v>8000</v>
      </c>
      <c r="CM125" s="229">
        <v>2.1600000000000001E-2</v>
      </c>
      <c r="CN125" s="230">
        <v>4376800</v>
      </c>
      <c r="CO125" s="230">
        <v>4722400</v>
      </c>
      <c r="CP125" s="230">
        <v>-345600</v>
      </c>
      <c r="CQ125" s="229">
        <v>-7.3200000000000001E-2</v>
      </c>
      <c r="CR125" s="230">
        <v>3305200</v>
      </c>
      <c r="CS125" s="230">
        <v>3480000</v>
      </c>
      <c r="CT125" s="230">
        <v>-174800</v>
      </c>
      <c r="CU125" s="229">
        <v>-5.0200000000000002E-2</v>
      </c>
      <c r="CV125" s="230">
        <v>27237800</v>
      </c>
      <c r="CW125" s="230">
        <v>27650800</v>
      </c>
      <c r="CX125" s="230">
        <v>-413000</v>
      </c>
      <c r="CY125" s="229">
        <v>-1.49E-2</v>
      </c>
      <c r="CZ125" s="228">
        <v>26.1</v>
      </c>
      <c r="DA125" s="228">
        <v>25.06</v>
      </c>
      <c r="DB125" s="228">
        <v>1.04</v>
      </c>
      <c r="DC125" s="228">
        <v>1.04</v>
      </c>
      <c r="DD125" s="228">
        <v>33.94</v>
      </c>
      <c r="DE125" s="228">
        <v>34.020000000000003</v>
      </c>
      <c r="DF125" s="228">
        <v>-7.84</v>
      </c>
      <c r="DG125" s="228">
        <v>-0.08</v>
      </c>
      <c r="DH125" s="228">
        <v>26.13</v>
      </c>
      <c r="DI125" s="228">
        <v>25.04</v>
      </c>
      <c r="DJ125" s="228">
        <v>1.0900000000000001</v>
      </c>
      <c r="DK125" s="228">
        <v>1.0900000000000001</v>
      </c>
      <c r="DL125" s="228">
        <v>26.04</v>
      </c>
      <c r="DM125" s="228">
        <v>25.08</v>
      </c>
      <c r="DN125" s="228">
        <v>0.96</v>
      </c>
      <c r="DO125" s="228">
        <v>0.96</v>
      </c>
      <c r="DP125" s="228">
        <v>0.76</v>
      </c>
      <c r="DQ125" s="228">
        <v>0.74</v>
      </c>
      <c r="DR125" s="228">
        <v>0.02</v>
      </c>
      <c r="DS125" s="229">
        <v>2.7E-2</v>
      </c>
      <c r="DT125" s="231">
        <v>3700</v>
      </c>
      <c r="DU125" s="231">
        <v>3550</v>
      </c>
      <c r="DV125" s="228">
        <v>0.79</v>
      </c>
      <c r="DW125" s="228">
        <v>0.66</v>
      </c>
      <c r="DX125" s="228">
        <v>0.13</v>
      </c>
      <c r="DY125" s="229">
        <v>0.19700000000000001</v>
      </c>
      <c r="DZ125" s="229">
        <v>0.80869999999999997</v>
      </c>
      <c r="EA125" s="230">
        <v>11346000</v>
      </c>
      <c r="EB125" s="229">
        <v>5.7999999999999996E-3</v>
      </c>
      <c r="EC125" s="229">
        <v>0.80869999999999997</v>
      </c>
      <c r="ED125" s="228">
        <v>20.75</v>
      </c>
      <c r="EE125" s="229">
        <v>5.7000000000000002E-3</v>
      </c>
      <c r="EF125" s="230">
        <v>933779</v>
      </c>
      <c r="EG125" s="230">
        <v>1054589</v>
      </c>
      <c r="EH125" s="229">
        <v>-0.11459999999999999</v>
      </c>
      <c r="EI125" s="229">
        <v>0.63429999999999997</v>
      </c>
      <c r="EJ125" s="231">
        <v>201431.13</v>
      </c>
      <c r="EK125" s="231">
        <v>152423.66</v>
      </c>
      <c r="EL125" s="231">
        <v>384269.94</v>
      </c>
      <c r="EM125" s="231">
        <v>34209</v>
      </c>
      <c r="EN125" s="231">
        <v>738124.73</v>
      </c>
      <c r="EO125" s="231">
        <v>801576.83</v>
      </c>
      <c r="EP125" s="231">
        <v>-63452.1</v>
      </c>
      <c r="EQ125" s="229">
        <v>-7.9200000000000007E-2</v>
      </c>
      <c r="ER125" s="231">
        <v>162161</v>
      </c>
      <c r="ES125" s="231">
        <v>114141</v>
      </c>
      <c r="ET125" s="231">
        <v>710456</v>
      </c>
      <c r="EU125" s="231">
        <v>100261459</v>
      </c>
      <c r="EV125" s="231">
        <v>986757</v>
      </c>
      <c r="EW125" s="231">
        <v>1001470</v>
      </c>
      <c r="EX125" s="231">
        <v>-14713</v>
      </c>
      <c r="EY125" s="229">
        <v>-1.47E-2</v>
      </c>
      <c r="EZ125" s="229">
        <v>0.2717</v>
      </c>
      <c r="FA125" s="227" t="s">
        <v>567</v>
      </c>
      <c r="FB125" s="161">
        <f t="shared" si="1"/>
        <v>15815200</v>
      </c>
    </row>
    <row r="126" spans="1:158" ht="17.25" hidden="1" thickBot="1" x14ac:dyDescent="0.3">
      <c r="A126" s="226">
        <v>45957</v>
      </c>
      <c r="B126" s="227" t="s">
        <v>175</v>
      </c>
      <c r="C126" s="227" t="s">
        <v>253</v>
      </c>
      <c r="D126" s="228">
        <v>3000</v>
      </c>
      <c r="E126" s="228">
        <v>276.05</v>
      </c>
      <c r="F126" s="228">
        <v>279.8</v>
      </c>
      <c r="G126" s="228">
        <v>-3.75</v>
      </c>
      <c r="H126" s="229">
        <v>-1.34E-2</v>
      </c>
      <c r="I126" s="228">
        <v>276.39999999999998</v>
      </c>
      <c r="J126" s="228">
        <v>279.95</v>
      </c>
      <c r="K126" s="228">
        <v>-3.55</v>
      </c>
      <c r="L126" s="229">
        <v>-1.2699999999999999E-2</v>
      </c>
      <c r="M126" s="228">
        <v>276.05</v>
      </c>
      <c r="N126" s="228">
        <v>279.8</v>
      </c>
      <c r="O126" s="228">
        <v>-3.75</v>
      </c>
      <c r="P126" s="229">
        <v>-1.34E-2</v>
      </c>
      <c r="Q126" s="228">
        <v>276.89999999999998</v>
      </c>
      <c r="R126" s="228">
        <v>280.7</v>
      </c>
      <c r="S126" s="228">
        <v>-3.8</v>
      </c>
      <c r="T126" s="229">
        <v>-1.35E-2</v>
      </c>
      <c r="U126" s="228">
        <v>278.8</v>
      </c>
      <c r="V126" s="228">
        <v>282.89999999999998</v>
      </c>
      <c r="W126" s="228">
        <v>-4.0999999999999996</v>
      </c>
      <c r="X126" s="229">
        <v>-1.4500000000000001E-2</v>
      </c>
      <c r="Y126" s="228">
        <v>-0.35</v>
      </c>
      <c r="Z126" s="228">
        <v>-0.15</v>
      </c>
      <c r="AA126" s="228">
        <v>-0.2</v>
      </c>
      <c r="AB126" s="229">
        <v>-1.2999999999999999E-3</v>
      </c>
      <c r="AC126" s="228">
        <v>-0.35</v>
      </c>
      <c r="AD126" s="228">
        <v>-0.15</v>
      </c>
      <c r="AE126" s="228">
        <v>-0.2</v>
      </c>
      <c r="AF126" s="229">
        <v>-1.2999999999999999E-3</v>
      </c>
      <c r="AG126" s="228">
        <v>0.5</v>
      </c>
      <c r="AH126" s="228">
        <v>0.75</v>
      </c>
      <c r="AI126" s="228">
        <v>-0.25</v>
      </c>
      <c r="AJ126" s="229">
        <v>1.8E-3</v>
      </c>
      <c r="AK126" s="228">
        <v>2.4</v>
      </c>
      <c r="AL126" s="228">
        <v>2.95</v>
      </c>
      <c r="AM126" s="228">
        <v>-0.55000000000000004</v>
      </c>
      <c r="AN126" s="229">
        <v>8.6999999999999994E-3</v>
      </c>
      <c r="AO126" s="228">
        <v>277.04000000000002</v>
      </c>
      <c r="AP126" s="228">
        <v>277.95</v>
      </c>
      <c r="AQ126" s="228">
        <v>0</v>
      </c>
      <c r="AR126" s="230">
        <v>19620000</v>
      </c>
      <c r="AS126" s="230">
        <v>27204000</v>
      </c>
      <c r="AT126" s="230">
        <v>-7584000</v>
      </c>
      <c r="AU126" s="229">
        <v>-0.27879999999999999</v>
      </c>
      <c r="AV126" s="230">
        <v>8874000</v>
      </c>
      <c r="AW126" s="230">
        <v>13533000</v>
      </c>
      <c r="AX126" s="230">
        <v>-4659000</v>
      </c>
      <c r="AY126" s="229">
        <v>-0.34429999999999999</v>
      </c>
      <c r="AZ126" s="230">
        <v>10638000</v>
      </c>
      <c r="BA126" s="230">
        <v>13650000</v>
      </c>
      <c r="BB126" s="230">
        <v>-3012000</v>
      </c>
      <c r="BC126" s="229">
        <v>-0.22070000000000001</v>
      </c>
      <c r="BD126" s="230">
        <v>108000</v>
      </c>
      <c r="BE126" s="230">
        <v>21000</v>
      </c>
      <c r="BF126" s="230">
        <v>87000</v>
      </c>
      <c r="BG126" s="229">
        <v>4.1429</v>
      </c>
      <c r="BH126" s="230">
        <v>14610000</v>
      </c>
      <c r="BI126" s="230">
        <v>14244000</v>
      </c>
      <c r="BJ126" s="230">
        <v>366000</v>
      </c>
      <c r="BK126" s="229">
        <v>2.5700000000000001E-2</v>
      </c>
      <c r="BL126" s="230">
        <v>10062000</v>
      </c>
      <c r="BM126" s="230">
        <v>9495000</v>
      </c>
      <c r="BN126" s="230">
        <v>567000</v>
      </c>
      <c r="BO126" s="229">
        <v>5.9700000000000003E-2</v>
      </c>
      <c r="BP126" s="230">
        <v>44292000</v>
      </c>
      <c r="BQ126" s="230">
        <v>50943000</v>
      </c>
      <c r="BR126" s="230">
        <v>-6651000</v>
      </c>
      <c r="BS126" s="229">
        <v>-0.13059999999999999</v>
      </c>
      <c r="BT126" s="230">
        <v>2446194</v>
      </c>
      <c r="BU126" s="230">
        <v>2109593</v>
      </c>
      <c r="BV126" s="230">
        <v>336601</v>
      </c>
      <c r="BW126" s="229">
        <v>0.15959999999999999</v>
      </c>
      <c r="BX126" s="230">
        <v>30714000</v>
      </c>
      <c r="BY126" s="230">
        <v>30792000</v>
      </c>
      <c r="BZ126" s="230">
        <v>-78000</v>
      </c>
      <c r="CA126" s="229">
        <v>-2.5000000000000001E-3</v>
      </c>
      <c r="CB126" s="230">
        <v>5610000</v>
      </c>
      <c r="CC126" s="230">
        <v>11733000</v>
      </c>
      <c r="CD126" s="230">
        <v>-6123000</v>
      </c>
      <c r="CE126" s="229">
        <v>-0.52190000000000003</v>
      </c>
      <c r="CF126" s="230">
        <v>24783000</v>
      </c>
      <c r="CG126" s="230">
        <v>18768000</v>
      </c>
      <c r="CH126" s="230">
        <v>6015000</v>
      </c>
      <c r="CI126" s="229">
        <v>0.32050000000000001</v>
      </c>
      <c r="CJ126" s="230">
        <v>321000</v>
      </c>
      <c r="CK126" s="230">
        <v>291000</v>
      </c>
      <c r="CL126" s="230">
        <v>30000</v>
      </c>
      <c r="CM126" s="229">
        <v>0.1031</v>
      </c>
      <c r="CN126" s="230">
        <v>14952000</v>
      </c>
      <c r="CO126" s="230">
        <v>15183000</v>
      </c>
      <c r="CP126" s="230">
        <v>-231000</v>
      </c>
      <c r="CQ126" s="229">
        <v>-1.52E-2</v>
      </c>
      <c r="CR126" s="230">
        <v>8223000</v>
      </c>
      <c r="CS126" s="230">
        <v>8787000</v>
      </c>
      <c r="CT126" s="230">
        <v>-564000</v>
      </c>
      <c r="CU126" s="229">
        <v>-6.4199999999999993E-2</v>
      </c>
      <c r="CV126" s="230">
        <v>53889000</v>
      </c>
      <c r="CW126" s="230">
        <v>54762000</v>
      </c>
      <c r="CX126" s="230">
        <v>-873000</v>
      </c>
      <c r="CY126" s="229">
        <v>-1.5900000000000001E-2</v>
      </c>
      <c r="CZ126" s="228">
        <v>31.61</v>
      </c>
      <c r="DA126" s="228">
        <v>30.86</v>
      </c>
      <c r="DB126" s="228">
        <v>0.75</v>
      </c>
      <c r="DC126" s="228">
        <v>0.75</v>
      </c>
      <c r="DD126" s="228">
        <v>42.78</v>
      </c>
      <c r="DE126" s="228">
        <v>42.85</v>
      </c>
      <c r="DF126" s="228">
        <v>-11.17</v>
      </c>
      <c r="DG126" s="228">
        <v>-7.0000000000000007E-2</v>
      </c>
      <c r="DH126" s="228">
        <v>31.69</v>
      </c>
      <c r="DI126" s="228">
        <v>30.96</v>
      </c>
      <c r="DJ126" s="228">
        <v>0.73</v>
      </c>
      <c r="DK126" s="228">
        <v>0.73</v>
      </c>
      <c r="DL126" s="228">
        <v>31.5</v>
      </c>
      <c r="DM126" s="228">
        <v>30.74</v>
      </c>
      <c r="DN126" s="228">
        <v>0.76</v>
      </c>
      <c r="DO126" s="228">
        <v>0.76</v>
      </c>
      <c r="DP126" s="228">
        <v>0.55000000000000004</v>
      </c>
      <c r="DQ126" s="228">
        <v>0.57999999999999996</v>
      </c>
      <c r="DR126" s="228">
        <v>-0.03</v>
      </c>
      <c r="DS126" s="229">
        <v>-5.1700000000000003E-2</v>
      </c>
      <c r="DT126" s="228">
        <v>300</v>
      </c>
      <c r="DU126" s="228">
        <v>260</v>
      </c>
      <c r="DV126" s="228">
        <v>0.69</v>
      </c>
      <c r="DW126" s="228">
        <v>0.67</v>
      </c>
      <c r="DX126" s="228">
        <v>0.02</v>
      </c>
      <c r="DY126" s="229">
        <v>2.9899999999999999E-2</v>
      </c>
      <c r="DZ126" s="229">
        <v>0.81730000000000003</v>
      </c>
      <c r="EA126" s="230">
        <v>19059000</v>
      </c>
      <c r="EB126" s="229">
        <v>3.0999999999999999E-3</v>
      </c>
      <c r="EC126" s="229">
        <v>0.81730000000000003</v>
      </c>
      <c r="ED126" s="228">
        <v>0.91</v>
      </c>
      <c r="EE126" s="229">
        <v>3.3E-3</v>
      </c>
      <c r="EF126" s="230">
        <v>1230140</v>
      </c>
      <c r="EG126" s="230">
        <v>1042899</v>
      </c>
      <c r="EH126" s="229">
        <v>0.17949999999999999</v>
      </c>
      <c r="EI126" s="229">
        <v>0.50290000000000001</v>
      </c>
      <c r="EJ126" s="231">
        <v>42438.33</v>
      </c>
      <c r="EK126" s="231">
        <v>27841.38</v>
      </c>
      <c r="EL126" s="231">
        <v>54455.62</v>
      </c>
      <c r="EM126" s="231">
        <v>4554</v>
      </c>
      <c r="EN126" s="231">
        <v>124735.33</v>
      </c>
      <c r="EO126" s="231">
        <v>144655.04000000001</v>
      </c>
      <c r="EP126" s="231">
        <v>-19919.71</v>
      </c>
      <c r="EQ126" s="229">
        <v>-0.13769999999999999</v>
      </c>
      <c r="ER126" s="231">
        <v>44500</v>
      </c>
      <c r="ES126" s="231">
        <v>22278</v>
      </c>
      <c r="ET126" s="231">
        <v>85005</v>
      </c>
      <c r="EU126" s="231">
        <v>82205057</v>
      </c>
      <c r="EV126" s="231">
        <v>151783</v>
      </c>
      <c r="EW126" s="231">
        <v>155607</v>
      </c>
      <c r="EX126" s="231">
        <v>-3824</v>
      </c>
      <c r="EY126" s="229">
        <v>-2.46E-2</v>
      </c>
      <c r="EZ126" s="229">
        <v>0.65549999999999997</v>
      </c>
      <c r="FA126" s="227" t="s">
        <v>568</v>
      </c>
      <c r="FB126" s="161">
        <f t="shared" si="1"/>
        <v>25104000</v>
      </c>
    </row>
    <row r="127" spans="1:158" ht="17.25" hidden="1" thickBot="1" x14ac:dyDescent="0.3">
      <c r="A127" s="226">
        <v>45957</v>
      </c>
      <c r="B127" s="227" t="s">
        <v>170</v>
      </c>
      <c r="C127" s="227" t="s">
        <v>673</v>
      </c>
      <c r="D127" s="228">
        <v>225</v>
      </c>
      <c r="E127" s="231">
        <v>2417.3000000000002</v>
      </c>
      <c r="F127" s="231">
        <v>2427.1999999999998</v>
      </c>
      <c r="G127" s="228">
        <v>-9.9</v>
      </c>
      <c r="H127" s="229">
        <v>-4.1000000000000003E-3</v>
      </c>
      <c r="I127" s="231">
        <v>2416.6999999999998</v>
      </c>
      <c r="J127" s="231">
        <v>2432.4</v>
      </c>
      <c r="K127" s="228">
        <v>-15.7</v>
      </c>
      <c r="L127" s="229">
        <v>-6.4999999999999997E-3</v>
      </c>
      <c r="M127" s="231">
        <v>2417.3000000000002</v>
      </c>
      <c r="N127" s="231">
        <v>2427.1999999999998</v>
      </c>
      <c r="O127" s="228">
        <v>-9.9</v>
      </c>
      <c r="P127" s="229">
        <v>-4.1000000000000003E-3</v>
      </c>
      <c r="Q127" s="231">
        <v>2429.4</v>
      </c>
      <c r="R127" s="231">
        <v>2432.3000000000002</v>
      </c>
      <c r="S127" s="228">
        <v>-2.9</v>
      </c>
      <c r="T127" s="229">
        <v>-1.1999999999999999E-3</v>
      </c>
      <c r="U127" s="231">
        <v>2446.4</v>
      </c>
      <c r="V127" s="231">
        <v>2448</v>
      </c>
      <c r="W127" s="228">
        <v>-1.6</v>
      </c>
      <c r="X127" s="229">
        <v>-6.9999999999999999E-4</v>
      </c>
      <c r="Y127" s="228">
        <v>0.6</v>
      </c>
      <c r="Z127" s="228">
        <v>-5.2</v>
      </c>
      <c r="AA127" s="228">
        <v>5.8</v>
      </c>
      <c r="AB127" s="229">
        <v>2.0000000000000001E-4</v>
      </c>
      <c r="AC127" s="228">
        <v>0.6</v>
      </c>
      <c r="AD127" s="228">
        <v>-5.2</v>
      </c>
      <c r="AE127" s="228">
        <v>5.8</v>
      </c>
      <c r="AF127" s="229">
        <v>2.0000000000000001E-4</v>
      </c>
      <c r="AG127" s="228">
        <v>12.7</v>
      </c>
      <c r="AH127" s="228">
        <v>-0.1</v>
      </c>
      <c r="AI127" s="228">
        <v>12.8</v>
      </c>
      <c r="AJ127" s="229">
        <v>5.3E-3</v>
      </c>
      <c r="AK127" s="228">
        <v>29.7</v>
      </c>
      <c r="AL127" s="228">
        <v>15.6</v>
      </c>
      <c r="AM127" s="228">
        <v>14.1</v>
      </c>
      <c r="AN127" s="229">
        <v>1.23E-2</v>
      </c>
      <c r="AO127" s="231">
        <v>2422.66</v>
      </c>
      <c r="AP127" s="231">
        <v>2431.0700000000002</v>
      </c>
      <c r="AQ127" s="228">
        <v>0</v>
      </c>
      <c r="AR127" s="230">
        <v>1309950</v>
      </c>
      <c r="AS127" s="230">
        <v>1829475</v>
      </c>
      <c r="AT127" s="230">
        <v>-519525</v>
      </c>
      <c r="AU127" s="229">
        <v>-0.28399999999999997</v>
      </c>
      <c r="AV127" s="230">
        <v>668475</v>
      </c>
      <c r="AW127" s="230">
        <v>966375</v>
      </c>
      <c r="AX127" s="230">
        <v>-297900</v>
      </c>
      <c r="AY127" s="229">
        <v>-0.30830000000000002</v>
      </c>
      <c r="AZ127" s="230">
        <v>627525</v>
      </c>
      <c r="BA127" s="230">
        <v>859950</v>
      </c>
      <c r="BB127" s="230">
        <v>-232425</v>
      </c>
      <c r="BC127" s="229">
        <v>-0.27029999999999998</v>
      </c>
      <c r="BD127" s="230">
        <v>13950</v>
      </c>
      <c r="BE127" s="230">
        <v>3150</v>
      </c>
      <c r="BF127" s="230">
        <v>10800</v>
      </c>
      <c r="BG127" s="229">
        <v>3.4285999999999999</v>
      </c>
      <c r="BH127" s="230">
        <v>699075</v>
      </c>
      <c r="BI127" s="230">
        <v>824625</v>
      </c>
      <c r="BJ127" s="230">
        <v>-125550</v>
      </c>
      <c r="BK127" s="229">
        <v>-0.15229999999999999</v>
      </c>
      <c r="BL127" s="230">
        <v>182475</v>
      </c>
      <c r="BM127" s="230">
        <v>340650</v>
      </c>
      <c r="BN127" s="230">
        <v>-158175</v>
      </c>
      <c r="BO127" s="229">
        <v>-0.46429999999999999</v>
      </c>
      <c r="BP127" s="230">
        <v>2191500</v>
      </c>
      <c r="BQ127" s="230">
        <v>2994750</v>
      </c>
      <c r="BR127" s="230">
        <v>-803250</v>
      </c>
      <c r="BS127" s="229">
        <v>-0.26819999999999999</v>
      </c>
      <c r="BT127" s="230">
        <v>247525</v>
      </c>
      <c r="BU127" s="230">
        <v>254684</v>
      </c>
      <c r="BV127" s="230">
        <v>-7159</v>
      </c>
      <c r="BW127" s="229">
        <v>-2.81E-2</v>
      </c>
      <c r="BX127" s="230">
        <v>1692450</v>
      </c>
      <c r="BY127" s="230">
        <v>1793025</v>
      </c>
      <c r="BZ127" s="230">
        <v>-100575</v>
      </c>
      <c r="CA127" s="229">
        <v>-5.6099999999999997E-2</v>
      </c>
      <c r="CB127" s="230">
        <v>250875</v>
      </c>
      <c r="CC127" s="230">
        <v>607275</v>
      </c>
      <c r="CD127" s="230">
        <v>-356400</v>
      </c>
      <c r="CE127" s="229">
        <v>-0.58689999999999998</v>
      </c>
      <c r="CF127" s="230">
        <v>1412325</v>
      </c>
      <c r="CG127" s="230">
        <v>1168200</v>
      </c>
      <c r="CH127" s="230">
        <v>244125</v>
      </c>
      <c r="CI127" s="229">
        <v>0.20899999999999999</v>
      </c>
      <c r="CJ127" s="230">
        <v>29250</v>
      </c>
      <c r="CK127" s="230">
        <v>17550</v>
      </c>
      <c r="CL127" s="230">
        <v>11700</v>
      </c>
      <c r="CM127" s="229">
        <v>0.66669999999999996</v>
      </c>
      <c r="CN127" s="230">
        <v>816525</v>
      </c>
      <c r="CO127" s="230">
        <v>926550</v>
      </c>
      <c r="CP127" s="230">
        <v>-110025</v>
      </c>
      <c r="CQ127" s="229">
        <v>-0.1187</v>
      </c>
      <c r="CR127" s="230">
        <v>376425</v>
      </c>
      <c r="CS127" s="230">
        <v>386100</v>
      </c>
      <c r="CT127" s="230">
        <v>-9675</v>
      </c>
      <c r="CU127" s="229">
        <v>-2.5100000000000001E-2</v>
      </c>
      <c r="CV127" s="230">
        <v>2885400</v>
      </c>
      <c r="CW127" s="230">
        <v>3105675</v>
      </c>
      <c r="CX127" s="230">
        <v>-220275</v>
      </c>
      <c r="CY127" s="229">
        <v>-7.0900000000000005E-2</v>
      </c>
      <c r="CZ127" s="228">
        <v>29.34</v>
      </c>
      <c r="DA127" s="228">
        <v>29.51</v>
      </c>
      <c r="DB127" s="228">
        <v>-0.17</v>
      </c>
      <c r="DC127" s="228">
        <v>-0.17</v>
      </c>
      <c r="DD127" s="228">
        <v>34</v>
      </c>
      <c r="DE127" s="228">
        <v>34.08</v>
      </c>
      <c r="DF127" s="228">
        <v>-4.66</v>
      </c>
      <c r="DG127" s="228">
        <v>-0.08</v>
      </c>
      <c r="DH127" s="228">
        <v>29.35</v>
      </c>
      <c r="DI127" s="228">
        <v>29.6</v>
      </c>
      <c r="DJ127" s="228">
        <v>-0.25</v>
      </c>
      <c r="DK127" s="228">
        <v>-0.25</v>
      </c>
      <c r="DL127" s="228">
        <v>29.32</v>
      </c>
      <c r="DM127" s="228">
        <v>29.45</v>
      </c>
      <c r="DN127" s="228">
        <v>-0.13</v>
      </c>
      <c r="DO127" s="228">
        <v>-0.13</v>
      </c>
      <c r="DP127" s="228">
        <v>0.46</v>
      </c>
      <c r="DQ127" s="228">
        <v>0.42</v>
      </c>
      <c r="DR127" s="228">
        <v>0.04</v>
      </c>
      <c r="DS127" s="229">
        <v>9.5200000000000007E-2</v>
      </c>
      <c r="DT127" s="231">
        <v>2600</v>
      </c>
      <c r="DU127" s="231">
        <v>2450</v>
      </c>
      <c r="DV127" s="228">
        <v>0.26</v>
      </c>
      <c r="DW127" s="228">
        <v>0.41</v>
      </c>
      <c r="DX127" s="228">
        <v>-0.15</v>
      </c>
      <c r="DY127" s="229">
        <v>-0.3659</v>
      </c>
      <c r="DZ127" s="229">
        <v>0.8518</v>
      </c>
      <c r="EA127" s="230">
        <v>1185750</v>
      </c>
      <c r="EB127" s="229">
        <v>5.0000000000000001E-3</v>
      </c>
      <c r="EC127" s="229">
        <v>0.8518</v>
      </c>
      <c r="ED127" s="228">
        <v>8.41</v>
      </c>
      <c r="EE127" s="229">
        <v>3.5000000000000001E-3</v>
      </c>
      <c r="EF127" s="230">
        <v>174076</v>
      </c>
      <c r="EG127" s="230">
        <v>145649</v>
      </c>
      <c r="EH127" s="229">
        <v>0.19520000000000001</v>
      </c>
      <c r="EI127" s="229">
        <v>0.70330000000000004</v>
      </c>
      <c r="EJ127" s="231">
        <v>17814.89</v>
      </c>
      <c r="EK127" s="231">
        <v>4413.16</v>
      </c>
      <c r="EL127" s="231">
        <v>31791.82</v>
      </c>
      <c r="EM127" s="231">
        <v>4353</v>
      </c>
      <c r="EN127" s="231">
        <v>54019.87</v>
      </c>
      <c r="EO127" s="231">
        <v>74102.36</v>
      </c>
      <c r="EP127" s="231">
        <v>-20082.490000000002</v>
      </c>
      <c r="EQ127" s="229">
        <v>-0.27100000000000002</v>
      </c>
      <c r="ER127" s="231">
        <v>21153</v>
      </c>
      <c r="ES127" s="231">
        <v>9010</v>
      </c>
      <c r="ET127" s="231">
        <v>41091</v>
      </c>
      <c r="EU127" s="231">
        <v>16915220</v>
      </c>
      <c r="EV127" s="231">
        <v>71254</v>
      </c>
      <c r="EW127" s="231">
        <v>76834</v>
      </c>
      <c r="EX127" s="231">
        <v>-5580</v>
      </c>
      <c r="EY127" s="229">
        <v>-7.2599999999999998E-2</v>
      </c>
      <c r="EZ127" s="229">
        <v>0.1706</v>
      </c>
      <c r="FA127" s="227" t="s">
        <v>568</v>
      </c>
      <c r="FB127" s="161">
        <f t="shared" si="1"/>
        <v>1441575</v>
      </c>
    </row>
    <row r="128" spans="1:158" ht="17.25" hidden="1" thickBot="1" x14ac:dyDescent="0.3">
      <c r="A128" s="226">
        <v>45957</v>
      </c>
      <c r="B128" s="227" t="s">
        <v>168</v>
      </c>
      <c r="C128" s="227" t="s">
        <v>254</v>
      </c>
      <c r="D128" s="228">
        <v>1200</v>
      </c>
      <c r="E128" s="228">
        <v>722.9</v>
      </c>
      <c r="F128" s="228">
        <v>725.3</v>
      </c>
      <c r="G128" s="228">
        <v>-2.4</v>
      </c>
      <c r="H128" s="229">
        <v>-3.3E-3</v>
      </c>
      <c r="I128" s="228">
        <v>723.6</v>
      </c>
      <c r="J128" s="228">
        <v>725.85</v>
      </c>
      <c r="K128" s="228">
        <v>-2.25</v>
      </c>
      <c r="L128" s="229">
        <v>-3.0999999999999999E-3</v>
      </c>
      <c r="M128" s="228">
        <v>722.9</v>
      </c>
      <c r="N128" s="228">
        <v>725.3</v>
      </c>
      <c r="O128" s="228">
        <v>-2.4</v>
      </c>
      <c r="P128" s="229">
        <v>-3.3E-3</v>
      </c>
      <c r="Q128" s="228">
        <v>727</v>
      </c>
      <c r="R128" s="228">
        <v>729.35</v>
      </c>
      <c r="S128" s="228">
        <v>-2.35</v>
      </c>
      <c r="T128" s="229">
        <v>-3.2000000000000002E-3</v>
      </c>
      <c r="U128" s="228">
        <v>731.5</v>
      </c>
      <c r="V128" s="228">
        <v>733.6</v>
      </c>
      <c r="W128" s="228">
        <v>-2.1</v>
      </c>
      <c r="X128" s="229">
        <v>-2.8999999999999998E-3</v>
      </c>
      <c r="Y128" s="228">
        <v>-0.7</v>
      </c>
      <c r="Z128" s="228">
        <v>-0.55000000000000004</v>
      </c>
      <c r="AA128" s="228">
        <v>-0.15</v>
      </c>
      <c r="AB128" s="229">
        <v>-1E-3</v>
      </c>
      <c r="AC128" s="228">
        <v>-0.7</v>
      </c>
      <c r="AD128" s="228">
        <v>-0.55000000000000004</v>
      </c>
      <c r="AE128" s="228">
        <v>-0.15</v>
      </c>
      <c r="AF128" s="229">
        <v>-1E-3</v>
      </c>
      <c r="AG128" s="228">
        <v>3.4</v>
      </c>
      <c r="AH128" s="228">
        <v>3.5</v>
      </c>
      <c r="AI128" s="228">
        <v>-0.1</v>
      </c>
      <c r="AJ128" s="229">
        <v>4.7000000000000002E-3</v>
      </c>
      <c r="AK128" s="228">
        <v>7.9</v>
      </c>
      <c r="AL128" s="228">
        <v>7.75</v>
      </c>
      <c r="AM128" s="228">
        <v>0.15</v>
      </c>
      <c r="AN128" s="229">
        <v>1.09E-2</v>
      </c>
      <c r="AO128" s="228">
        <v>721.93</v>
      </c>
      <c r="AP128" s="228">
        <v>725.93</v>
      </c>
      <c r="AQ128" s="228">
        <v>0</v>
      </c>
      <c r="AR128" s="230">
        <v>13933200</v>
      </c>
      <c r="AS128" s="230">
        <v>26713200</v>
      </c>
      <c r="AT128" s="230">
        <v>-12780000</v>
      </c>
      <c r="AU128" s="229">
        <v>-0.47839999999999999</v>
      </c>
      <c r="AV128" s="230">
        <v>6645600</v>
      </c>
      <c r="AW128" s="230">
        <v>13748400</v>
      </c>
      <c r="AX128" s="230">
        <v>-7102800</v>
      </c>
      <c r="AY128" s="229">
        <v>-0.51659999999999995</v>
      </c>
      <c r="AZ128" s="230">
        <v>7266000</v>
      </c>
      <c r="BA128" s="230">
        <v>12951600</v>
      </c>
      <c r="BB128" s="230">
        <v>-5685600</v>
      </c>
      <c r="BC128" s="229">
        <v>-0.439</v>
      </c>
      <c r="BD128" s="230">
        <v>21600</v>
      </c>
      <c r="BE128" s="230">
        <v>13200</v>
      </c>
      <c r="BF128" s="230">
        <v>8400</v>
      </c>
      <c r="BG128" s="229">
        <v>0.63639999999999997</v>
      </c>
      <c r="BH128" s="230">
        <v>3910800</v>
      </c>
      <c r="BI128" s="230">
        <v>5360400</v>
      </c>
      <c r="BJ128" s="230">
        <v>-1449600</v>
      </c>
      <c r="BK128" s="229">
        <v>-0.27039999999999997</v>
      </c>
      <c r="BL128" s="230">
        <v>2251200</v>
      </c>
      <c r="BM128" s="230">
        <v>4712400</v>
      </c>
      <c r="BN128" s="230">
        <v>-2461200</v>
      </c>
      <c r="BO128" s="229">
        <v>-0.52229999999999999</v>
      </c>
      <c r="BP128" s="230">
        <v>20095200</v>
      </c>
      <c r="BQ128" s="230">
        <v>36786000</v>
      </c>
      <c r="BR128" s="230">
        <v>-16690800</v>
      </c>
      <c r="BS128" s="229">
        <v>-0.45369999999999999</v>
      </c>
      <c r="BT128" s="230">
        <v>1049095</v>
      </c>
      <c r="BU128" s="230">
        <v>1287787</v>
      </c>
      <c r="BV128" s="230">
        <v>-238692</v>
      </c>
      <c r="BW128" s="229">
        <v>-0.18540000000000001</v>
      </c>
      <c r="BX128" s="230">
        <v>27607200</v>
      </c>
      <c r="BY128" s="230">
        <v>27686400</v>
      </c>
      <c r="BZ128" s="230">
        <v>-79200</v>
      </c>
      <c r="CA128" s="229">
        <v>-2.8999999999999998E-3</v>
      </c>
      <c r="CB128" s="230">
        <v>3462000</v>
      </c>
      <c r="CC128" s="230">
        <v>8655600</v>
      </c>
      <c r="CD128" s="230">
        <v>-5193600</v>
      </c>
      <c r="CE128" s="229">
        <v>-0.6</v>
      </c>
      <c r="CF128" s="230">
        <v>24110400</v>
      </c>
      <c r="CG128" s="230">
        <v>19002000</v>
      </c>
      <c r="CH128" s="230">
        <v>5108400</v>
      </c>
      <c r="CI128" s="229">
        <v>0.26879999999999998</v>
      </c>
      <c r="CJ128" s="230">
        <v>34800</v>
      </c>
      <c r="CK128" s="230">
        <v>28800</v>
      </c>
      <c r="CL128" s="230">
        <v>6000</v>
      </c>
      <c r="CM128" s="229">
        <v>0.20830000000000001</v>
      </c>
      <c r="CN128" s="230">
        <v>2988000</v>
      </c>
      <c r="CO128" s="230">
        <v>3157200</v>
      </c>
      <c r="CP128" s="230">
        <v>-169200</v>
      </c>
      <c r="CQ128" s="229">
        <v>-5.3600000000000002E-2</v>
      </c>
      <c r="CR128" s="230">
        <v>2281200</v>
      </c>
      <c r="CS128" s="230">
        <v>2413200</v>
      </c>
      <c r="CT128" s="230">
        <v>-132000</v>
      </c>
      <c r="CU128" s="229">
        <v>-5.4699999999999999E-2</v>
      </c>
      <c r="CV128" s="230">
        <v>32876400</v>
      </c>
      <c r="CW128" s="230">
        <v>33256800</v>
      </c>
      <c r="CX128" s="230">
        <v>-380400</v>
      </c>
      <c r="CY128" s="229">
        <v>-1.14E-2</v>
      </c>
      <c r="CZ128" s="228">
        <v>22.17</v>
      </c>
      <c r="DA128" s="228">
        <v>22.35</v>
      </c>
      <c r="DB128" s="228">
        <v>-0.18</v>
      </c>
      <c r="DC128" s="228">
        <v>-0.18</v>
      </c>
      <c r="DD128" s="228">
        <v>25.58</v>
      </c>
      <c r="DE128" s="228">
        <v>25.65</v>
      </c>
      <c r="DF128" s="228">
        <v>-3.41</v>
      </c>
      <c r="DG128" s="228">
        <v>-7.0000000000000007E-2</v>
      </c>
      <c r="DH128" s="228">
        <v>22.04</v>
      </c>
      <c r="DI128" s="228">
        <v>22.37</v>
      </c>
      <c r="DJ128" s="228">
        <v>-0.33</v>
      </c>
      <c r="DK128" s="228">
        <v>-0.33</v>
      </c>
      <c r="DL128" s="228">
        <v>22.35</v>
      </c>
      <c r="DM128" s="228">
        <v>22.34</v>
      </c>
      <c r="DN128" s="228">
        <v>0.01</v>
      </c>
      <c r="DO128" s="228">
        <v>0.01</v>
      </c>
      <c r="DP128" s="228">
        <v>0.76</v>
      </c>
      <c r="DQ128" s="228">
        <v>0.76</v>
      </c>
      <c r="DR128" s="228">
        <v>0</v>
      </c>
      <c r="DS128" s="229">
        <v>0</v>
      </c>
      <c r="DT128" s="228">
        <v>740</v>
      </c>
      <c r="DU128" s="228">
        <v>680</v>
      </c>
      <c r="DV128" s="228">
        <v>0.57999999999999996</v>
      </c>
      <c r="DW128" s="228">
        <v>0.88</v>
      </c>
      <c r="DX128" s="228">
        <v>-0.3</v>
      </c>
      <c r="DY128" s="229">
        <v>-0.34089999999999998</v>
      </c>
      <c r="DZ128" s="229">
        <v>0.87460000000000004</v>
      </c>
      <c r="EA128" s="230">
        <v>19030800</v>
      </c>
      <c r="EB128" s="229">
        <v>5.7000000000000002E-3</v>
      </c>
      <c r="EC128" s="229">
        <v>0.87460000000000004</v>
      </c>
      <c r="ED128" s="228">
        <v>4</v>
      </c>
      <c r="EE128" s="229">
        <v>5.4999999999999997E-3</v>
      </c>
      <c r="EF128" s="230">
        <v>619664</v>
      </c>
      <c r="EG128" s="230">
        <v>846056</v>
      </c>
      <c r="EH128" s="229">
        <v>-0.2676</v>
      </c>
      <c r="EI128" s="229">
        <v>0.5907</v>
      </c>
      <c r="EJ128" s="231">
        <v>29057.919999999998</v>
      </c>
      <c r="EK128" s="231">
        <v>16123.23</v>
      </c>
      <c r="EL128" s="231">
        <v>100880.18</v>
      </c>
      <c r="EM128" s="231">
        <v>9949</v>
      </c>
      <c r="EN128" s="231">
        <v>146061.32999999999</v>
      </c>
      <c r="EO128" s="231">
        <v>267227.48</v>
      </c>
      <c r="EP128" s="231">
        <v>-121166.15</v>
      </c>
      <c r="EQ128" s="229">
        <v>-0.45340000000000003</v>
      </c>
      <c r="ER128" s="231">
        <v>22430</v>
      </c>
      <c r="ES128" s="231">
        <v>15881</v>
      </c>
      <c r="ET128" s="231">
        <v>200564</v>
      </c>
      <c r="EU128" s="231">
        <v>79408529</v>
      </c>
      <c r="EV128" s="231">
        <v>238875</v>
      </c>
      <c r="EW128" s="231">
        <v>242062</v>
      </c>
      <c r="EX128" s="231">
        <v>-3187</v>
      </c>
      <c r="EY128" s="229">
        <v>-1.32E-2</v>
      </c>
      <c r="EZ128" s="229">
        <v>0.41399999999999998</v>
      </c>
      <c r="FA128" s="227" t="s">
        <v>568</v>
      </c>
      <c r="FB128" s="161">
        <f t="shared" si="1"/>
        <v>24145200</v>
      </c>
    </row>
    <row r="129" spans="1:158" ht="17.25" hidden="1" thickBot="1" x14ac:dyDescent="0.3">
      <c r="A129" s="226">
        <v>45957</v>
      </c>
      <c r="B129" s="227" t="s">
        <v>162</v>
      </c>
      <c r="C129" s="227" t="s">
        <v>255</v>
      </c>
      <c r="D129" s="228">
        <v>50</v>
      </c>
      <c r="E129" s="231">
        <v>16404</v>
      </c>
      <c r="F129" s="231">
        <v>16261</v>
      </c>
      <c r="G129" s="228">
        <v>143</v>
      </c>
      <c r="H129" s="229">
        <v>8.8000000000000005E-3</v>
      </c>
      <c r="I129" s="231">
        <v>16388</v>
      </c>
      <c r="J129" s="231">
        <v>16274</v>
      </c>
      <c r="K129" s="228">
        <v>114</v>
      </c>
      <c r="L129" s="229">
        <v>7.0000000000000001E-3</v>
      </c>
      <c r="M129" s="231">
        <v>16404</v>
      </c>
      <c r="N129" s="231">
        <v>16261</v>
      </c>
      <c r="O129" s="228">
        <v>143</v>
      </c>
      <c r="P129" s="229">
        <v>8.8000000000000005E-3</v>
      </c>
      <c r="Q129" s="231">
        <v>16499</v>
      </c>
      <c r="R129" s="231">
        <v>16356</v>
      </c>
      <c r="S129" s="228">
        <v>143</v>
      </c>
      <c r="T129" s="229">
        <v>8.6999999999999994E-3</v>
      </c>
      <c r="U129" s="231">
        <v>16605</v>
      </c>
      <c r="V129" s="231">
        <v>16463</v>
      </c>
      <c r="W129" s="228">
        <v>142</v>
      </c>
      <c r="X129" s="229">
        <v>8.6E-3</v>
      </c>
      <c r="Y129" s="228">
        <v>16</v>
      </c>
      <c r="Z129" s="228">
        <v>-13</v>
      </c>
      <c r="AA129" s="228">
        <v>29</v>
      </c>
      <c r="AB129" s="229">
        <v>1E-3</v>
      </c>
      <c r="AC129" s="228">
        <v>16</v>
      </c>
      <c r="AD129" s="228">
        <v>-13</v>
      </c>
      <c r="AE129" s="228">
        <v>29</v>
      </c>
      <c r="AF129" s="229">
        <v>1E-3</v>
      </c>
      <c r="AG129" s="228">
        <v>111</v>
      </c>
      <c r="AH129" s="228">
        <v>82</v>
      </c>
      <c r="AI129" s="228">
        <v>29</v>
      </c>
      <c r="AJ129" s="229">
        <v>6.7999999999999996E-3</v>
      </c>
      <c r="AK129" s="228">
        <v>217</v>
      </c>
      <c r="AL129" s="228">
        <v>189</v>
      </c>
      <c r="AM129" s="228">
        <v>28</v>
      </c>
      <c r="AN129" s="229">
        <v>1.32E-2</v>
      </c>
      <c r="AO129" s="231">
        <v>16347.64</v>
      </c>
      <c r="AP129" s="231">
        <v>16439.45</v>
      </c>
      <c r="AQ129" s="228">
        <v>0</v>
      </c>
      <c r="AR129" s="230">
        <v>2073100</v>
      </c>
      <c r="AS129" s="230">
        <v>1818650</v>
      </c>
      <c r="AT129" s="230">
        <v>254450</v>
      </c>
      <c r="AU129" s="229">
        <v>0.1399</v>
      </c>
      <c r="AV129" s="230">
        <v>998000</v>
      </c>
      <c r="AW129" s="230">
        <v>976750</v>
      </c>
      <c r="AX129" s="230">
        <v>21250</v>
      </c>
      <c r="AY129" s="229">
        <v>2.18E-2</v>
      </c>
      <c r="AZ129" s="230">
        <v>1054050</v>
      </c>
      <c r="BA129" s="230">
        <v>832350</v>
      </c>
      <c r="BB129" s="230">
        <v>221700</v>
      </c>
      <c r="BC129" s="229">
        <v>0.26640000000000003</v>
      </c>
      <c r="BD129" s="230">
        <v>21050</v>
      </c>
      <c r="BE129" s="230">
        <v>9550</v>
      </c>
      <c r="BF129" s="230">
        <v>11500</v>
      </c>
      <c r="BG129" s="229">
        <v>1.2041999999999999</v>
      </c>
      <c r="BH129" s="230">
        <v>4910400</v>
      </c>
      <c r="BI129" s="230">
        <v>4576050</v>
      </c>
      <c r="BJ129" s="230">
        <v>334350</v>
      </c>
      <c r="BK129" s="229">
        <v>7.3099999999999998E-2</v>
      </c>
      <c r="BL129" s="230">
        <v>2625050</v>
      </c>
      <c r="BM129" s="230">
        <v>2761850</v>
      </c>
      <c r="BN129" s="230">
        <v>-136800</v>
      </c>
      <c r="BO129" s="229">
        <v>-4.9500000000000002E-2</v>
      </c>
      <c r="BP129" s="230">
        <v>9608550</v>
      </c>
      <c r="BQ129" s="230">
        <v>9156550</v>
      </c>
      <c r="BR129" s="230">
        <v>452000</v>
      </c>
      <c r="BS129" s="229">
        <v>4.9399999999999999E-2</v>
      </c>
      <c r="BT129" s="230">
        <v>213180</v>
      </c>
      <c r="BU129" s="230">
        <v>210921</v>
      </c>
      <c r="BV129" s="230">
        <v>2259</v>
      </c>
      <c r="BW129" s="229">
        <v>1.0699999999999999E-2</v>
      </c>
      <c r="BX129" s="230">
        <v>2958150</v>
      </c>
      <c r="BY129" s="230">
        <v>2925650</v>
      </c>
      <c r="BZ129" s="230">
        <v>32500</v>
      </c>
      <c r="CA129" s="229">
        <v>1.11E-2</v>
      </c>
      <c r="CB129" s="230">
        <v>686600</v>
      </c>
      <c r="CC129" s="230">
        <v>1427500</v>
      </c>
      <c r="CD129" s="230">
        <v>-740900</v>
      </c>
      <c r="CE129" s="229">
        <v>-0.51900000000000002</v>
      </c>
      <c r="CF129" s="230">
        <v>2233450</v>
      </c>
      <c r="CG129" s="230">
        <v>1471150</v>
      </c>
      <c r="CH129" s="230">
        <v>762300</v>
      </c>
      <c r="CI129" s="229">
        <v>0.51819999999999999</v>
      </c>
      <c r="CJ129" s="230">
        <v>38100</v>
      </c>
      <c r="CK129" s="230">
        <v>27000</v>
      </c>
      <c r="CL129" s="230">
        <v>11100</v>
      </c>
      <c r="CM129" s="229">
        <v>0.41110000000000002</v>
      </c>
      <c r="CN129" s="230">
        <v>2309950</v>
      </c>
      <c r="CO129" s="230">
        <v>2955750</v>
      </c>
      <c r="CP129" s="230">
        <v>-645800</v>
      </c>
      <c r="CQ129" s="229">
        <v>-0.2185</v>
      </c>
      <c r="CR129" s="230">
        <v>1610900</v>
      </c>
      <c r="CS129" s="230">
        <v>1688400</v>
      </c>
      <c r="CT129" s="230">
        <v>-77500</v>
      </c>
      <c r="CU129" s="229">
        <v>-4.5900000000000003E-2</v>
      </c>
      <c r="CV129" s="230">
        <v>6879000</v>
      </c>
      <c r="CW129" s="230">
        <v>7569800</v>
      </c>
      <c r="CX129" s="230">
        <v>-690800</v>
      </c>
      <c r="CY129" s="229">
        <v>-9.1300000000000006E-2</v>
      </c>
      <c r="CZ129" s="228">
        <v>22.24</v>
      </c>
      <c r="DA129" s="228">
        <v>22.01</v>
      </c>
      <c r="DB129" s="228">
        <v>0.23</v>
      </c>
      <c r="DC129" s="228">
        <v>0.23</v>
      </c>
      <c r="DD129" s="228">
        <v>25.39</v>
      </c>
      <c r="DE129" s="228">
        <v>25.44</v>
      </c>
      <c r="DF129" s="228">
        <v>-3.15</v>
      </c>
      <c r="DG129" s="228">
        <v>-0.05</v>
      </c>
      <c r="DH129" s="228">
        <v>22</v>
      </c>
      <c r="DI129" s="228">
        <v>22.18</v>
      </c>
      <c r="DJ129" s="228">
        <v>-0.18</v>
      </c>
      <c r="DK129" s="228">
        <v>-0.18</v>
      </c>
      <c r="DL129" s="228">
        <v>22.68</v>
      </c>
      <c r="DM129" s="228">
        <v>21.83</v>
      </c>
      <c r="DN129" s="228">
        <v>0.85</v>
      </c>
      <c r="DO129" s="228">
        <v>0.85</v>
      </c>
      <c r="DP129" s="228">
        <v>0.7</v>
      </c>
      <c r="DQ129" s="228">
        <v>0.56999999999999995</v>
      </c>
      <c r="DR129" s="228">
        <v>0.13</v>
      </c>
      <c r="DS129" s="229">
        <v>0.2281</v>
      </c>
      <c r="DT129" s="231">
        <v>17000</v>
      </c>
      <c r="DU129" s="231">
        <v>16000</v>
      </c>
      <c r="DV129" s="228">
        <v>0.53</v>
      </c>
      <c r="DW129" s="228">
        <v>0.6</v>
      </c>
      <c r="DX129" s="228">
        <v>-7.0000000000000007E-2</v>
      </c>
      <c r="DY129" s="229">
        <v>-0.1167</v>
      </c>
      <c r="DZ129" s="229">
        <v>0.76790000000000003</v>
      </c>
      <c r="EA129" s="230">
        <v>1498150</v>
      </c>
      <c r="EB129" s="229">
        <v>5.7999999999999996E-3</v>
      </c>
      <c r="EC129" s="229">
        <v>0.76790000000000003</v>
      </c>
      <c r="ED129" s="228">
        <v>91.81</v>
      </c>
      <c r="EE129" s="229">
        <v>5.5999999999999999E-3</v>
      </c>
      <c r="EF129" s="230">
        <v>126345</v>
      </c>
      <c r="EG129" s="230">
        <v>117122</v>
      </c>
      <c r="EH129" s="229">
        <v>7.8700000000000006E-2</v>
      </c>
      <c r="EI129" s="229">
        <v>0.5927</v>
      </c>
      <c r="EJ129" s="231">
        <v>825483.3</v>
      </c>
      <c r="EK129" s="231">
        <v>418805.88</v>
      </c>
      <c r="EL129" s="231">
        <v>339914.34</v>
      </c>
      <c r="EM129" s="231">
        <v>19196</v>
      </c>
      <c r="EN129" s="231">
        <v>1584203.52</v>
      </c>
      <c r="EO129" s="231">
        <v>1510967.51</v>
      </c>
      <c r="EP129" s="231">
        <v>73236.009999999995</v>
      </c>
      <c r="EQ129" s="229">
        <v>4.8500000000000001E-2</v>
      </c>
      <c r="ER129" s="231">
        <v>387874</v>
      </c>
      <c r="ES129" s="231">
        <v>249677</v>
      </c>
      <c r="ET129" s="231">
        <v>487453</v>
      </c>
      <c r="EU129" s="231">
        <v>16752897</v>
      </c>
      <c r="EV129" s="231">
        <v>1125004</v>
      </c>
      <c r="EW129" s="231">
        <v>1235023</v>
      </c>
      <c r="EX129" s="231">
        <v>-110019</v>
      </c>
      <c r="EY129" s="229">
        <v>-8.9099999999999999E-2</v>
      </c>
      <c r="EZ129" s="229">
        <v>0.41060000000000002</v>
      </c>
      <c r="FA129" s="227" t="s">
        <v>555</v>
      </c>
      <c r="FB129" s="161">
        <f t="shared" si="1"/>
        <v>2271550</v>
      </c>
    </row>
    <row r="130" spans="1:158" ht="17.25" hidden="1" thickBot="1" x14ac:dyDescent="0.3">
      <c r="A130" s="226">
        <v>45957</v>
      </c>
      <c r="B130" s="227" t="s">
        <v>170</v>
      </c>
      <c r="C130" s="227" t="s">
        <v>603</v>
      </c>
      <c r="D130" s="228">
        <v>525</v>
      </c>
      <c r="E130" s="231">
        <v>1187.9000000000001</v>
      </c>
      <c r="F130" s="231">
        <v>1185.0999999999999</v>
      </c>
      <c r="G130" s="228">
        <v>2.8</v>
      </c>
      <c r="H130" s="229">
        <v>2.3999999999999998E-3</v>
      </c>
      <c r="I130" s="231">
        <v>1186.4000000000001</v>
      </c>
      <c r="J130" s="231">
        <v>1184.0999999999999</v>
      </c>
      <c r="K130" s="228">
        <v>2.2999999999999998</v>
      </c>
      <c r="L130" s="229">
        <v>1.9E-3</v>
      </c>
      <c r="M130" s="231">
        <v>1187.9000000000001</v>
      </c>
      <c r="N130" s="231">
        <v>1185.0999999999999</v>
      </c>
      <c r="O130" s="228">
        <v>2.8</v>
      </c>
      <c r="P130" s="229">
        <v>2.3999999999999998E-3</v>
      </c>
      <c r="Q130" s="231">
        <v>1194.5</v>
      </c>
      <c r="R130" s="231">
        <v>1191.8</v>
      </c>
      <c r="S130" s="228">
        <v>2.7</v>
      </c>
      <c r="T130" s="229">
        <v>2.3E-3</v>
      </c>
      <c r="U130" s="231">
        <v>1202</v>
      </c>
      <c r="V130" s="231">
        <v>1199.4000000000001</v>
      </c>
      <c r="W130" s="228">
        <v>2.6</v>
      </c>
      <c r="X130" s="229">
        <v>2.2000000000000001E-3</v>
      </c>
      <c r="Y130" s="228">
        <v>1.5</v>
      </c>
      <c r="Z130" s="228">
        <v>1</v>
      </c>
      <c r="AA130" s="228">
        <v>0.5</v>
      </c>
      <c r="AB130" s="229">
        <v>1.2999999999999999E-3</v>
      </c>
      <c r="AC130" s="228">
        <v>1.5</v>
      </c>
      <c r="AD130" s="228">
        <v>1</v>
      </c>
      <c r="AE130" s="228">
        <v>0.5</v>
      </c>
      <c r="AF130" s="229">
        <v>1.2999999999999999E-3</v>
      </c>
      <c r="AG130" s="228">
        <v>8.1</v>
      </c>
      <c r="AH130" s="228">
        <v>7.7</v>
      </c>
      <c r="AI130" s="228">
        <v>0.4</v>
      </c>
      <c r="AJ130" s="229">
        <v>6.7999999999999996E-3</v>
      </c>
      <c r="AK130" s="228">
        <v>15.6</v>
      </c>
      <c r="AL130" s="228">
        <v>15.3</v>
      </c>
      <c r="AM130" s="228">
        <v>0.3</v>
      </c>
      <c r="AN130" s="229">
        <v>1.3100000000000001E-2</v>
      </c>
      <c r="AO130" s="231">
        <v>1182.8900000000001</v>
      </c>
      <c r="AP130" s="231">
        <v>1189.6300000000001</v>
      </c>
      <c r="AQ130" s="228">
        <v>0</v>
      </c>
      <c r="AR130" s="230">
        <v>9940350</v>
      </c>
      <c r="AS130" s="230">
        <v>12763275</v>
      </c>
      <c r="AT130" s="230">
        <v>-2822925</v>
      </c>
      <c r="AU130" s="229">
        <v>-0.22120000000000001</v>
      </c>
      <c r="AV130" s="230">
        <v>4684050</v>
      </c>
      <c r="AW130" s="230">
        <v>6280050</v>
      </c>
      <c r="AX130" s="230">
        <v>-1596000</v>
      </c>
      <c r="AY130" s="229">
        <v>-0.25409999999999999</v>
      </c>
      <c r="AZ130" s="230">
        <v>5242650</v>
      </c>
      <c r="BA130" s="230">
        <v>6472725</v>
      </c>
      <c r="BB130" s="230">
        <v>-1230075</v>
      </c>
      <c r="BC130" s="229">
        <v>-0.19</v>
      </c>
      <c r="BD130" s="230">
        <v>13650</v>
      </c>
      <c r="BE130" s="230">
        <v>10500</v>
      </c>
      <c r="BF130" s="230">
        <v>3150</v>
      </c>
      <c r="BG130" s="229">
        <v>0.3</v>
      </c>
      <c r="BH130" s="230">
        <v>3200400</v>
      </c>
      <c r="BI130" s="230">
        <v>5024250</v>
      </c>
      <c r="BJ130" s="230">
        <v>-1823850</v>
      </c>
      <c r="BK130" s="229">
        <v>-0.36299999999999999</v>
      </c>
      <c r="BL130" s="230">
        <v>2445450</v>
      </c>
      <c r="BM130" s="230">
        <v>4956525</v>
      </c>
      <c r="BN130" s="230">
        <v>-2511075</v>
      </c>
      <c r="BO130" s="229">
        <v>-0.50660000000000005</v>
      </c>
      <c r="BP130" s="230">
        <v>15586200</v>
      </c>
      <c r="BQ130" s="230">
        <v>22744050</v>
      </c>
      <c r="BR130" s="230">
        <v>-7157850</v>
      </c>
      <c r="BS130" s="229">
        <v>-0.31469999999999998</v>
      </c>
      <c r="BT130" s="230">
        <v>1010495</v>
      </c>
      <c r="BU130" s="230">
        <v>883398</v>
      </c>
      <c r="BV130" s="230">
        <v>127097</v>
      </c>
      <c r="BW130" s="229">
        <v>0.1439</v>
      </c>
      <c r="BX130" s="230">
        <v>16327500</v>
      </c>
      <c r="BY130" s="230">
        <v>16288125</v>
      </c>
      <c r="BZ130" s="230">
        <v>39375</v>
      </c>
      <c r="CA130" s="229">
        <v>2.3999999999999998E-3</v>
      </c>
      <c r="CB130" s="230">
        <v>2064825</v>
      </c>
      <c r="CC130" s="230">
        <v>5878425</v>
      </c>
      <c r="CD130" s="230">
        <v>-3813600</v>
      </c>
      <c r="CE130" s="229">
        <v>-0.64870000000000005</v>
      </c>
      <c r="CF130" s="230">
        <v>14198625</v>
      </c>
      <c r="CG130" s="230">
        <v>10351425</v>
      </c>
      <c r="CH130" s="230">
        <v>3847200</v>
      </c>
      <c r="CI130" s="229">
        <v>0.37169999999999997</v>
      </c>
      <c r="CJ130" s="230">
        <v>64050</v>
      </c>
      <c r="CK130" s="230">
        <v>58275</v>
      </c>
      <c r="CL130" s="230">
        <v>5775</v>
      </c>
      <c r="CM130" s="229">
        <v>9.9099999999999994E-2</v>
      </c>
      <c r="CN130" s="230">
        <v>3089625</v>
      </c>
      <c r="CO130" s="230">
        <v>3153675</v>
      </c>
      <c r="CP130" s="230">
        <v>-64050</v>
      </c>
      <c r="CQ130" s="229">
        <v>-2.0299999999999999E-2</v>
      </c>
      <c r="CR130" s="230">
        <v>2098425</v>
      </c>
      <c r="CS130" s="230">
        <v>2421825</v>
      </c>
      <c r="CT130" s="230">
        <v>-323400</v>
      </c>
      <c r="CU130" s="229">
        <v>-0.13350000000000001</v>
      </c>
      <c r="CV130" s="230">
        <v>21515550</v>
      </c>
      <c r="CW130" s="230">
        <v>21863625</v>
      </c>
      <c r="CX130" s="230">
        <v>-348075</v>
      </c>
      <c r="CY130" s="229">
        <v>-1.5900000000000001E-2</v>
      </c>
      <c r="CZ130" s="228">
        <v>28.14</v>
      </c>
      <c r="DA130" s="228">
        <v>27.59</v>
      </c>
      <c r="DB130" s="228">
        <v>0.55000000000000004</v>
      </c>
      <c r="DC130" s="228">
        <v>0.55000000000000004</v>
      </c>
      <c r="DD130" s="228">
        <v>40.79</v>
      </c>
      <c r="DE130" s="228">
        <v>40.89</v>
      </c>
      <c r="DF130" s="228">
        <v>-12.65</v>
      </c>
      <c r="DG130" s="228">
        <v>-0.1</v>
      </c>
      <c r="DH130" s="228">
        <v>28.22</v>
      </c>
      <c r="DI130" s="228">
        <v>27.95</v>
      </c>
      <c r="DJ130" s="228">
        <v>0.27</v>
      </c>
      <c r="DK130" s="228">
        <v>0.27</v>
      </c>
      <c r="DL130" s="228">
        <v>28</v>
      </c>
      <c r="DM130" s="228">
        <v>27.03</v>
      </c>
      <c r="DN130" s="228">
        <v>0.97</v>
      </c>
      <c r="DO130" s="228">
        <v>0.97</v>
      </c>
      <c r="DP130" s="228">
        <v>0.68</v>
      </c>
      <c r="DQ130" s="228">
        <v>0.77</v>
      </c>
      <c r="DR130" s="228">
        <v>-0.09</v>
      </c>
      <c r="DS130" s="229">
        <v>-0.1169</v>
      </c>
      <c r="DT130" s="231">
        <v>1240</v>
      </c>
      <c r="DU130" s="231">
        <v>1240</v>
      </c>
      <c r="DV130" s="228">
        <v>0.76</v>
      </c>
      <c r="DW130" s="228">
        <v>0.99</v>
      </c>
      <c r="DX130" s="228">
        <v>-0.23</v>
      </c>
      <c r="DY130" s="229">
        <v>-0.23230000000000001</v>
      </c>
      <c r="DZ130" s="229">
        <v>0.87350000000000005</v>
      </c>
      <c r="EA130" s="230">
        <v>10409700</v>
      </c>
      <c r="EB130" s="229">
        <v>5.5999999999999999E-3</v>
      </c>
      <c r="EC130" s="229">
        <v>0.87350000000000005</v>
      </c>
      <c r="ED130" s="228">
        <v>6.74</v>
      </c>
      <c r="EE130" s="229">
        <v>5.7000000000000002E-3</v>
      </c>
      <c r="EF130" s="230">
        <v>635864</v>
      </c>
      <c r="EG130" s="230">
        <v>501205</v>
      </c>
      <c r="EH130" s="229">
        <v>0.26869999999999999</v>
      </c>
      <c r="EI130" s="229">
        <v>0.62929999999999997</v>
      </c>
      <c r="EJ130" s="231">
        <v>39009.620000000003</v>
      </c>
      <c r="EK130" s="231">
        <v>28555.82</v>
      </c>
      <c r="EL130" s="231">
        <v>117938.73</v>
      </c>
      <c r="EM130" s="231">
        <v>11885</v>
      </c>
      <c r="EN130" s="231">
        <v>185504.17</v>
      </c>
      <c r="EO130" s="231">
        <v>272701.75</v>
      </c>
      <c r="EP130" s="231">
        <v>-87197.58</v>
      </c>
      <c r="EQ130" s="229">
        <v>-0.31979999999999997</v>
      </c>
      <c r="ER130" s="231">
        <v>37466</v>
      </c>
      <c r="ES130" s="231">
        <v>23914</v>
      </c>
      <c r="ET130" s="231">
        <v>194901</v>
      </c>
      <c r="EU130" s="231">
        <v>97211768</v>
      </c>
      <c r="EV130" s="231">
        <v>256281</v>
      </c>
      <c r="EW130" s="231">
        <v>259535</v>
      </c>
      <c r="EX130" s="231">
        <v>-3254</v>
      </c>
      <c r="EY130" s="229">
        <v>-1.2500000000000001E-2</v>
      </c>
      <c r="EZ130" s="229">
        <v>0.2213</v>
      </c>
      <c r="FA130" s="227" t="s">
        <v>555</v>
      </c>
      <c r="FB130" s="161">
        <f t="shared" si="1"/>
        <v>14262675</v>
      </c>
    </row>
    <row r="131" spans="1:158" ht="17.25" hidden="1" thickBot="1" x14ac:dyDescent="0.3">
      <c r="A131" s="226">
        <v>45957</v>
      </c>
      <c r="B131" s="227" t="s">
        <v>215</v>
      </c>
      <c r="C131" s="227" t="s">
        <v>674</v>
      </c>
      <c r="D131" s="228">
        <v>175</v>
      </c>
      <c r="E131" s="231">
        <v>2810.2</v>
      </c>
      <c r="F131" s="231">
        <v>2801.9</v>
      </c>
      <c r="G131" s="228">
        <v>8.3000000000000007</v>
      </c>
      <c r="H131" s="229">
        <v>3.0000000000000001E-3</v>
      </c>
      <c r="I131" s="231">
        <v>2810.4</v>
      </c>
      <c r="J131" s="231">
        <v>2805.5</v>
      </c>
      <c r="K131" s="228">
        <v>4.9000000000000004</v>
      </c>
      <c r="L131" s="229">
        <v>1.6999999999999999E-3</v>
      </c>
      <c r="M131" s="231">
        <v>2810.2</v>
      </c>
      <c r="N131" s="231">
        <v>2801.9</v>
      </c>
      <c r="O131" s="228">
        <v>8.3000000000000007</v>
      </c>
      <c r="P131" s="229">
        <v>3.0000000000000001E-3</v>
      </c>
      <c r="Q131" s="231">
        <v>2817.1</v>
      </c>
      <c r="R131" s="231">
        <v>2807.6</v>
      </c>
      <c r="S131" s="228">
        <v>9.5</v>
      </c>
      <c r="T131" s="229">
        <v>3.3999999999999998E-3</v>
      </c>
      <c r="U131" s="231">
        <v>2834.8</v>
      </c>
      <c r="V131" s="231">
        <v>2824</v>
      </c>
      <c r="W131" s="228">
        <v>10.8</v>
      </c>
      <c r="X131" s="229">
        <v>3.8E-3</v>
      </c>
      <c r="Y131" s="228">
        <v>-0.2</v>
      </c>
      <c r="Z131" s="228">
        <v>-3.6</v>
      </c>
      <c r="AA131" s="228">
        <v>3.4</v>
      </c>
      <c r="AB131" s="229">
        <v>-1E-4</v>
      </c>
      <c r="AC131" s="228">
        <v>-0.2</v>
      </c>
      <c r="AD131" s="228">
        <v>-3.6</v>
      </c>
      <c r="AE131" s="228">
        <v>3.4</v>
      </c>
      <c r="AF131" s="229">
        <v>-1E-4</v>
      </c>
      <c r="AG131" s="228">
        <v>6.7</v>
      </c>
      <c r="AH131" s="228">
        <v>2.1</v>
      </c>
      <c r="AI131" s="228">
        <v>4.5999999999999996</v>
      </c>
      <c r="AJ131" s="229">
        <v>2.3999999999999998E-3</v>
      </c>
      <c r="AK131" s="228">
        <v>24.4</v>
      </c>
      <c r="AL131" s="228">
        <v>18.5</v>
      </c>
      <c r="AM131" s="228">
        <v>5.9</v>
      </c>
      <c r="AN131" s="229">
        <v>8.6999999999999994E-3</v>
      </c>
      <c r="AO131" s="231">
        <v>2817.4</v>
      </c>
      <c r="AP131" s="231">
        <v>2823.47</v>
      </c>
      <c r="AQ131" s="228">
        <v>0</v>
      </c>
      <c r="AR131" s="230">
        <v>3203900</v>
      </c>
      <c r="AS131" s="230">
        <v>2938075</v>
      </c>
      <c r="AT131" s="230">
        <v>265825</v>
      </c>
      <c r="AU131" s="229">
        <v>9.0499999999999997E-2</v>
      </c>
      <c r="AV131" s="230">
        <v>1466675</v>
      </c>
      <c r="AW131" s="230">
        <v>1488900</v>
      </c>
      <c r="AX131" s="230">
        <v>-22225</v>
      </c>
      <c r="AY131" s="229">
        <v>-1.49E-2</v>
      </c>
      <c r="AZ131" s="230">
        <v>1710450</v>
      </c>
      <c r="BA131" s="230">
        <v>1428350</v>
      </c>
      <c r="BB131" s="230">
        <v>282100</v>
      </c>
      <c r="BC131" s="229">
        <v>0.19750000000000001</v>
      </c>
      <c r="BD131" s="230">
        <v>26775</v>
      </c>
      <c r="BE131" s="230">
        <v>20825</v>
      </c>
      <c r="BF131" s="230">
        <v>5950</v>
      </c>
      <c r="BG131" s="229">
        <v>0.28570000000000001</v>
      </c>
      <c r="BH131" s="230">
        <v>5354125</v>
      </c>
      <c r="BI131" s="230">
        <v>5979925</v>
      </c>
      <c r="BJ131" s="230">
        <v>-625800</v>
      </c>
      <c r="BK131" s="229">
        <v>-0.1047</v>
      </c>
      <c r="BL131" s="230">
        <v>2449650</v>
      </c>
      <c r="BM131" s="230">
        <v>1839600</v>
      </c>
      <c r="BN131" s="230">
        <v>610050</v>
      </c>
      <c r="BO131" s="229">
        <v>0.33160000000000001</v>
      </c>
      <c r="BP131" s="230">
        <v>11007675</v>
      </c>
      <c r="BQ131" s="230">
        <v>10757600</v>
      </c>
      <c r="BR131" s="230">
        <v>250075</v>
      </c>
      <c r="BS131" s="229">
        <v>2.3199999999999998E-2</v>
      </c>
      <c r="BT131" s="230">
        <v>688783</v>
      </c>
      <c r="BU131" s="230">
        <v>1094899</v>
      </c>
      <c r="BV131" s="230">
        <v>-406116</v>
      </c>
      <c r="BW131" s="229">
        <v>-0.37090000000000001</v>
      </c>
      <c r="BX131" s="230">
        <v>3963750</v>
      </c>
      <c r="BY131" s="230">
        <v>3845975</v>
      </c>
      <c r="BZ131" s="230">
        <v>117775</v>
      </c>
      <c r="CA131" s="229">
        <v>3.0599999999999999E-2</v>
      </c>
      <c r="CB131" s="230">
        <v>886025</v>
      </c>
      <c r="CC131" s="230">
        <v>1664425</v>
      </c>
      <c r="CD131" s="230">
        <v>-778400</v>
      </c>
      <c r="CE131" s="229">
        <v>-0.4677</v>
      </c>
      <c r="CF131" s="230">
        <v>3021725</v>
      </c>
      <c r="CG131" s="230">
        <v>2137800</v>
      </c>
      <c r="CH131" s="230">
        <v>883925</v>
      </c>
      <c r="CI131" s="229">
        <v>0.41349999999999998</v>
      </c>
      <c r="CJ131" s="230">
        <v>56000</v>
      </c>
      <c r="CK131" s="230">
        <v>43750</v>
      </c>
      <c r="CL131" s="230">
        <v>12250</v>
      </c>
      <c r="CM131" s="229">
        <v>0.28000000000000003</v>
      </c>
      <c r="CN131" s="230">
        <v>3117100</v>
      </c>
      <c r="CO131" s="230">
        <v>2918650</v>
      </c>
      <c r="CP131" s="230">
        <v>198450</v>
      </c>
      <c r="CQ131" s="229">
        <v>6.8000000000000005E-2</v>
      </c>
      <c r="CR131" s="230">
        <v>1762950</v>
      </c>
      <c r="CS131" s="230">
        <v>1540175</v>
      </c>
      <c r="CT131" s="230">
        <v>222775</v>
      </c>
      <c r="CU131" s="229">
        <v>0.14460000000000001</v>
      </c>
      <c r="CV131" s="230">
        <v>8843800</v>
      </c>
      <c r="CW131" s="230">
        <v>8304800</v>
      </c>
      <c r="CX131" s="230">
        <v>539000</v>
      </c>
      <c r="CY131" s="229">
        <v>6.4899999999999999E-2</v>
      </c>
      <c r="CZ131" s="228">
        <v>37.79</v>
      </c>
      <c r="DA131" s="228">
        <v>35.729999999999997</v>
      </c>
      <c r="DB131" s="228">
        <v>2.06</v>
      </c>
      <c r="DC131" s="228">
        <v>2.06</v>
      </c>
      <c r="DD131" s="228">
        <v>58.97</v>
      </c>
      <c r="DE131" s="228">
        <v>59.12</v>
      </c>
      <c r="DF131" s="228">
        <v>-21.18</v>
      </c>
      <c r="DG131" s="228">
        <v>-0.15</v>
      </c>
      <c r="DH131" s="228">
        <v>38.22</v>
      </c>
      <c r="DI131" s="228">
        <v>35.97</v>
      </c>
      <c r="DJ131" s="228">
        <v>2.25</v>
      </c>
      <c r="DK131" s="228">
        <v>2.25</v>
      </c>
      <c r="DL131" s="228">
        <v>36.42</v>
      </c>
      <c r="DM131" s="228">
        <v>35.19</v>
      </c>
      <c r="DN131" s="228">
        <v>1.23</v>
      </c>
      <c r="DO131" s="228">
        <v>1.23</v>
      </c>
      <c r="DP131" s="228">
        <v>0.56999999999999995</v>
      </c>
      <c r="DQ131" s="228">
        <v>0.53</v>
      </c>
      <c r="DR131" s="228">
        <v>0.04</v>
      </c>
      <c r="DS131" s="229">
        <v>7.5499999999999998E-2</v>
      </c>
      <c r="DT131" s="231">
        <v>3000</v>
      </c>
      <c r="DU131" s="231">
        <v>2800</v>
      </c>
      <c r="DV131" s="228">
        <v>0.46</v>
      </c>
      <c r="DW131" s="228">
        <v>0.31</v>
      </c>
      <c r="DX131" s="228">
        <v>0.15</v>
      </c>
      <c r="DY131" s="229">
        <v>0.4839</v>
      </c>
      <c r="DZ131" s="229">
        <v>0.77649999999999997</v>
      </c>
      <c r="EA131" s="230">
        <v>2181550</v>
      </c>
      <c r="EB131" s="229">
        <v>2.5000000000000001E-3</v>
      </c>
      <c r="EC131" s="229">
        <v>0.77649999999999997</v>
      </c>
      <c r="ED131" s="228">
        <v>6.07</v>
      </c>
      <c r="EE131" s="229">
        <v>2.2000000000000001E-3</v>
      </c>
      <c r="EF131" s="230">
        <v>177478</v>
      </c>
      <c r="EG131" s="230">
        <v>308138</v>
      </c>
      <c r="EH131" s="229">
        <v>-0.42399999999999999</v>
      </c>
      <c r="EI131" s="229">
        <v>0.25769999999999998</v>
      </c>
      <c r="EJ131" s="231">
        <v>161127.26</v>
      </c>
      <c r="EK131" s="231">
        <v>68072.89</v>
      </c>
      <c r="EL131" s="231">
        <v>90376.55</v>
      </c>
      <c r="EM131" s="231">
        <v>8721</v>
      </c>
      <c r="EN131" s="231">
        <v>319576.7</v>
      </c>
      <c r="EO131" s="231">
        <v>312727.99</v>
      </c>
      <c r="EP131" s="231">
        <v>6848.71</v>
      </c>
      <c r="EQ131" s="229">
        <v>2.1899999999999999E-2</v>
      </c>
      <c r="ER131" s="231">
        <v>93572</v>
      </c>
      <c r="ES131" s="231">
        <v>49204</v>
      </c>
      <c r="ET131" s="231">
        <v>111612</v>
      </c>
      <c r="EU131" s="231">
        <v>11364224</v>
      </c>
      <c r="EV131" s="231">
        <v>254387</v>
      </c>
      <c r="EW131" s="231">
        <v>238245</v>
      </c>
      <c r="EX131" s="231">
        <v>16142</v>
      </c>
      <c r="EY131" s="229">
        <v>6.7799999999999999E-2</v>
      </c>
      <c r="EZ131" s="229">
        <v>0.7782</v>
      </c>
      <c r="FA131" s="227" t="s">
        <v>555</v>
      </c>
      <c r="FB131" s="161">
        <f t="shared" ref="FB131:FB138" si="2">BX131-CB131</f>
        <v>3077725</v>
      </c>
    </row>
    <row r="132" spans="1:158" ht="17.25" hidden="1" thickBot="1" x14ac:dyDescent="0.3">
      <c r="A132" s="226">
        <v>45957</v>
      </c>
      <c r="B132" s="227" t="s">
        <v>175</v>
      </c>
      <c r="C132" s="227" t="s">
        <v>517</v>
      </c>
      <c r="D132" s="228">
        <v>125</v>
      </c>
      <c r="E132" s="231">
        <v>9310.5</v>
      </c>
      <c r="F132" s="231">
        <v>9004</v>
      </c>
      <c r="G132" s="228">
        <v>306.5</v>
      </c>
      <c r="H132" s="229">
        <v>3.4000000000000002E-2</v>
      </c>
      <c r="I132" s="231">
        <v>9305.5</v>
      </c>
      <c r="J132" s="231">
        <v>9003.5</v>
      </c>
      <c r="K132" s="228">
        <v>302</v>
      </c>
      <c r="L132" s="229">
        <v>3.3500000000000002E-2</v>
      </c>
      <c r="M132" s="231">
        <v>9310.5</v>
      </c>
      <c r="N132" s="231">
        <v>9004</v>
      </c>
      <c r="O132" s="228">
        <v>306.5</v>
      </c>
      <c r="P132" s="229">
        <v>3.4000000000000002E-2</v>
      </c>
      <c r="Q132" s="231">
        <v>9355.5</v>
      </c>
      <c r="R132" s="231">
        <v>9055.5</v>
      </c>
      <c r="S132" s="228">
        <v>300</v>
      </c>
      <c r="T132" s="229">
        <v>3.3099999999999997E-2</v>
      </c>
      <c r="U132" s="231">
        <v>9416</v>
      </c>
      <c r="V132" s="231">
        <v>9113</v>
      </c>
      <c r="W132" s="228">
        <v>303</v>
      </c>
      <c r="X132" s="229">
        <v>3.32E-2</v>
      </c>
      <c r="Y132" s="228">
        <v>5</v>
      </c>
      <c r="Z132" s="228">
        <v>0.5</v>
      </c>
      <c r="AA132" s="228">
        <v>4.5</v>
      </c>
      <c r="AB132" s="229">
        <v>5.0000000000000001E-4</v>
      </c>
      <c r="AC132" s="228">
        <v>5</v>
      </c>
      <c r="AD132" s="228">
        <v>0.5</v>
      </c>
      <c r="AE132" s="228">
        <v>4.5</v>
      </c>
      <c r="AF132" s="229">
        <v>5.0000000000000001E-4</v>
      </c>
      <c r="AG132" s="228">
        <v>50</v>
      </c>
      <c r="AH132" s="228">
        <v>52</v>
      </c>
      <c r="AI132" s="228">
        <v>-2</v>
      </c>
      <c r="AJ132" s="229">
        <v>5.4000000000000003E-3</v>
      </c>
      <c r="AK132" s="228">
        <v>110.5</v>
      </c>
      <c r="AL132" s="228">
        <v>109.5</v>
      </c>
      <c r="AM132" s="228">
        <v>1</v>
      </c>
      <c r="AN132" s="229">
        <v>1.1900000000000001E-2</v>
      </c>
      <c r="AO132" s="231">
        <v>9234.33</v>
      </c>
      <c r="AP132" s="231">
        <v>9281.85</v>
      </c>
      <c r="AQ132" s="228">
        <v>0</v>
      </c>
      <c r="AR132" s="230">
        <v>2514375</v>
      </c>
      <c r="AS132" s="230">
        <v>2591000</v>
      </c>
      <c r="AT132" s="230">
        <v>-76625</v>
      </c>
      <c r="AU132" s="229">
        <v>-2.9600000000000001E-2</v>
      </c>
      <c r="AV132" s="230">
        <v>1247125</v>
      </c>
      <c r="AW132" s="230">
        <v>1451500</v>
      </c>
      <c r="AX132" s="230">
        <v>-204375</v>
      </c>
      <c r="AY132" s="229">
        <v>-0.14080000000000001</v>
      </c>
      <c r="AZ132" s="230">
        <v>1242500</v>
      </c>
      <c r="BA132" s="230">
        <v>1122125</v>
      </c>
      <c r="BB132" s="230">
        <v>120375</v>
      </c>
      <c r="BC132" s="229">
        <v>0.10730000000000001</v>
      </c>
      <c r="BD132" s="230">
        <v>24750</v>
      </c>
      <c r="BE132" s="230">
        <v>17375</v>
      </c>
      <c r="BF132" s="230">
        <v>7375</v>
      </c>
      <c r="BG132" s="229">
        <v>0.42449999999999999</v>
      </c>
      <c r="BH132" s="230">
        <v>17143500</v>
      </c>
      <c r="BI132" s="230">
        <v>9930625</v>
      </c>
      <c r="BJ132" s="230">
        <v>7212875</v>
      </c>
      <c r="BK132" s="229">
        <v>0.72629999999999995</v>
      </c>
      <c r="BL132" s="230">
        <v>6827875</v>
      </c>
      <c r="BM132" s="230">
        <v>6137250</v>
      </c>
      <c r="BN132" s="230">
        <v>690625</v>
      </c>
      <c r="BO132" s="229">
        <v>0.1125</v>
      </c>
      <c r="BP132" s="230">
        <v>26485750</v>
      </c>
      <c r="BQ132" s="230">
        <v>18658875</v>
      </c>
      <c r="BR132" s="230">
        <v>7826875</v>
      </c>
      <c r="BS132" s="229">
        <v>0.41949999999999998</v>
      </c>
      <c r="BT132" s="230">
        <v>671333</v>
      </c>
      <c r="BU132" s="230">
        <v>431232</v>
      </c>
      <c r="BV132" s="230">
        <v>240101</v>
      </c>
      <c r="BW132" s="229">
        <v>0.55679999999999996</v>
      </c>
      <c r="BX132" s="230">
        <v>2914000</v>
      </c>
      <c r="BY132" s="230">
        <v>2800500</v>
      </c>
      <c r="BZ132" s="230">
        <v>113500</v>
      </c>
      <c r="CA132" s="229">
        <v>4.0500000000000001E-2</v>
      </c>
      <c r="CB132" s="230">
        <v>604750</v>
      </c>
      <c r="CC132" s="230">
        <v>1107625</v>
      </c>
      <c r="CD132" s="230">
        <v>-502875</v>
      </c>
      <c r="CE132" s="229">
        <v>-0.45400000000000001</v>
      </c>
      <c r="CF132" s="230">
        <v>2264625</v>
      </c>
      <c r="CG132" s="230">
        <v>1652000</v>
      </c>
      <c r="CH132" s="230">
        <v>612625</v>
      </c>
      <c r="CI132" s="229">
        <v>0.37080000000000002</v>
      </c>
      <c r="CJ132" s="230">
        <v>44625</v>
      </c>
      <c r="CK132" s="230">
        <v>40875</v>
      </c>
      <c r="CL132" s="230">
        <v>3750</v>
      </c>
      <c r="CM132" s="229">
        <v>9.1700000000000004E-2</v>
      </c>
      <c r="CN132" s="230">
        <v>3805000</v>
      </c>
      <c r="CO132" s="230">
        <v>4189625</v>
      </c>
      <c r="CP132" s="230">
        <v>-384625</v>
      </c>
      <c r="CQ132" s="229">
        <v>-9.1800000000000007E-2</v>
      </c>
      <c r="CR132" s="230">
        <v>2379125</v>
      </c>
      <c r="CS132" s="230">
        <v>2386375</v>
      </c>
      <c r="CT132" s="230">
        <v>-7250</v>
      </c>
      <c r="CU132" s="229">
        <v>-3.0000000000000001E-3</v>
      </c>
      <c r="CV132" s="230">
        <v>9098125</v>
      </c>
      <c r="CW132" s="230">
        <v>9376500</v>
      </c>
      <c r="CX132" s="230">
        <v>-278375</v>
      </c>
      <c r="CY132" s="229">
        <v>-2.9700000000000001E-2</v>
      </c>
      <c r="CZ132" s="228">
        <v>41.42</v>
      </c>
      <c r="DA132" s="228">
        <v>39.85</v>
      </c>
      <c r="DB132" s="228">
        <v>1.57</v>
      </c>
      <c r="DC132" s="228">
        <v>1.57</v>
      </c>
      <c r="DD132" s="228">
        <v>47.25</v>
      </c>
      <c r="DE132" s="228">
        <v>47.15</v>
      </c>
      <c r="DF132" s="228">
        <v>-5.83</v>
      </c>
      <c r="DG132" s="228">
        <v>0.1</v>
      </c>
      <c r="DH132" s="228">
        <v>40.96</v>
      </c>
      <c r="DI132" s="228">
        <v>39.82</v>
      </c>
      <c r="DJ132" s="228">
        <v>1.1399999999999999</v>
      </c>
      <c r="DK132" s="228">
        <v>1.1399999999999999</v>
      </c>
      <c r="DL132" s="228">
        <v>42.6</v>
      </c>
      <c r="DM132" s="228">
        <v>39.9</v>
      </c>
      <c r="DN132" s="228">
        <v>2.7</v>
      </c>
      <c r="DO132" s="228">
        <v>2.7</v>
      </c>
      <c r="DP132" s="228">
        <v>0.63</v>
      </c>
      <c r="DQ132" s="228">
        <v>0.56999999999999995</v>
      </c>
      <c r="DR132" s="228">
        <v>0.06</v>
      </c>
      <c r="DS132" s="229">
        <v>0.1053</v>
      </c>
      <c r="DT132" s="231">
        <v>10000</v>
      </c>
      <c r="DU132" s="231">
        <v>8000</v>
      </c>
      <c r="DV132" s="228">
        <v>0.4</v>
      </c>
      <c r="DW132" s="228">
        <v>0.62</v>
      </c>
      <c r="DX132" s="228">
        <v>-0.22</v>
      </c>
      <c r="DY132" s="229">
        <v>-0.3548</v>
      </c>
      <c r="DZ132" s="229">
        <v>0.79249999999999998</v>
      </c>
      <c r="EA132" s="230">
        <v>1692875</v>
      </c>
      <c r="EB132" s="229">
        <v>4.7999999999999996E-3</v>
      </c>
      <c r="EC132" s="229">
        <v>0.79249999999999998</v>
      </c>
      <c r="ED132" s="228">
        <v>47.52</v>
      </c>
      <c r="EE132" s="229">
        <v>5.1000000000000004E-3</v>
      </c>
      <c r="EF132" s="230">
        <v>188279</v>
      </c>
      <c r="EG132" s="230">
        <v>146552</v>
      </c>
      <c r="EH132" s="229">
        <v>0.28470000000000001</v>
      </c>
      <c r="EI132" s="229">
        <v>0.28050000000000003</v>
      </c>
      <c r="EJ132" s="231">
        <v>1645550.91</v>
      </c>
      <c r="EK132" s="231">
        <v>607822.56000000006</v>
      </c>
      <c r="EL132" s="231">
        <v>232801.66</v>
      </c>
      <c r="EM132" s="231">
        <v>11992</v>
      </c>
      <c r="EN132" s="231">
        <v>2486175.13</v>
      </c>
      <c r="EO132" s="231">
        <v>1735741.71</v>
      </c>
      <c r="EP132" s="231">
        <v>750433.42</v>
      </c>
      <c r="EQ132" s="229">
        <v>0.43230000000000002</v>
      </c>
      <c r="ER132" s="231">
        <v>365013</v>
      </c>
      <c r="ES132" s="231">
        <v>203223</v>
      </c>
      <c r="ET132" s="231">
        <v>272374</v>
      </c>
      <c r="EU132" s="231">
        <v>7635422</v>
      </c>
      <c r="EV132" s="231">
        <v>840611</v>
      </c>
      <c r="EW132" s="231">
        <v>856109</v>
      </c>
      <c r="EX132" s="231">
        <v>-15498</v>
      </c>
      <c r="EY132" s="229">
        <v>-1.8100000000000002E-2</v>
      </c>
      <c r="EZ132" s="229">
        <v>1.1916</v>
      </c>
      <c r="FA132" s="227" t="s">
        <v>555</v>
      </c>
      <c r="FB132" s="161">
        <f t="shared" si="2"/>
        <v>2309250</v>
      </c>
    </row>
    <row r="133" spans="1:158" ht="17.25" hidden="1" thickBot="1" x14ac:dyDescent="0.3">
      <c r="A133" s="226">
        <v>45957</v>
      </c>
      <c r="B133" s="227" t="s">
        <v>175</v>
      </c>
      <c r="C133" s="227" t="s">
        <v>257</v>
      </c>
      <c r="D133" s="228">
        <v>800</v>
      </c>
      <c r="E133" s="231">
        <v>1512.2</v>
      </c>
      <c r="F133" s="231">
        <v>1517</v>
      </c>
      <c r="G133" s="228">
        <v>-4.8</v>
      </c>
      <c r="H133" s="229">
        <v>-3.2000000000000002E-3</v>
      </c>
      <c r="I133" s="231">
        <v>1513.6</v>
      </c>
      <c r="J133" s="231">
        <v>1518</v>
      </c>
      <c r="K133" s="228">
        <v>-4.4000000000000004</v>
      </c>
      <c r="L133" s="229">
        <v>-2.8999999999999998E-3</v>
      </c>
      <c r="M133" s="231">
        <v>1512.2</v>
      </c>
      <c r="N133" s="231">
        <v>1517</v>
      </c>
      <c r="O133" s="228">
        <v>-4.8</v>
      </c>
      <c r="P133" s="229">
        <v>-3.2000000000000002E-3</v>
      </c>
      <c r="Q133" s="231">
        <v>1521.6</v>
      </c>
      <c r="R133" s="231">
        <v>1525.5</v>
      </c>
      <c r="S133" s="228">
        <v>-3.9</v>
      </c>
      <c r="T133" s="229">
        <v>-2.5999999999999999E-3</v>
      </c>
      <c r="U133" s="231">
        <v>1535.4</v>
      </c>
      <c r="V133" s="231">
        <v>1530.6</v>
      </c>
      <c r="W133" s="228">
        <v>4.8</v>
      </c>
      <c r="X133" s="229">
        <v>3.0999999999999999E-3</v>
      </c>
      <c r="Y133" s="228">
        <v>-1.4</v>
      </c>
      <c r="Z133" s="228">
        <v>-1</v>
      </c>
      <c r="AA133" s="228">
        <v>-0.4</v>
      </c>
      <c r="AB133" s="229">
        <v>-8.9999999999999998E-4</v>
      </c>
      <c r="AC133" s="228">
        <v>-1.4</v>
      </c>
      <c r="AD133" s="228">
        <v>-1</v>
      </c>
      <c r="AE133" s="228">
        <v>-0.4</v>
      </c>
      <c r="AF133" s="229">
        <v>-8.9999999999999998E-4</v>
      </c>
      <c r="AG133" s="228">
        <v>8</v>
      </c>
      <c r="AH133" s="228">
        <v>7.5</v>
      </c>
      <c r="AI133" s="228">
        <v>0.5</v>
      </c>
      <c r="AJ133" s="229">
        <v>5.3E-3</v>
      </c>
      <c r="AK133" s="228">
        <v>21.8</v>
      </c>
      <c r="AL133" s="228">
        <v>12.6</v>
      </c>
      <c r="AM133" s="228">
        <v>9.1999999999999993</v>
      </c>
      <c r="AN133" s="229">
        <v>1.44E-2</v>
      </c>
      <c r="AO133" s="231">
        <v>1515.49</v>
      </c>
      <c r="AP133" s="231">
        <v>1524.26</v>
      </c>
      <c r="AQ133" s="228">
        <v>0</v>
      </c>
      <c r="AR133" s="230">
        <v>4292000</v>
      </c>
      <c r="AS133" s="230">
        <v>4724800</v>
      </c>
      <c r="AT133" s="230">
        <v>-432800</v>
      </c>
      <c r="AU133" s="229">
        <v>-9.1600000000000001E-2</v>
      </c>
      <c r="AV133" s="230">
        <v>1924800</v>
      </c>
      <c r="AW133" s="230">
        <v>2328000</v>
      </c>
      <c r="AX133" s="230">
        <v>-403200</v>
      </c>
      <c r="AY133" s="229">
        <v>-0.17319999999999999</v>
      </c>
      <c r="AZ133" s="230">
        <v>2360800</v>
      </c>
      <c r="BA133" s="230">
        <v>2392800</v>
      </c>
      <c r="BB133" s="230">
        <v>-32000</v>
      </c>
      <c r="BC133" s="229">
        <v>-1.34E-2</v>
      </c>
      <c r="BD133" s="230">
        <v>6400</v>
      </c>
      <c r="BE133" s="230">
        <v>4000</v>
      </c>
      <c r="BF133" s="230">
        <v>2400</v>
      </c>
      <c r="BG133" s="229">
        <v>0.6</v>
      </c>
      <c r="BH133" s="230">
        <v>2455200</v>
      </c>
      <c r="BI133" s="230">
        <v>2563200</v>
      </c>
      <c r="BJ133" s="230">
        <v>-108000</v>
      </c>
      <c r="BK133" s="229">
        <v>-4.2099999999999999E-2</v>
      </c>
      <c r="BL133" s="230">
        <v>1107200</v>
      </c>
      <c r="BM133" s="230">
        <v>1195200</v>
      </c>
      <c r="BN133" s="230">
        <v>-88000</v>
      </c>
      <c r="BO133" s="229">
        <v>-7.3599999999999999E-2</v>
      </c>
      <c r="BP133" s="230">
        <v>7854400</v>
      </c>
      <c r="BQ133" s="230">
        <v>8483200</v>
      </c>
      <c r="BR133" s="230">
        <v>-628800</v>
      </c>
      <c r="BS133" s="229">
        <v>-7.4099999999999999E-2</v>
      </c>
      <c r="BT133" s="230">
        <v>1165785</v>
      </c>
      <c r="BU133" s="230">
        <v>276105</v>
      </c>
      <c r="BV133" s="230">
        <v>889680</v>
      </c>
      <c r="BW133" s="229">
        <v>3.2223000000000002</v>
      </c>
      <c r="BX133" s="230">
        <v>5976800</v>
      </c>
      <c r="BY133" s="230">
        <v>5864000</v>
      </c>
      <c r="BZ133" s="230">
        <v>112800</v>
      </c>
      <c r="CA133" s="229">
        <v>1.9199999999999998E-2</v>
      </c>
      <c r="CB133" s="230">
        <v>881600</v>
      </c>
      <c r="CC133" s="230">
        <v>2160000</v>
      </c>
      <c r="CD133" s="230">
        <v>-1278400</v>
      </c>
      <c r="CE133" s="229">
        <v>-0.59189999999999998</v>
      </c>
      <c r="CF133" s="230">
        <v>5068800</v>
      </c>
      <c r="CG133" s="230">
        <v>3682400</v>
      </c>
      <c r="CH133" s="230">
        <v>1386400</v>
      </c>
      <c r="CI133" s="229">
        <v>0.3765</v>
      </c>
      <c r="CJ133" s="230">
        <v>26400</v>
      </c>
      <c r="CK133" s="230">
        <v>21600</v>
      </c>
      <c r="CL133" s="230">
        <v>4800</v>
      </c>
      <c r="CM133" s="229">
        <v>0.22220000000000001</v>
      </c>
      <c r="CN133" s="230">
        <v>1679200</v>
      </c>
      <c r="CO133" s="230">
        <v>1722400</v>
      </c>
      <c r="CP133" s="230">
        <v>-43200</v>
      </c>
      <c r="CQ133" s="229">
        <v>-2.5100000000000001E-2</v>
      </c>
      <c r="CR133" s="230">
        <v>1194400</v>
      </c>
      <c r="CS133" s="230">
        <v>1302400</v>
      </c>
      <c r="CT133" s="230">
        <v>-108000</v>
      </c>
      <c r="CU133" s="229">
        <v>-8.2900000000000001E-2</v>
      </c>
      <c r="CV133" s="230">
        <v>8850400</v>
      </c>
      <c r="CW133" s="230">
        <v>8888800</v>
      </c>
      <c r="CX133" s="230">
        <v>-38400</v>
      </c>
      <c r="CY133" s="229">
        <v>-4.3E-3</v>
      </c>
      <c r="CZ133" s="228">
        <v>29.2</v>
      </c>
      <c r="DA133" s="228">
        <v>28.4</v>
      </c>
      <c r="DB133" s="228">
        <v>0.8</v>
      </c>
      <c r="DC133" s="228">
        <v>0.8</v>
      </c>
      <c r="DD133" s="228">
        <v>30.37</v>
      </c>
      <c r="DE133" s="228">
        <v>30.44</v>
      </c>
      <c r="DF133" s="228">
        <v>-1.17</v>
      </c>
      <c r="DG133" s="228">
        <v>-7.0000000000000007E-2</v>
      </c>
      <c r="DH133" s="228">
        <v>29.3</v>
      </c>
      <c r="DI133" s="228">
        <v>28.66</v>
      </c>
      <c r="DJ133" s="228">
        <v>0.64</v>
      </c>
      <c r="DK133" s="228">
        <v>0.64</v>
      </c>
      <c r="DL133" s="228">
        <v>29.04</v>
      </c>
      <c r="DM133" s="228">
        <v>28.07</v>
      </c>
      <c r="DN133" s="228">
        <v>0.97</v>
      </c>
      <c r="DO133" s="228">
        <v>0.97</v>
      </c>
      <c r="DP133" s="228">
        <v>0.71</v>
      </c>
      <c r="DQ133" s="228">
        <v>0.76</v>
      </c>
      <c r="DR133" s="228">
        <v>-0.05</v>
      </c>
      <c r="DS133" s="229">
        <v>-6.5799999999999997E-2</v>
      </c>
      <c r="DT133" s="231">
        <v>1700</v>
      </c>
      <c r="DU133" s="231">
        <v>1460</v>
      </c>
      <c r="DV133" s="228">
        <v>0.45</v>
      </c>
      <c r="DW133" s="228">
        <v>0.47</v>
      </c>
      <c r="DX133" s="228">
        <v>-0.02</v>
      </c>
      <c r="DY133" s="229">
        <v>-4.2599999999999999E-2</v>
      </c>
      <c r="DZ133" s="229">
        <v>0.85250000000000004</v>
      </c>
      <c r="EA133" s="230">
        <v>3704000</v>
      </c>
      <c r="EB133" s="229">
        <v>6.1999999999999998E-3</v>
      </c>
      <c r="EC133" s="229">
        <v>0.85250000000000004</v>
      </c>
      <c r="ED133" s="228">
        <v>8.77</v>
      </c>
      <c r="EE133" s="229">
        <v>5.7999999999999996E-3</v>
      </c>
      <c r="EF133" s="230">
        <v>903822</v>
      </c>
      <c r="EG133" s="230">
        <v>166744</v>
      </c>
      <c r="EH133" s="229">
        <v>4.4203999999999999</v>
      </c>
      <c r="EI133" s="229">
        <v>0.77529999999999999</v>
      </c>
      <c r="EJ133" s="231">
        <v>38456.93</v>
      </c>
      <c r="EK133" s="231">
        <v>16742.12</v>
      </c>
      <c r="EL133" s="231">
        <v>65253.31</v>
      </c>
      <c r="EM133" s="231">
        <v>3086</v>
      </c>
      <c r="EN133" s="231">
        <v>120452.36</v>
      </c>
      <c r="EO133" s="231">
        <v>130472.65</v>
      </c>
      <c r="EP133" s="231">
        <v>-10020.290000000001</v>
      </c>
      <c r="EQ133" s="229">
        <v>-7.6799999999999993E-2</v>
      </c>
      <c r="ER133" s="231">
        <v>27345</v>
      </c>
      <c r="ES133" s="231">
        <v>18019</v>
      </c>
      <c r="ET133" s="231">
        <v>90864</v>
      </c>
      <c r="EU133" s="231">
        <v>34712157</v>
      </c>
      <c r="EV133" s="231">
        <v>136227</v>
      </c>
      <c r="EW133" s="231">
        <v>137133</v>
      </c>
      <c r="EX133" s="228">
        <v>-906</v>
      </c>
      <c r="EY133" s="229">
        <v>-6.6E-3</v>
      </c>
      <c r="EZ133" s="229">
        <v>0.255</v>
      </c>
      <c r="FA133" s="227" t="s">
        <v>567</v>
      </c>
      <c r="FB133" s="161">
        <f t="shared" si="2"/>
        <v>5095200</v>
      </c>
    </row>
    <row r="134" spans="1:158" ht="17.25" hidden="1" thickBot="1" x14ac:dyDescent="0.3">
      <c r="A134" s="226">
        <v>45957</v>
      </c>
      <c r="B134" s="227" t="s">
        <v>181</v>
      </c>
      <c r="C134" s="227" t="s">
        <v>563</v>
      </c>
      <c r="D134" s="228">
        <v>140</v>
      </c>
      <c r="E134" s="231">
        <v>13367.75</v>
      </c>
      <c r="F134" s="231">
        <v>13168.35</v>
      </c>
      <c r="G134" s="228">
        <v>199.4</v>
      </c>
      <c r="H134" s="229">
        <v>1.5100000000000001E-2</v>
      </c>
      <c r="I134" s="231">
        <v>13345.3</v>
      </c>
      <c r="J134" s="231">
        <v>13164.85</v>
      </c>
      <c r="K134" s="228">
        <v>180.45</v>
      </c>
      <c r="L134" s="229">
        <v>1.37E-2</v>
      </c>
      <c r="M134" s="231">
        <v>13367.75</v>
      </c>
      <c r="N134" s="231">
        <v>13168.35</v>
      </c>
      <c r="O134" s="228">
        <v>199.4</v>
      </c>
      <c r="P134" s="229">
        <v>1.5100000000000001E-2</v>
      </c>
      <c r="Q134" s="231">
        <v>13415.75</v>
      </c>
      <c r="R134" s="231">
        <v>13223.45</v>
      </c>
      <c r="S134" s="228">
        <v>192.3</v>
      </c>
      <c r="T134" s="229">
        <v>1.4500000000000001E-2</v>
      </c>
      <c r="U134" s="231">
        <v>13474.1</v>
      </c>
      <c r="V134" s="231">
        <v>13304</v>
      </c>
      <c r="W134" s="228">
        <v>170.1</v>
      </c>
      <c r="X134" s="229">
        <v>1.2800000000000001E-2</v>
      </c>
      <c r="Y134" s="228">
        <v>22.45</v>
      </c>
      <c r="Z134" s="228">
        <v>3.5</v>
      </c>
      <c r="AA134" s="228">
        <v>18.95</v>
      </c>
      <c r="AB134" s="229">
        <v>1.6999999999999999E-3</v>
      </c>
      <c r="AC134" s="228">
        <v>22.45</v>
      </c>
      <c r="AD134" s="228">
        <v>3.5</v>
      </c>
      <c r="AE134" s="228">
        <v>18.95</v>
      </c>
      <c r="AF134" s="229">
        <v>1.6999999999999999E-3</v>
      </c>
      <c r="AG134" s="228">
        <v>70.45</v>
      </c>
      <c r="AH134" s="228">
        <v>58.6</v>
      </c>
      <c r="AI134" s="228">
        <v>11.85</v>
      </c>
      <c r="AJ134" s="229">
        <v>5.3E-3</v>
      </c>
      <c r="AK134" s="228">
        <v>128.80000000000001</v>
      </c>
      <c r="AL134" s="228">
        <v>139.15</v>
      </c>
      <c r="AM134" s="228">
        <v>-10.35</v>
      </c>
      <c r="AN134" s="229">
        <v>9.7000000000000003E-3</v>
      </c>
      <c r="AO134" s="231">
        <v>13331.23</v>
      </c>
      <c r="AP134" s="231">
        <v>13383.12</v>
      </c>
      <c r="AQ134" s="228">
        <v>0</v>
      </c>
      <c r="AR134" s="230">
        <v>2056600</v>
      </c>
      <c r="AS134" s="230">
        <v>2798320</v>
      </c>
      <c r="AT134" s="230">
        <v>-741720</v>
      </c>
      <c r="AU134" s="229">
        <v>-0.2651</v>
      </c>
      <c r="AV134" s="230">
        <v>1092140</v>
      </c>
      <c r="AW134" s="230">
        <v>1726480</v>
      </c>
      <c r="AX134" s="230">
        <v>-634340</v>
      </c>
      <c r="AY134" s="229">
        <v>-0.3674</v>
      </c>
      <c r="AZ134" s="230">
        <v>938280</v>
      </c>
      <c r="BA134" s="230">
        <v>1054200</v>
      </c>
      <c r="BB134" s="230">
        <v>-115920</v>
      </c>
      <c r="BC134" s="229">
        <v>-0.11</v>
      </c>
      <c r="BD134" s="230">
        <v>26180</v>
      </c>
      <c r="BE134" s="230">
        <v>17640</v>
      </c>
      <c r="BF134" s="230">
        <v>8540</v>
      </c>
      <c r="BG134" s="229">
        <v>0.48409999999999997</v>
      </c>
      <c r="BH134" s="230">
        <v>169864520</v>
      </c>
      <c r="BI134" s="230">
        <v>138967220</v>
      </c>
      <c r="BJ134" s="230">
        <v>30897300</v>
      </c>
      <c r="BK134" s="229">
        <v>0.2223</v>
      </c>
      <c r="BL134" s="230">
        <v>143358040</v>
      </c>
      <c r="BM134" s="230">
        <v>139189400</v>
      </c>
      <c r="BN134" s="230">
        <v>4168640</v>
      </c>
      <c r="BO134" s="229">
        <v>2.9899999999999999E-2</v>
      </c>
      <c r="BP134" s="230">
        <v>315279160</v>
      </c>
      <c r="BQ134" s="230">
        <v>280954940</v>
      </c>
      <c r="BR134" s="230">
        <v>34324220</v>
      </c>
      <c r="BS134" s="229">
        <v>0.1222</v>
      </c>
      <c r="BT134" s="228">
        <v>0</v>
      </c>
      <c r="BU134" s="228">
        <v>0</v>
      </c>
      <c r="BV134" s="228">
        <v>0</v>
      </c>
      <c r="BW134" s="229">
        <v>0</v>
      </c>
      <c r="BX134" s="230">
        <v>2538060</v>
      </c>
      <c r="BY134" s="230">
        <v>2387000</v>
      </c>
      <c r="BZ134" s="230">
        <v>151060</v>
      </c>
      <c r="CA134" s="229">
        <v>6.3299999999999995E-2</v>
      </c>
      <c r="CB134" s="230">
        <v>839440</v>
      </c>
      <c r="CC134" s="230">
        <v>1278760</v>
      </c>
      <c r="CD134" s="230">
        <v>-439320</v>
      </c>
      <c r="CE134" s="229">
        <v>-0.34360000000000002</v>
      </c>
      <c r="CF134" s="230">
        <v>1668240</v>
      </c>
      <c r="CG134" s="230">
        <v>1081220</v>
      </c>
      <c r="CH134" s="230">
        <v>587020</v>
      </c>
      <c r="CI134" s="229">
        <v>0.54290000000000005</v>
      </c>
      <c r="CJ134" s="230">
        <v>30380</v>
      </c>
      <c r="CK134" s="230">
        <v>27020</v>
      </c>
      <c r="CL134" s="230">
        <v>3360</v>
      </c>
      <c r="CM134" s="229">
        <v>0.1244</v>
      </c>
      <c r="CN134" s="230">
        <v>12992840</v>
      </c>
      <c r="CO134" s="230">
        <v>13760880</v>
      </c>
      <c r="CP134" s="230">
        <v>-768040</v>
      </c>
      <c r="CQ134" s="229">
        <v>-5.5800000000000002E-2</v>
      </c>
      <c r="CR134" s="230">
        <v>15490860</v>
      </c>
      <c r="CS134" s="230">
        <v>12184200</v>
      </c>
      <c r="CT134" s="230">
        <v>3306660</v>
      </c>
      <c r="CU134" s="229">
        <v>0.27139999999999997</v>
      </c>
      <c r="CV134" s="230">
        <v>31021760</v>
      </c>
      <c r="CW134" s="230">
        <v>28332080</v>
      </c>
      <c r="CX134" s="230">
        <v>2689680</v>
      </c>
      <c r="CY134" s="229">
        <v>9.4899999999999998E-2</v>
      </c>
      <c r="CZ134" s="228">
        <v>16.63</v>
      </c>
      <c r="DA134" s="228">
        <v>16.3</v>
      </c>
      <c r="DB134" s="228">
        <v>0.33</v>
      </c>
      <c r="DC134" s="228">
        <v>0.33</v>
      </c>
      <c r="DD134" s="228">
        <v>22.7</v>
      </c>
      <c r="DE134" s="228">
        <v>22.66</v>
      </c>
      <c r="DF134" s="228">
        <v>-6.07</v>
      </c>
      <c r="DG134" s="228">
        <v>0.04</v>
      </c>
      <c r="DH134" s="228">
        <v>15.64</v>
      </c>
      <c r="DI134" s="228">
        <v>15.63</v>
      </c>
      <c r="DJ134" s="228">
        <v>0.01</v>
      </c>
      <c r="DK134" s="228">
        <v>0.01</v>
      </c>
      <c r="DL134" s="228">
        <v>17.79</v>
      </c>
      <c r="DM134" s="228">
        <v>16.940000000000001</v>
      </c>
      <c r="DN134" s="228">
        <v>0.85</v>
      </c>
      <c r="DO134" s="228">
        <v>0.85</v>
      </c>
      <c r="DP134" s="228">
        <v>1.19</v>
      </c>
      <c r="DQ134" s="228">
        <v>0.89</v>
      </c>
      <c r="DR134" s="228">
        <v>0.3</v>
      </c>
      <c r="DS134" s="229">
        <v>0.33710000000000001</v>
      </c>
      <c r="DT134" s="231">
        <v>13400</v>
      </c>
      <c r="DU134" s="231">
        <v>13300</v>
      </c>
      <c r="DV134" s="228">
        <v>0.84</v>
      </c>
      <c r="DW134" s="228">
        <v>1</v>
      </c>
      <c r="DX134" s="228">
        <v>-0.16</v>
      </c>
      <c r="DY134" s="229">
        <v>-0.16</v>
      </c>
      <c r="DZ134" s="229">
        <v>0.66930000000000001</v>
      </c>
      <c r="EA134" s="230">
        <v>1108240</v>
      </c>
      <c r="EB134" s="229">
        <v>3.5999999999999999E-3</v>
      </c>
      <c r="EC134" s="229">
        <v>0.66930000000000001</v>
      </c>
      <c r="ED134" s="228">
        <v>51.89</v>
      </c>
      <c r="EE134" s="229">
        <v>3.8999999999999998E-3</v>
      </c>
      <c r="EF134" s="228">
        <v>0</v>
      </c>
      <c r="EG134" s="228">
        <v>0</v>
      </c>
      <c r="EH134" s="229">
        <v>0</v>
      </c>
      <c r="EI134" s="229">
        <v>0</v>
      </c>
      <c r="EJ134" s="231">
        <v>22839635.309999999</v>
      </c>
      <c r="EK134" s="231">
        <v>18899449.550000001</v>
      </c>
      <c r="EL134" s="231">
        <v>274685.09000000003</v>
      </c>
      <c r="EM134" s="228">
        <v>0</v>
      </c>
      <c r="EN134" s="231">
        <v>42013769.950000003</v>
      </c>
      <c r="EO134" s="231">
        <v>37220080.630000003</v>
      </c>
      <c r="EP134" s="231">
        <v>4793689.32</v>
      </c>
      <c r="EQ134" s="229">
        <v>0.1288</v>
      </c>
      <c r="ER134" s="231">
        <v>1746971</v>
      </c>
      <c r="ES134" s="231">
        <v>2008192</v>
      </c>
      <c r="ET134" s="231">
        <v>340115</v>
      </c>
      <c r="EU134" s="228">
        <v>0</v>
      </c>
      <c r="EV134" s="231">
        <v>4095278</v>
      </c>
      <c r="EW134" s="231">
        <v>3722098</v>
      </c>
      <c r="EX134" s="231">
        <v>373180</v>
      </c>
      <c r="EY134" s="229">
        <v>0.1003</v>
      </c>
      <c r="EZ134" s="229">
        <v>0</v>
      </c>
      <c r="FA134" s="227" t="s">
        <v>555</v>
      </c>
      <c r="FB134" s="161">
        <f t="shared" si="2"/>
        <v>1698620</v>
      </c>
    </row>
    <row r="135" spans="1:158" ht="17.25" hidden="1" thickBot="1" x14ac:dyDescent="0.3">
      <c r="A135" s="226">
        <v>45957</v>
      </c>
      <c r="B135" s="227" t="s">
        <v>162</v>
      </c>
      <c r="C135" s="227" t="s">
        <v>559</v>
      </c>
      <c r="D135" s="228">
        <v>6150</v>
      </c>
      <c r="E135" s="228">
        <v>107.08</v>
      </c>
      <c r="F135" s="228">
        <v>106.13</v>
      </c>
      <c r="G135" s="228">
        <v>0.95</v>
      </c>
      <c r="H135" s="229">
        <v>8.9999999999999993E-3</v>
      </c>
      <c r="I135" s="228">
        <v>106.93</v>
      </c>
      <c r="J135" s="228">
        <v>106.25</v>
      </c>
      <c r="K135" s="228">
        <v>0.68</v>
      </c>
      <c r="L135" s="229">
        <v>6.4000000000000003E-3</v>
      </c>
      <c r="M135" s="228">
        <v>107.08</v>
      </c>
      <c r="N135" s="228">
        <v>106.13</v>
      </c>
      <c r="O135" s="228">
        <v>0.95</v>
      </c>
      <c r="P135" s="229">
        <v>8.9999999999999993E-3</v>
      </c>
      <c r="Q135" s="228">
        <v>107.66</v>
      </c>
      <c r="R135" s="228">
        <v>106.7</v>
      </c>
      <c r="S135" s="228">
        <v>0.96</v>
      </c>
      <c r="T135" s="229">
        <v>8.9999999999999993E-3</v>
      </c>
      <c r="U135" s="228">
        <v>108.33</v>
      </c>
      <c r="V135" s="228">
        <v>107.43</v>
      </c>
      <c r="W135" s="228">
        <v>0.9</v>
      </c>
      <c r="X135" s="229">
        <v>8.3999999999999995E-3</v>
      </c>
      <c r="Y135" s="228">
        <v>0.15</v>
      </c>
      <c r="Z135" s="228">
        <v>-0.12</v>
      </c>
      <c r="AA135" s="228">
        <v>0.27</v>
      </c>
      <c r="AB135" s="229">
        <v>1.4E-3</v>
      </c>
      <c r="AC135" s="228">
        <v>0.15</v>
      </c>
      <c r="AD135" s="228">
        <v>-0.12</v>
      </c>
      <c r="AE135" s="228">
        <v>0.27</v>
      </c>
      <c r="AF135" s="229">
        <v>1.4E-3</v>
      </c>
      <c r="AG135" s="228">
        <v>0.73</v>
      </c>
      <c r="AH135" s="228">
        <v>0.45</v>
      </c>
      <c r="AI135" s="228">
        <v>0.28000000000000003</v>
      </c>
      <c r="AJ135" s="229">
        <v>6.7999999999999996E-3</v>
      </c>
      <c r="AK135" s="228">
        <v>1.4</v>
      </c>
      <c r="AL135" s="228">
        <v>1.18</v>
      </c>
      <c r="AM135" s="228">
        <v>0.22</v>
      </c>
      <c r="AN135" s="229">
        <v>1.3100000000000001E-2</v>
      </c>
      <c r="AO135" s="228">
        <v>106.73</v>
      </c>
      <c r="AP135" s="228">
        <v>107.33</v>
      </c>
      <c r="AQ135" s="228">
        <v>0</v>
      </c>
      <c r="AR135" s="230">
        <v>108713550</v>
      </c>
      <c r="AS135" s="230">
        <v>120829050</v>
      </c>
      <c r="AT135" s="230">
        <v>-12115500</v>
      </c>
      <c r="AU135" s="229">
        <v>-0.1003</v>
      </c>
      <c r="AV135" s="230">
        <v>53412750</v>
      </c>
      <c r="AW135" s="230">
        <v>59784150</v>
      </c>
      <c r="AX135" s="230">
        <v>-6371400</v>
      </c>
      <c r="AY135" s="229">
        <v>-0.1066</v>
      </c>
      <c r="AZ135" s="230">
        <v>54353700</v>
      </c>
      <c r="BA135" s="230">
        <v>60479100</v>
      </c>
      <c r="BB135" s="230">
        <v>-6125400</v>
      </c>
      <c r="BC135" s="229">
        <v>-0.1013</v>
      </c>
      <c r="BD135" s="230">
        <v>947100</v>
      </c>
      <c r="BE135" s="230">
        <v>565800</v>
      </c>
      <c r="BF135" s="230">
        <v>381300</v>
      </c>
      <c r="BG135" s="229">
        <v>0.67390000000000005</v>
      </c>
      <c r="BH135" s="230">
        <v>43917150</v>
      </c>
      <c r="BI135" s="230">
        <v>67674600</v>
      </c>
      <c r="BJ135" s="230">
        <v>-23757450</v>
      </c>
      <c r="BK135" s="229">
        <v>-0.35110000000000002</v>
      </c>
      <c r="BL135" s="230">
        <v>24108000</v>
      </c>
      <c r="BM135" s="230">
        <v>27976350</v>
      </c>
      <c r="BN135" s="230">
        <v>-3868350</v>
      </c>
      <c r="BO135" s="229">
        <v>-0.13830000000000001</v>
      </c>
      <c r="BP135" s="230">
        <v>176738700</v>
      </c>
      <c r="BQ135" s="230">
        <v>216480000</v>
      </c>
      <c r="BR135" s="230">
        <v>-39741300</v>
      </c>
      <c r="BS135" s="229">
        <v>-0.18360000000000001</v>
      </c>
      <c r="BT135" s="230">
        <v>9306770</v>
      </c>
      <c r="BU135" s="230">
        <v>12524491</v>
      </c>
      <c r="BV135" s="230">
        <v>-3217721</v>
      </c>
      <c r="BW135" s="229">
        <v>-0.25690000000000002</v>
      </c>
      <c r="BX135" s="230">
        <v>166984800</v>
      </c>
      <c r="BY135" s="230">
        <v>169604700</v>
      </c>
      <c r="BZ135" s="230">
        <v>-2619900</v>
      </c>
      <c r="CA135" s="229">
        <v>-1.54E-2</v>
      </c>
      <c r="CB135" s="230">
        <v>30055050</v>
      </c>
      <c r="CC135" s="230">
        <v>71665950</v>
      </c>
      <c r="CD135" s="230">
        <v>-41610900</v>
      </c>
      <c r="CE135" s="229">
        <v>-0.5806</v>
      </c>
      <c r="CF135" s="230">
        <v>135121650</v>
      </c>
      <c r="CG135" s="230">
        <v>96315150</v>
      </c>
      <c r="CH135" s="230">
        <v>38806500</v>
      </c>
      <c r="CI135" s="229">
        <v>0.40289999999999998</v>
      </c>
      <c r="CJ135" s="230">
        <v>1808100</v>
      </c>
      <c r="CK135" s="230">
        <v>1623600</v>
      </c>
      <c r="CL135" s="230">
        <v>184500</v>
      </c>
      <c r="CM135" s="229">
        <v>0.11360000000000001</v>
      </c>
      <c r="CN135" s="230">
        <v>91143000</v>
      </c>
      <c r="CO135" s="230">
        <v>95115900</v>
      </c>
      <c r="CP135" s="230">
        <v>-3972900</v>
      </c>
      <c r="CQ135" s="229">
        <v>-4.1799999999999997E-2</v>
      </c>
      <c r="CR135" s="230">
        <v>47016750</v>
      </c>
      <c r="CS135" s="230">
        <v>46358700</v>
      </c>
      <c r="CT135" s="230">
        <v>658050</v>
      </c>
      <c r="CU135" s="229">
        <v>1.4200000000000001E-2</v>
      </c>
      <c r="CV135" s="230">
        <v>305144550</v>
      </c>
      <c r="CW135" s="230">
        <v>311079300</v>
      </c>
      <c r="CX135" s="230">
        <v>-5934750</v>
      </c>
      <c r="CY135" s="229">
        <v>-1.9099999999999999E-2</v>
      </c>
      <c r="CZ135" s="228">
        <v>38.11</v>
      </c>
      <c r="DA135" s="228">
        <v>38.92</v>
      </c>
      <c r="DB135" s="228">
        <v>-0.81</v>
      </c>
      <c r="DC135" s="228">
        <v>-0.81</v>
      </c>
      <c r="DD135" s="228">
        <v>40.69</v>
      </c>
      <c r="DE135" s="228">
        <v>40.78</v>
      </c>
      <c r="DF135" s="228">
        <v>-2.58</v>
      </c>
      <c r="DG135" s="228">
        <v>-0.09</v>
      </c>
      <c r="DH135" s="228">
        <v>38.450000000000003</v>
      </c>
      <c r="DI135" s="228">
        <v>39.29</v>
      </c>
      <c r="DJ135" s="228">
        <v>-0.84</v>
      </c>
      <c r="DK135" s="228">
        <v>-0.84</v>
      </c>
      <c r="DL135" s="228">
        <v>37.4</v>
      </c>
      <c r="DM135" s="228">
        <v>37.65</v>
      </c>
      <c r="DN135" s="228">
        <v>-0.25</v>
      </c>
      <c r="DO135" s="228">
        <v>-0.25</v>
      </c>
      <c r="DP135" s="228">
        <v>0.52</v>
      </c>
      <c r="DQ135" s="228">
        <v>0.49</v>
      </c>
      <c r="DR135" s="228">
        <v>0.03</v>
      </c>
      <c r="DS135" s="229">
        <v>6.1199999999999997E-2</v>
      </c>
      <c r="DT135" s="228">
        <v>115</v>
      </c>
      <c r="DU135" s="228">
        <v>100</v>
      </c>
      <c r="DV135" s="228">
        <v>0.55000000000000004</v>
      </c>
      <c r="DW135" s="228">
        <v>0.41</v>
      </c>
      <c r="DX135" s="228">
        <v>0.14000000000000001</v>
      </c>
      <c r="DY135" s="229">
        <v>0.34150000000000003</v>
      </c>
      <c r="DZ135" s="229">
        <v>0.82</v>
      </c>
      <c r="EA135" s="230">
        <v>97938750</v>
      </c>
      <c r="EB135" s="229">
        <v>5.4000000000000003E-3</v>
      </c>
      <c r="EC135" s="229">
        <v>0.82</v>
      </c>
      <c r="ED135" s="228">
        <v>0.6</v>
      </c>
      <c r="EE135" s="229">
        <v>5.5999999999999999E-3</v>
      </c>
      <c r="EF135" s="230">
        <v>4711082</v>
      </c>
      <c r="EG135" s="230">
        <v>5747114</v>
      </c>
      <c r="EH135" s="229">
        <v>-0.18029999999999999</v>
      </c>
      <c r="EI135" s="229">
        <v>0.50619999999999998</v>
      </c>
      <c r="EJ135" s="231">
        <v>49057.599999999999</v>
      </c>
      <c r="EK135" s="231">
        <v>25606.81</v>
      </c>
      <c r="EL135" s="231">
        <v>116372.98</v>
      </c>
      <c r="EM135" s="231">
        <v>10606</v>
      </c>
      <c r="EN135" s="231">
        <v>191037.39</v>
      </c>
      <c r="EO135" s="231">
        <v>234683.64</v>
      </c>
      <c r="EP135" s="231">
        <v>-43646.25</v>
      </c>
      <c r="EQ135" s="229">
        <v>-0.186</v>
      </c>
      <c r="ER135" s="231">
        <v>102947</v>
      </c>
      <c r="ES135" s="231">
        <v>48466</v>
      </c>
      <c r="ET135" s="231">
        <v>179614</v>
      </c>
      <c r="EU135" s="231">
        <v>542522848</v>
      </c>
      <c r="EV135" s="231">
        <v>331026</v>
      </c>
      <c r="EW135" s="231">
        <v>335627</v>
      </c>
      <c r="EX135" s="231">
        <v>-4601</v>
      </c>
      <c r="EY135" s="229">
        <v>-1.37E-2</v>
      </c>
      <c r="EZ135" s="229">
        <v>0.5625</v>
      </c>
      <c r="FA135" s="227" t="s">
        <v>556</v>
      </c>
      <c r="FB135" s="161">
        <f t="shared" si="2"/>
        <v>136929750</v>
      </c>
    </row>
    <row r="136" spans="1:158" ht="17.25" hidden="1" thickBot="1" x14ac:dyDescent="0.3">
      <c r="A136" s="226">
        <v>45957</v>
      </c>
      <c r="B136" s="227" t="s">
        <v>221</v>
      </c>
      <c r="C136" s="227" t="s">
        <v>487</v>
      </c>
      <c r="D136" s="228">
        <v>275</v>
      </c>
      <c r="E136" s="231">
        <v>2889.3</v>
      </c>
      <c r="F136" s="231">
        <v>2815.3</v>
      </c>
      <c r="G136" s="228">
        <v>74</v>
      </c>
      <c r="H136" s="229">
        <v>2.63E-2</v>
      </c>
      <c r="I136" s="231">
        <v>2888.7</v>
      </c>
      <c r="J136" s="231">
        <v>2818.9</v>
      </c>
      <c r="K136" s="228">
        <v>69.8</v>
      </c>
      <c r="L136" s="229">
        <v>2.4799999999999999E-2</v>
      </c>
      <c r="M136" s="231">
        <v>2889.3</v>
      </c>
      <c r="N136" s="231">
        <v>2815.3</v>
      </c>
      <c r="O136" s="228">
        <v>74</v>
      </c>
      <c r="P136" s="229">
        <v>2.63E-2</v>
      </c>
      <c r="Q136" s="231">
        <v>2904.5</v>
      </c>
      <c r="R136" s="231">
        <v>2830.2</v>
      </c>
      <c r="S136" s="228">
        <v>74.3</v>
      </c>
      <c r="T136" s="229">
        <v>2.63E-2</v>
      </c>
      <c r="U136" s="231">
        <v>2923.9</v>
      </c>
      <c r="V136" s="231">
        <v>2850</v>
      </c>
      <c r="W136" s="228">
        <v>73.900000000000006</v>
      </c>
      <c r="X136" s="229">
        <v>2.5899999999999999E-2</v>
      </c>
      <c r="Y136" s="228">
        <v>0.6</v>
      </c>
      <c r="Z136" s="228">
        <v>-3.6</v>
      </c>
      <c r="AA136" s="228">
        <v>4.2</v>
      </c>
      <c r="AB136" s="229">
        <v>2.0000000000000001E-4</v>
      </c>
      <c r="AC136" s="228">
        <v>0.6</v>
      </c>
      <c r="AD136" s="228">
        <v>-3.6</v>
      </c>
      <c r="AE136" s="228">
        <v>4.2</v>
      </c>
      <c r="AF136" s="229">
        <v>2.0000000000000001E-4</v>
      </c>
      <c r="AG136" s="228">
        <v>15.8</v>
      </c>
      <c r="AH136" s="228">
        <v>11.3</v>
      </c>
      <c r="AI136" s="228">
        <v>4.5</v>
      </c>
      <c r="AJ136" s="229">
        <v>5.4999999999999997E-3</v>
      </c>
      <c r="AK136" s="228">
        <v>35.200000000000003</v>
      </c>
      <c r="AL136" s="228">
        <v>31.1</v>
      </c>
      <c r="AM136" s="228">
        <v>4.0999999999999996</v>
      </c>
      <c r="AN136" s="229">
        <v>1.2200000000000001E-2</v>
      </c>
      <c r="AO136" s="231">
        <v>2883.19</v>
      </c>
      <c r="AP136" s="231">
        <v>2900.9</v>
      </c>
      <c r="AQ136" s="228">
        <v>0</v>
      </c>
      <c r="AR136" s="230">
        <v>3534850</v>
      </c>
      <c r="AS136" s="230">
        <v>3604975</v>
      </c>
      <c r="AT136" s="230">
        <v>-70125</v>
      </c>
      <c r="AU136" s="229">
        <v>-1.95E-2</v>
      </c>
      <c r="AV136" s="230">
        <v>1639550</v>
      </c>
      <c r="AW136" s="230">
        <v>1849100</v>
      </c>
      <c r="AX136" s="230">
        <v>-209550</v>
      </c>
      <c r="AY136" s="229">
        <v>-0.1133</v>
      </c>
      <c r="AZ136" s="230">
        <v>1865600</v>
      </c>
      <c r="BA136" s="230">
        <v>1750925</v>
      </c>
      <c r="BB136" s="230">
        <v>114675</v>
      </c>
      <c r="BC136" s="229">
        <v>6.5500000000000003E-2</v>
      </c>
      <c r="BD136" s="230">
        <v>29700</v>
      </c>
      <c r="BE136" s="230">
        <v>4950</v>
      </c>
      <c r="BF136" s="230">
        <v>24750</v>
      </c>
      <c r="BG136" s="229">
        <v>5</v>
      </c>
      <c r="BH136" s="230">
        <v>3691050</v>
      </c>
      <c r="BI136" s="230">
        <v>2360600</v>
      </c>
      <c r="BJ136" s="230">
        <v>1330450</v>
      </c>
      <c r="BK136" s="229">
        <v>0.56359999999999999</v>
      </c>
      <c r="BL136" s="230">
        <v>1360425</v>
      </c>
      <c r="BM136" s="230">
        <v>899525</v>
      </c>
      <c r="BN136" s="230">
        <v>460900</v>
      </c>
      <c r="BO136" s="229">
        <v>0.51239999999999997</v>
      </c>
      <c r="BP136" s="230">
        <v>8586325</v>
      </c>
      <c r="BQ136" s="230">
        <v>6865100</v>
      </c>
      <c r="BR136" s="230">
        <v>1721225</v>
      </c>
      <c r="BS136" s="229">
        <v>0.25069999999999998</v>
      </c>
      <c r="BT136" s="230">
        <v>397604</v>
      </c>
      <c r="BU136" s="230">
        <v>244291</v>
      </c>
      <c r="BV136" s="230">
        <v>153313</v>
      </c>
      <c r="BW136" s="229">
        <v>0.62760000000000005</v>
      </c>
      <c r="BX136" s="230">
        <v>4261950</v>
      </c>
      <c r="BY136" s="230">
        <v>4124725</v>
      </c>
      <c r="BZ136" s="230">
        <v>137225</v>
      </c>
      <c r="CA136" s="229">
        <v>3.3300000000000003E-2</v>
      </c>
      <c r="CB136" s="230">
        <v>908325</v>
      </c>
      <c r="CC136" s="230">
        <v>1798225</v>
      </c>
      <c r="CD136" s="230">
        <v>-889900</v>
      </c>
      <c r="CE136" s="229">
        <v>-0.49490000000000001</v>
      </c>
      <c r="CF136" s="230">
        <v>3330525</v>
      </c>
      <c r="CG136" s="230">
        <v>2315775</v>
      </c>
      <c r="CH136" s="230">
        <v>1014750</v>
      </c>
      <c r="CI136" s="229">
        <v>0.43819999999999998</v>
      </c>
      <c r="CJ136" s="230">
        <v>23100</v>
      </c>
      <c r="CK136" s="230">
        <v>10725</v>
      </c>
      <c r="CL136" s="230">
        <v>12375</v>
      </c>
      <c r="CM136" s="229">
        <v>1.1537999999999999</v>
      </c>
      <c r="CN136" s="230">
        <v>866800</v>
      </c>
      <c r="CO136" s="230">
        <v>1193500</v>
      </c>
      <c r="CP136" s="230">
        <v>-326700</v>
      </c>
      <c r="CQ136" s="229">
        <v>-0.2737</v>
      </c>
      <c r="CR136" s="230">
        <v>784300</v>
      </c>
      <c r="CS136" s="230">
        <v>770000</v>
      </c>
      <c r="CT136" s="230">
        <v>14300</v>
      </c>
      <c r="CU136" s="229">
        <v>1.8599999999999998E-2</v>
      </c>
      <c r="CV136" s="230">
        <v>5913050</v>
      </c>
      <c r="CW136" s="230">
        <v>6088225</v>
      </c>
      <c r="CX136" s="230">
        <v>-175175</v>
      </c>
      <c r="CY136" s="229">
        <v>-2.8799999999999999E-2</v>
      </c>
      <c r="CZ136" s="228">
        <v>33</v>
      </c>
      <c r="DA136" s="228">
        <v>31.98</v>
      </c>
      <c r="DB136" s="228">
        <v>1.02</v>
      </c>
      <c r="DC136" s="228">
        <v>1.02</v>
      </c>
      <c r="DD136" s="228">
        <v>37.58</v>
      </c>
      <c r="DE136" s="228">
        <v>37.520000000000003</v>
      </c>
      <c r="DF136" s="228">
        <v>-4.58</v>
      </c>
      <c r="DG136" s="228">
        <v>0.06</v>
      </c>
      <c r="DH136" s="228">
        <v>33.03</v>
      </c>
      <c r="DI136" s="228">
        <v>32.17</v>
      </c>
      <c r="DJ136" s="228">
        <v>0.86</v>
      </c>
      <c r="DK136" s="228">
        <v>0.86</v>
      </c>
      <c r="DL136" s="228">
        <v>32.96</v>
      </c>
      <c r="DM136" s="228">
        <v>31.78</v>
      </c>
      <c r="DN136" s="228">
        <v>1.18</v>
      </c>
      <c r="DO136" s="228">
        <v>1.18</v>
      </c>
      <c r="DP136" s="228">
        <v>0.9</v>
      </c>
      <c r="DQ136" s="228">
        <v>0.65</v>
      </c>
      <c r="DR136" s="228">
        <v>0.25</v>
      </c>
      <c r="DS136" s="229">
        <v>0.3846</v>
      </c>
      <c r="DT136" s="231">
        <v>3000</v>
      </c>
      <c r="DU136" s="231">
        <v>2800</v>
      </c>
      <c r="DV136" s="228">
        <v>0.37</v>
      </c>
      <c r="DW136" s="228">
        <v>0.38</v>
      </c>
      <c r="DX136" s="228">
        <v>-0.01</v>
      </c>
      <c r="DY136" s="229">
        <v>-2.63E-2</v>
      </c>
      <c r="DZ136" s="229">
        <v>0.78690000000000004</v>
      </c>
      <c r="EA136" s="230">
        <v>2326500</v>
      </c>
      <c r="EB136" s="229">
        <v>5.3E-3</v>
      </c>
      <c r="EC136" s="229">
        <v>0.78690000000000004</v>
      </c>
      <c r="ED136" s="228">
        <v>17.71</v>
      </c>
      <c r="EE136" s="229">
        <v>6.1000000000000004E-3</v>
      </c>
      <c r="EF136" s="230">
        <v>129952</v>
      </c>
      <c r="EG136" s="230">
        <v>122986</v>
      </c>
      <c r="EH136" s="229">
        <v>5.6599999999999998E-2</v>
      </c>
      <c r="EI136" s="229">
        <v>0.32679999999999998</v>
      </c>
      <c r="EJ136" s="231">
        <v>109106.02</v>
      </c>
      <c r="EK136" s="231">
        <v>38209.919999999998</v>
      </c>
      <c r="EL136" s="231">
        <v>102253.58</v>
      </c>
      <c r="EM136" s="231">
        <v>6450</v>
      </c>
      <c r="EN136" s="231">
        <v>249569.52</v>
      </c>
      <c r="EO136" s="231">
        <v>195610.94</v>
      </c>
      <c r="EP136" s="231">
        <v>53958.58</v>
      </c>
      <c r="EQ136" s="229">
        <v>0.27579999999999999</v>
      </c>
      <c r="ER136" s="231">
        <v>25518</v>
      </c>
      <c r="ES136" s="231">
        <v>21133</v>
      </c>
      <c r="ET136" s="231">
        <v>123655</v>
      </c>
      <c r="EU136" s="231">
        <v>14652855</v>
      </c>
      <c r="EV136" s="231">
        <v>170306</v>
      </c>
      <c r="EW136" s="231">
        <v>172016</v>
      </c>
      <c r="EX136" s="231">
        <v>-1710</v>
      </c>
      <c r="EY136" s="229">
        <v>-9.9000000000000008E-3</v>
      </c>
      <c r="EZ136" s="229">
        <v>0.40350000000000003</v>
      </c>
      <c r="FA136" s="227" t="s">
        <v>555</v>
      </c>
      <c r="FB136" s="161">
        <f t="shared" si="2"/>
        <v>3353625</v>
      </c>
    </row>
    <row r="137" spans="1:158" ht="17.25" hidden="1" thickBot="1" x14ac:dyDescent="0.3">
      <c r="A137" s="226">
        <v>45957</v>
      </c>
      <c r="B137" s="227" t="s">
        <v>175</v>
      </c>
      <c r="C137" s="227" t="s">
        <v>262</v>
      </c>
      <c r="D137" s="228">
        <v>275</v>
      </c>
      <c r="E137" s="231">
        <v>3153.7</v>
      </c>
      <c r="F137" s="231">
        <v>3167.7</v>
      </c>
      <c r="G137" s="228">
        <v>-14</v>
      </c>
      <c r="H137" s="229">
        <v>-4.4000000000000003E-3</v>
      </c>
      <c r="I137" s="231">
        <v>3145.9</v>
      </c>
      <c r="J137" s="231">
        <v>3163.1</v>
      </c>
      <c r="K137" s="228">
        <v>-17.2</v>
      </c>
      <c r="L137" s="229">
        <v>-5.4000000000000003E-3</v>
      </c>
      <c r="M137" s="231">
        <v>3153.7</v>
      </c>
      <c r="N137" s="231">
        <v>3167.7</v>
      </c>
      <c r="O137" s="228">
        <v>-14</v>
      </c>
      <c r="P137" s="229">
        <v>-4.4000000000000003E-3</v>
      </c>
      <c r="Q137" s="231">
        <v>3166.3</v>
      </c>
      <c r="R137" s="231">
        <v>3185.2</v>
      </c>
      <c r="S137" s="228">
        <v>-18.899999999999999</v>
      </c>
      <c r="T137" s="229">
        <v>-5.8999999999999999E-3</v>
      </c>
      <c r="U137" s="231">
        <v>3186.1</v>
      </c>
      <c r="V137" s="231">
        <v>3201.7</v>
      </c>
      <c r="W137" s="228">
        <v>-15.6</v>
      </c>
      <c r="X137" s="229">
        <v>-4.8999999999999998E-3</v>
      </c>
      <c r="Y137" s="228">
        <v>7.8</v>
      </c>
      <c r="Z137" s="228">
        <v>4.5999999999999996</v>
      </c>
      <c r="AA137" s="228">
        <v>3.2</v>
      </c>
      <c r="AB137" s="229">
        <v>2.5000000000000001E-3</v>
      </c>
      <c r="AC137" s="228">
        <v>7.8</v>
      </c>
      <c r="AD137" s="228">
        <v>4.5999999999999996</v>
      </c>
      <c r="AE137" s="228">
        <v>3.2</v>
      </c>
      <c r="AF137" s="229">
        <v>2.5000000000000001E-3</v>
      </c>
      <c r="AG137" s="228">
        <v>20.399999999999999</v>
      </c>
      <c r="AH137" s="228">
        <v>22.1</v>
      </c>
      <c r="AI137" s="228">
        <v>-1.7</v>
      </c>
      <c r="AJ137" s="229">
        <v>6.4999999999999997E-3</v>
      </c>
      <c r="AK137" s="228">
        <v>40.200000000000003</v>
      </c>
      <c r="AL137" s="228">
        <v>38.6</v>
      </c>
      <c r="AM137" s="228">
        <v>1.6</v>
      </c>
      <c r="AN137" s="229">
        <v>1.2800000000000001E-2</v>
      </c>
      <c r="AO137" s="231">
        <v>3158.38</v>
      </c>
      <c r="AP137" s="231">
        <v>3174.05</v>
      </c>
      <c r="AQ137" s="228">
        <v>0</v>
      </c>
      <c r="AR137" s="230">
        <v>2346575</v>
      </c>
      <c r="AS137" s="230">
        <v>3474350</v>
      </c>
      <c r="AT137" s="230">
        <v>-1127775</v>
      </c>
      <c r="AU137" s="229">
        <v>-0.3246</v>
      </c>
      <c r="AV137" s="230">
        <v>1054075</v>
      </c>
      <c r="AW137" s="230">
        <v>1664575</v>
      </c>
      <c r="AX137" s="230">
        <v>-610500</v>
      </c>
      <c r="AY137" s="229">
        <v>-0.36680000000000001</v>
      </c>
      <c r="AZ137" s="230">
        <v>1277925</v>
      </c>
      <c r="BA137" s="230">
        <v>1798775</v>
      </c>
      <c r="BB137" s="230">
        <v>-520850</v>
      </c>
      <c r="BC137" s="229">
        <v>-0.28960000000000002</v>
      </c>
      <c r="BD137" s="230">
        <v>14575</v>
      </c>
      <c r="BE137" s="230">
        <v>11000</v>
      </c>
      <c r="BF137" s="230">
        <v>3575</v>
      </c>
      <c r="BG137" s="229">
        <v>0.32500000000000001</v>
      </c>
      <c r="BH137" s="230">
        <v>3588200</v>
      </c>
      <c r="BI137" s="230">
        <v>8699075</v>
      </c>
      <c r="BJ137" s="230">
        <v>-5110875</v>
      </c>
      <c r="BK137" s="229">
        <v>-0.58750000000000002</v>
      </c>
      <c r="BL137" s="230">
        <v>2773650</v>
      </c>
      <c r="BM137" s="230">
        <v>6562325</v>
      </c>
      <c r="BN137" s="230">
        <v>-3788675</v>
      </c>
      <c r="BO137" s="229">
        <v>-0.57730000000000004</v>
      </c>
      <c r="BP137" s="230">
        <v>8708425</v>
      </c>
      <c r="BQ137" s="230">
        <v>18735750</v>
      </c>
      <c r="BR137" s="230">
        <v>-10027325</v>
      </c>
      <c r="BS137" s="229">
        <v>-0.53520000000000001</v>
      </c>
      <c r="BT137" s="230">
        <v>475017</v>
      </c>
      <c r="BU137" s="230">
        <v>631921</v>
      </c>
      <c r="BV137" s="230">
        <v>-156904</v>
      </c>
      <c r="BW137" s="229">
        <v>-0.24829999999999999</v>
      </c>
      <c r="BX137" s="230">
        <v>3219975</v>
      </c>
      <c r="BY137" s="230">
        <v>3189175</v>
      </c>
      <c r="BZ137" s="230">
        <v>30800</v>
      </c>
      <c r="CA137" s="229">
        <v>9.7000000000000003E-3</v>
      </c>
      <c r="CB137" s="230">
        <v>586025</v>
      </c>
      <c r="CC137" s="230">
        <v>1150325</v>
      </c>
      <c r="CD137" s="230">
        <v>-564300</v>
      </c>
      <c r="CE137" s="229">
        <v>-0.49059999999999998</v>
      </c>
      <c r="CF137" s="230">
        <v>2603975</v>
      </c>
      <c r="CG137" s="230">
        <v>2011900</v>
      </c>
      <c r="CH137" s="230">
        <v>592075</v>
      </c>
      <c r="CI137" s="229">
        <v>0.29430000000000001</v>
      </c>
      <c r="CJ137" s="230">
        <v>29975</v>
      </c>
      <c r="CK137" s="230">
        <v>26950</v>
      </c>
      <c r="CL137" s="230">
        <v>3025</v>
      </c>
      <c r="CM137" s="229">
        <v>0.11219999999999999</v>
      </c>
      <c r="CN137" s="230">
        <v>2841025</v>
      </c>
      <c r="CO137" s="230">
        <v>3308250</v>
      </c>
      <c r="CP137" s="230">
        <v>-467225</v>
      </c>
      <c r="CQ137" s="229">
        <v>-0.14119999999999999</v>
      </c>
      <c r="CR137" s="230">
        <v>1794375</v>
      </c>
      <c r="CS137" s="230">
        <v>2096600</v>
      </c>
      <c r="CT137" s="230">
        <v>-302225</v>
      </c>
      <c r="CU137" s="229">
        <v>-0.14419999999999999</v>
      </c>
      <c r="CV137" s="230">
        <v>7855375</v>
      </c>
      <c r="CW137" s="230">
        <v>8594025</v>
      </c>
      <c r="CX137" s="230">
        <v>-738650</v>
      </c>
      <c r="CY137" s="229">
        <v>-8.5900000000000004E-2</v>
      </c>
      <c r="CZ137" s="228">
        <v>33.68</v>
      </c>
      <c r="DA137" s="228">
        <v>33.51</v>
      </c>
      <c r="DB137" s="228">
        <v>0.17</v>
      </c>
      <c r="DC137" s="228">
        <v>0.17</v>
      </c>
      <c r="DD137" s="228">
        <v>35.81</v>
      </c>
      <c r="DE137" s="228">
        <v>35.9</v>
      </c>
      <c r="DF137" s="228">
        <v>-2.13</v>
      </c>
      <c r="DG137" s="228">
        <v>-0.09</v>
      </c>
      <c r="DH137" s="228">
        <v>33.380000000000003</v>
      </c>
      <c r="DI137" s="228">
        <v>33.15</v>
      </c>
      <c r="DJ137" s="228">
        <v>0.23</v>
      </c>
      <c r="DK137" s="228">
        <v>0.23</v>
      </c>
      <c r="DL137" s="228">
        <v>34.08</v>
      </c>
      <c r="DM137" s="228">
        <v>34.06</v>
      </c>
      <c r="DN137" s="228">
        <v>0.02</v>
      </c>
      <c r="DO137" s="228">
        <v>0.02</v>
      </c>
      <c r="DP137" s="228">
        <v>0.63</v>
      </c>
      <c r="DQ137" s="228">
        <v>0.63</v>
      </c>
      <c r="DR137" s="228">
        <v>0</v>
      </c>
      <c r="DS137" s="229">
        <v>0</v>
      </c>
      <c r="DT137" s="231">
        <v>3200</v>
      </c>
      <c r="DU137" s="231">
        <v>3000</v>
      </c>
      <c r="DV137" s="228">
        <v>0.77</v>
      </c>
      <c r="DW137" s="228">
        <v>0.75</v>
      </c>
      <c r="DX137" s="228">
        <v>0.02</v>
      </c>
      <c r="DY137" s="229">
        <v>2.6700000000000002E-2</v>
      </c>
      <c r="DZ137" s="229">
        <v>0.81799999999999995</v>
      </c>
      <c r="EA137" s="230">
        <v>2038850</v>
      </c>
      <c r="EB137" s="229">
        <v>4.0000000000000001E-3</v>
      </c>
      <c r="EC137" s="229">
        <v>0.81799999999999995</v>
      </c>
      <c r="ED137" s="228">
        <v>15.67</v>
      </c>
      <c r="EE137" s="229">
        <v>5.0000000000000001E-3</v>
      </c>
      <c r="EF137" s="230">
        <v>211957</v>
      </c>
      <c r="EG137" s="230">
        <v>299010</v>
      </c>
      <c r="EH137" s="229">
        <v>-0.29110000000000003</v>
      </c>
      <c r="EI137" s="229">
        <v>0.44619999999999999</v>
      </c>
      <c r="EJ137" s="231">
        <v>118829.57</v>
      </c>
      <c r="EK137" s="231">
        <v>86748.79</v>
      </c>
      <c r="EL137" s="231">
        <v>74317.539999999994</v>
      </c>
      <c r="EM137" s="231">
        <v>8312</v>
      </c>
      <c r="EN137" s="231">
        <v>279895.90000000002</v>
      </c>
      <c r="EO137" s="231">
        <v>606884.13</v>
      </c>
      <c r="EP137" s="231">
        <v>-326988.23</v>
      </c>
      <c r="EQ137" s="229">
        <v>-0.53879999999999995</v>
      </c>
      <c r="ER137" s="231">
        <v>94532</v>
      </c>
      <c r="ES137" s="231">
        <v>55149</v>
      </c>
      <c r="ET137" s="231">
        <v>101886</v>
      </c>
      <c r="EU137" s="231">
        <v>16050690</v>
      </c>
      <c r="EV137" s="231">
        <v>251567</v>
      </c>
      <c r="EW137" s="231">
        <v>276232</v>
      </c>
      <c r="EX137" s="231">
        <v>-24665</v>
      </c>
      <c r="EY137" s="229">
        <v>-8.9300000000000004E-2</v>
      </c>
      <c r="EZ137" s="229">
        <v>0.4894</v>
      </c>
      <c r="FA137" s="227" t="s">
        <v>567</v>
      </c>
      <c r="FB137" s="161">
        <f t="shared" si="2"/>
        <v>2633950</v>
      </c>
    </row>
    <row r="138" spans="1:158" ht="17.25" hidden="1" thickBot="1" x14ac:dyDescent="0.3">
      <c r="A138" s="226">
        <v>45957</v>
      </c>
      <c r="B138" s="227" t="s">
        <v>227</v>
      </c>
      <c r="C138" s="227" t="s">
        <v>263</v>
      </c>
      <c r="D138" s="228">
        <v>3750</v>
      </c>
      <c r="E138" s="228">
        <v>238.17</v>
      </c>
      <c r="F138" s="228">
        <v>236.05</v>
      </c>
      <c r="G138" s="228">
        <v>2.12</v>
      </c>
      <c r="H138" s="229">
        <v>8.9999999999999993E-3</v>
      </c>
      <c r="I138" s="228">
        <v>237.87</v>
      </c>
      <c r="J138" s="228">
        <v>236.1</v>
      </c>
      <c r="K138" s="228">
        <v>1.77</v>
      </c>
      <c r="L138" s="229">
        <v>7.4999999999999997E-3</v>
      </c>
      <c r="M138" s="228">
        <v>238.17</v>
      </c>
      <c r="N138" s="228">
        <v>236.05</v>
      </c>
      <c r="O138" s="228">
        <v>2.12</v>
      </c>
      <c r="P138" s="229">
        <v>8.9999999999999993E-3</v>
      </c>
      <c r="Q138" s="228">
        <v>238.57</v>
      </c>
      <c r="R138" s="228">
        <v>235.97</v>
      </c>
      <c r="S138" s="228">
        <v>2.6</v>
      </c>
      <c r="T138" s="229">
        <v>1.0999999999999999E-2</v>
      </c>
      <c r="U138" s="228">
        <v>239.41</v>
      </c>
      <c r="V138" s="228">
        <v>236.2</v>
      </c>
      <c r="W138" s="228">
        <v>3.21</v>
      </c>
      <c r="X138" s="229">
        <v>1.3599999999999999E-2</v>
      </c>
      <c r="Y138" s="228">
        <v>0.3</v>
      </c>
      <c r="Z138" s="228">
        <v>-0.05</v>
      </c>
      <c r="AA138" s="228">
        <v>0.35</v>
      </c>
      <c r="AB138" s="229">
        <v>1.2999999999999999E-3</v>
      </c>
      <c r="AC138" s="228">
        <v>0.3</v>
      </c>
      <c r="AD138" s="228">
        <v>-0.05</v>
      </c>
      <c r="AE138" s="228">
        <v>0.35</v>
      </c>
      <c r="AF138" s="229">
        <v>1.2999999999999999E-3</v>
      </c>
      <c r="AG138" s="228">
        <v>0.7</v>
      </c>
      <c r="AH138" s="228">
        <v>-0.13</v>
      </c>
      <c r="AI138" s="228">
        <v>0.83</v>
      </c>
      <c r="AJ138" s="229">
        <v>2.8999999999999998E-3</v>
      </c>
      <c r="AK138" s="228">
        <v>1.54</v>
      </c>
      <c r="AL138" s="228">
        <v>0.1</v>
      </c>
      <c r="AM138" s="228">
        <v>1.44</v>
      </c>
      <c r="AN138" s="229">
        <v>6.4999999999999997E-3</v>
      </c>
      <c r="AO138" s="228">
        <v>237.87</v>
      </c>
      <c r="AP138" s="228">
        <v>238.07</v>
      </c>
      <c r="AQ138" s="228">
        <v>0</v>
      </c>
      <c r="AR138" s="230">
        <v>72881250</v>
      </c>
      <c r="AS138" s="230">
        <v>78776250</v>
      </c>
      <c r="AT138" s="230">
        <v>-5895000</v>
      </c>
      <c r="AU138" s="229">
        <v>-7.4800000000000005E-2</v>
      </c>
      <c r="AV138" s="230">
        <v>35137500</v>
      </c>
      <c r="AW138" s="230">
        <v>41317500</v>
      </c>
      <c r="AX138" s="230">
        <v>-6180000</v>
      </c>
      <c r="AY138" s="229">
        <v>-0.14960000000000001</v>
      </c>
      <c r="AZ138" s="230">
        <v>37263750</v>
      </c>
      <c r="BA138" s="230">
        <v>36326250</v>
      </c>
      <c r="BB138" s="230">
        <v>937500</v>
      </c>
      <c r="BC138" s="229">
        <v>2.58E-2</v>
      </c>
      <c r="BD138" s="230">
        <v>480000</v>
      </c>
      <c r="BE138" s="230">
        <v>1132500</v>
      </c>
      <c r="BF138" s="230">
        <v>-652500</v>
      </c>
      <c r="BG138" s="229">
        <v>-0.57620000000000005</v>
      </c>
      <c r="BH138" s="230">
        <v>61698750</v>
      </c>
      <c r="BI138" s="230">
        <v>207693750</v>
      </c>
      <c r="BJ138" s="230">
        <v>-145995000</v>
      </c>
      <c r="BK138" s="229">
        <v>-0.70289999999999997</v>
      </c>
      <c r="BL138" s="230">
        <v>31586250</v>
      </c>
      <c r="BM138" s="230">
        <v>96705000</v>
      </c>
      <c r="BN138" s="230">
        <v>-65118750</v>
      </c>
      <c r="BO138" s="229">
        <v>-0.6734</v>
      </c>
      <c r="BP138" s="230">
        <v>166166250</v>
      </c>
      <c r="BQ138" s="230">
        <v>383175000</v>
      </c>
      <c r="BR138" s="230">
        <v>-217008750</v>
      </c>
      <c r="BS138" s="229">
        <v>-0.56630000000000003</v>
      </c>
      <c r="BT138" s="230">
        <v>6010744</v>
      </c>
      <c r="BU138" s="230">
        <v>32452828</v>
      </c>
      <c r="BV138" s="230">
        <v>-26442084</v>
      </c>
      <c r="BW138" s="229">
        <v>-0.81479999999999997</v>
      </c>
      <c r="BX138" s="230">
        <v>81615000</v>
      </c>
      <c r="BY138" s="230">
        <v>79578750</v>
      </c>
      <c r="BZ138" s="230">
        <v>2036250</v>
      </c>
      <c r="CA138" s="229">
        <v>2.5600000000000001E-2</v>
      </c>
      <c r="CB138" s="230">
        <v>22256250</v>
      </c>
      <c r="CC138" s="230">
        <v>48930000</v>
      </c>
      <c r="CD138" s="230">
        <v>-26673750</v>
      </c>
      <c r="CE138" s="229">
        <v>-0.54510000000000003</v>
      </c>
      <c r="CF138" s="230">
        <v>58425000</v>
      </c>
      <c r="CG138" s="230">
        <v>29835000</v>
      </c>
      <c r="CH138" s="230">
        <v>28590000</v>
      </c>
      <c r="CI138" s="229">
        <v>0.95830000000000004</v>
      </c>
      <c r="CJ138" s="230">
        <v>933750</v>
      </c>
      <c r="CK138" s="230">
        <v>813750</v>
      </c>
      <c r="CL138" s="230">
        <v>120000</v>
      </c>
      <c r="CM138" s="229">
        <v>0.14749999999999999</v>
      </c>
      <c r="CN138" s="230">
        <v>34087500</v>
      </c>
      <c r="CO138" s="230">
        <v>37241250</v>
      </c>
      <c r="CP138" s="230">
        <v>-3153750</v>
      </c>
      <c r="CQ138" s="229">
        <v>-8.4699999999999998E-2</v>
      </c>
      <c r="CR138" s="230">
        <v>30757500</v>
      </c>
      <c r="CS138" s="230">
        <v>30772500</v>
      </c>
      <c r="CT138" s="230">
        <v>-15000</v>
      </c>
      <c r="CU138" s="229">
        <v>-5.0000000000000001E-4</v>
      </c>
      <c r="CV138" s="230">
        <v>146460000</v>
      </c>
      <c r="CW138" s="230">
        <v>147592500</v>
      </c>
      <c r="CX138" s="230">
        <v>-1132500</v>
      </c>
      <c r="CY138" s="229">
        <v>-7.7000000000000002E-3</v>
      </c>
      <c r="CZ138" s="228">
        <v>32.659999999999997</v>
      </c>
      <c r="DA138" s="228">
        <v>32.229999999999997</v>
      </c>
      <c r="DB138" s="228">
        <v>0.43</v>
      </c>
      <c r="DC138" s="228">
        <v>0.43</v>
      </c>
      <c r="DD138" s="228">
        <v>47.16</v>
      </c>
      <c r="DE138" s="228">
        <v>47.27</v>
      </c>
      <c r="DF138" s="228">
        <v>-14.5</v>
      </c>
      <c r="DG138" s="228">
        <v>-0.11</v>
      </c>
      <c r="DH138" s="228">
        <v>32.729999999999997</v>
      </c>
      <c r="DI138" s="228">
        <v>32.47</v>
      </c>
      <c r="DJ138" s="228">
        <v>0.26</v>
      </c>
      <c r="DK138" s="228">
        <v>0.26</v>
      </c>
      <c r="DL138" s="228">
        <v>32.54</v>
      </c>
      <c r="DM138" s="228">
        <v>31.78</v>
      </c>
      <c r="DN138" s="228">
        <v>0.76</v>
      </c>
      <c r="DO138" s="228">
        <v>0.76</v>
      </c>
      <c r="DP138" s="228">
        <v>0.9</v>
      </c>
      <c r="DQ138" s="228">
        <v>0.83</v>
      </c>
      <c r="DR138" s="228">
        <v>7.0000000000000007E-2</v>
      </c>
      <c r="DS138" s="229">
        <v>8.43E-2</v>
      </c>
      <c r="DT138" s="228">
        <v>240</v>
      </c>
      <c r="DU138" s="228">
        <v>220</v>
      </c>
      <c r="DV138" s="228">
        <v>0.51</v>
      </c>
      <c r="DW138" s="228">
        <v>0.47</v>
      </c>
      <c r="DX138" s="228">
        <v>0.04</v>
      </c>
      <c r="DY138" s="229">
        <v>8.5099999999999995E-2</v>
      </c>
      <c r="DZ138" s="229">
        <v>0.72729999999999995</v>
      </c>
      <c r="EA138" s="230">
        <v>30648750</v>
      </c>
      <c r="EB138" s="229">
        <v>1.6999999999999999E-3</v>
      </c>
      <c r="EC138" s="229">
        <v>0.72729999999999995</v>
      </c>
      <c r="ED138" s="228">
        <v>0.2</v>
      </c>
      <c r="EE138" s="229">
        <v>8.0000000000000004E-4</v>
      </c>
      <c r="EF138" s="230">
        <v>2189797</v>
      </c>
      <c r="EG138" s="230">
        <v>7974719</v>
      </c>
      <c r="EH138" s="229">
        <v>-0.72540000000000004</v>
      </c>
      <c r="EI138" s="229">
        <v>0.36430000000000001</v>
      </c>
      <c r="EJ138" s="231">
        <v>150680.73000000001</v>
      </c>
      <c r="EK138" s="231">
        <v>74091.240000000005</v>
      </c>
      <c r="EL138" s="231">
        <v>173439.92</v>
      </c>
      <c r="EM138" s="231">
        <v>9107</v>
      </c>
      <c r="EN138" s="231">
        <v>398211.89</v>
      </c>
      <c r="EO138" s="231">
        <v>920130.37</v>
      </c>
      <c r="EP138" s="231">
        <v>-521918.48</v>
      </c>
      <c r="EQ138" s="229">
        <v>-0.56720000000000004</v>
      </c>
      <c r="ER138" s="231">
        <v>80363</v>
      </c>
      <c r="ES138" s="231">
        <v>68185</v>
      </c>
      <c r="ET138" s="231">
        <v>194628</v>
      </c>
      <c r="EU138" s="231">
        <v>134225816</v>
      </c>
      <c r="EV138" s="231">
        <v>343176</v>
      </c>
      <c r="EW138" s="231">
        <v>343424</v>
      </c>
      <c r="EX138" s="228">
        <v>-248</v>
      </c>
      <c r="EY138" s="229">
        <v>-6.9999999999999999E-4</v>
      </c>
      <c r="EZ138" s="229">
        <v>1.0911</v>
      </c>
      <c r="FA138" s="227" t="s">
        <v>555</v>
      </c>
      <c r="FB138" s="161">
        <f t="shared" si="2"/>
        <v>59358750</v>
      </c>
    </row>
    <row r="139" spans="1:158" ht="17.25" hidden="1" thickBot="1" x14ac:dyDescent="0.3">
      <c r="A139" s="226">
        <v>45957</v>
      </c>
      <c r="B139" s="227" t="s">
        <v>615</v>
      </c>
      <c r="C139" s="227" t="s">
        <v>264</v>
      </c>
      <c r="D139" s="228">
        <v>375</v>
      </c>
      <c r="E139" s="231">
        <v>1366.7</v>
      </c>
      <c r="F139" s="231">
        <v>1376.6</v>
      </c>
      <c r="G139" s="228">
        <v>-9.9</v>
      </c>
      <c r="H139" s="229">
        <v>-7.1999999999999998E-3</v>
      </c>
      <c r="I139" s="231">
        <v>1364.7</v>
      </c>
      <c r="J139" s="231">
        <v>1377.8</v>
      </c>
      <c r="K139" s="228">
        <v>-13.1</v>
      </c>
      <c r="L139" s="229">
        <v>-9.4999999999999998E-3</v>
      </c>
      <c r="M139" s="231">
        <v>1366.7</v>
      </c>
      <c r="N139" s="231">
        <v>1376.6</v>
      </c>
      <c r="O139" s="228">
        <v>-9.9</v>
      </c>
      <c r="P139" s="229">
        <v>-7.1999999999999998E-3</v>
      </c>
      <c r="Q139" s="231">
        <v>1371.9</v>
      </c>
      <c r="R139" s="231">
        <v>1381.4</v>
      </c>
      <c r="S139" s="228">
        <v>-9.5</v>
      </c>
      <c r="T139" s="229">
        <v>-6.8999999999999999E-3</v>
      </c>
      <c r="U139" s="231">
        <v>1381.9</v>
      </c>
      <c r="V139" s="231">
        <v>1390.6</v>
      </c>
      <c r="W139" s="228">
        <v>-8.6999999999999993</v>
      </c>
      <c r="X139" s="229">
        <v>-6.3E-3</v>
      </c>
      <c r="Y139" s="228">
        <v>2</v>
      </c>
      <c r="Z139" s="228">
        <v>-1.2</v>
      </c>
      <c r="AA139" s="228">
        <v>3.2</v>
      </c>
      <c r="AB139" s="229">
        <v>1.5E-3</v>
      </c>
      <c r="AC139" s="228">
        <v>2</v>
      </c>
      <c r="AD139" s="228">
        <v>-1.2</v>
      </c>
      <c r="AE139" s="228">
        <v>3.2</v>
      </c>
      <c r="AF139" s="229">
        <v>1.5E-3</v>
      </c>
      <c r="AG139" s="228">
        <v>7.2</v>
      </c>
      <c r="AH139" s="228">
        <v>3.6</v>
      </c>
      <c r="AI139" s="228">
        <v>3.6</v>
      </c>
      <c r="AJ139" s="229">
        <v>5.3E-3</v>
      </c>
      <c r="AK139" s="228">
        <v>17.2</v>
      </c>
      <c r="AL139" s="228">
        <v>12.8</v>
      </c>
      <c r="AM139" s="228">
        <v>4.4000000000000004</v>
      </c>
      <c r="AN139" s="229">
        <v>1.26E-2</v>
      </c>
      <c r="AO139" s="231">
        <v>1368.73</v>
      </c>
      <c r="AP139" s="231">
        <v>1373.84</v>
      </c>
      <c r="AQ139" s="228">
        <v>0</v>
      </c>
      <c r="AR139" s="230">
        <v>5739750</v>
      </c>
      <c r="AS139" s="230">
        <v>9525750</v>
      </c>
      <c r="AT139" s="230">
        <v>-3786000</v>
      </c>
      <c r="AU139" s="229">
        <v>-0.39739999999999998</v>
      </c>
      <c r="AV139" s="230">
        <v>2745750</v>
      </c>
      <c r="AW139" s="230">
        <v>4819500</v>
      </c>
      <c r="AX139" s="230">
        <v>-2073750</v>
      </c>
      <c r="AY139" s="229">
        <v>-0.43030000000000002</v>
      </c>
      <c r="AZ139" s="230">
        <v>2979750</v>
      </c>
      <c r="BA139" s="230">
        <v>4669125</v>
      </c>
      <c r="BB139" s="230">
        <v>-1689375</v>
      </c>
      <c r="BC139" s="229">
        <v>-0.36180000000000001</v>
      </c>
      <c r="BD139" s="230">
        <v>14250</v>
      </c>
      <c r="BE139" s="230">
        <v>37125</v>
      </c>
      <c r="BF139" s="230">
        <v>-22875</v>
      </c>
      <c r="BG139" s="229">
        <v>-0.61619999999999997</v>
      </c>
      <c r="BH139" s="230">
        <v>3823500</v>
      </c>
      <c r="BI139" s="230">
        <v>20080875</v>
      </c>
      <c r="BJ139" s="230">
        <v>-16257375</v>
      </c>
      <c r="BK139" s="229">
        <v>-0.80959999999999999</v>
      </c>
      <c r="BL139" s="230">
        <v>1500375</v>
      </c>
      <c r="BM139" s="230">
        <v>5540625</v>
      </c>
      <c r="BN139" s="230">
        <v>-4040250</v>
      </c>
      <c r="BO139" s="229">
        <v>-0.72919999999999996</v>
      </c>
      <c r="BP139" s="230">
        <v>11063625</v>
      </c>
      <c r="BQ139" s="230">
        <v>35147250</v>
      </c>
      <c r="BR139" s="230">
        <v>-24083625</v>
      </c>
      <c r="BS139" s="229">
        <v>-0.68520000000000003</v>
      </c>
      <c r="BT139" s="230">
        <v>507002</v>
      </c>
      <c r="BU139" s="230">
        <v>2442673</v>
      </c>
      <c r="BV139" s="230">
        <v>-1935671</v>
      </c>
      <c r="BW139" s="229">
        <v>-0.79239999999999999</v>
      </c>
      <c r="BX139" s="230">
        <v>9439875</v>
      </c>
      <c r="BY139" s="230">
        <v>9458250</v>
      </c>
      <c r="BZ139" s="230">
        <v>-18375</v>
      </c>
      <c r="CA139" s="229">
        <v>-1.9E-3</v>
      </c>
      <c r="CB139" s="230">
        <v>1269375</v>
      </c>
      <c r="CC139" s="230">
        <v>3535125</v>
      </c>
      <c r="CD139" s="230">
        <v>-2265750</v>
      </c>
      <c r="CE139" s="229">
        <v>-0.64090000000000003</v>
      </c>
      <c r="CF139" s="230">
        <v>8132250</v>
      </c>
      <c r="CG139" s="230">
        <v>5891250</v>
      </c>
      <c r="CH139" s="230">
        <v>2241000</v>
      </c>
      <c r="CI139" s="229">
        <v>0.38040000000000002</v>
      </c>
      <c r="CJ139" s="230">
        <v>38250</v>
      </c>
      <c r="CK139" s="230">
        <v>31875</v>
      </c>
      <c r="CL139" s="230">
        <v>6375</v>
      </c>
      <c r="CM139" s="229">
        <v>0.2</v>
      </c>
      <c r="CN139" s="230">
        <v>1945500</v>
      </c>
      <c r="CO139" s="230">
        <v>2176125</v>
      </c>
      <c r="CP139" s="230">
        <v>-230625</v>
      </c>
      <c r="CQ139" s="229">
        <v>-0.106</v>
      </c>
      <c r="CR139" s="230">
        <v>1218375</v>
      </c>
      <c r="CS139" s="230">
        <v>1331625</v>
      </c>
      <c r="CT139" s="230">
        <v>-113250</v>
      </c>
      <c r="CU139" s="229">
        <v>-8.5000000000000006E-2</v>
      </c>
      <c r="CV139" s="230">
        <v>12603750</v>
      </c>
      <c r="CW139" s="230">
        <v>12966000</v>
      </c>
      <c r="CX139" s="230">
        <v>-362250</v>
      </c>
      <c r="CY139" s="229">
        <v>-2.7900000000000001E-2</v>
      </c>
      <c r="CZ139" s="228">
        <v>32.979999999999997</v>
      </c>
      <c r="DA139" s="228">
        <v>32.76</v>
      </c>
      <c r="DB139" s="228">
        <v>0.22</v>
      </c>
      <c r="DC139" s="228">
        <v>0.22</v>
      </c>
      <c r="DD139" s="228">
        <v>38.17</v>
      </c>
      <c r="DE139" s="228">
        <v>38.24</v>
      </c>
      <c r="DF139" s="228">
        <v>-5.19</v>
      </c>
      <c r="DG139" s="228">
        <v>-7.0000000000000007E-2</v>
      </c>
      <c r="DH139" s="228">
        <v>33.07</v>
      </c>
      <c r="DI139" s="228">
        <v>32.94</v>
      </c>
      <c r="DJ139" s="228">
        <v>0.13</v>
      </c>
      <c r="DK139" s="228">
        <v>0.13</v>
      </c>
      <c r="DL139" s="228">
        <v>32.799999999999997</v>
      </c>
      <c r="DM139" s="228">
        <v>32.26</v>
      </c>
      <c r="DN139" s="228">
        <v>0.54</v>
      </c>
      <c r="DO139" s="228">
        <v>0.54</v>
      </c>
      <c r="DP139" s="228">
        <v>0.63</v>
      </c>
      <c r="DQ139" s="228">
        <v>0.61</v>
      </c>
      <c r="DR139" s="228">
        <v>0.02</v>
      </c>
      <c r="DS139" s="229">
        <v>3.2800000000000003E-2</v>
      </c>
      <c r="DT139" s="231">
        <v>1400</v>
      </c>
      <c r="DU139" s="231">
        <v>1300</v>
      </c>
      <c r="DV139" s="228">
        <v>0.39</v>
      </c>
      <c r="DW139" s="228">
        <v>0.28000000000000003</v>
      </c>
      <c r="DX139" s="228">
        <v>0.11</v>
      </c>
      <c r="DY139" s="229">
        <v>0.39290000000000003</v>
      </c>
      <c r="DZ139" s="229">
        <v>0.86550000000000005</v>
      </c>
      <c r="EA139" s="230">
        <v>5923125</v>
      </c>
      <c r="EB139" s="229">
        <v>3.8E-3</v>
      </c>
      <c r="EC139" s="229">
        <v>0.86550000000000005</v>
      </c>
      <c r="ED139" s="228">
        <v>5.1100000000000003</v>
      </c>
      <c r="EE139" s="229">
        <v>3.7000000000000002E-3</v>
      </c>
      <c r="EF139" s="230">
        <v>280107</v>
      </c>
      <c r="EG139" s="230">
        <v>1319112</v>
      </c>
      <c r="EH139" s="229">
        <v>-0.78769999999999996</v>
      </c>
      <c r="EI139" s="229">
        <v>0.55249999999999999</v>
      </c>
      <c r="EJ139" s="231">
        <v>54513.89</v>
      </c>
      <c r="EK139" s="231">
        <v>20422.02</v>
      </c>
      <c r="EL139" s="231">
        <v>78716.38</v>
      </c>
      <c r="EM139" s="231">
        <v>12021</v>
      </c>
      <c r="EN139" s="231">
        <v>153652.29</v>
      </c>
      <c r="EO139" s="231">
        <v>499459.1</v>
      </c>
      <c r="EP139" s="231">
        <v>-345806.81</v>
      </c>
      <c r="EQ139" s="229">
        <v>-0.69240000000000002</v>
      </c>
      <c r="ER139" s="231">
        <v>27844</v>
      </c>
      <c r="ES139" s="231">
        <v>16234</v>
      </c>
      <c r="ET139" s="231">
        <v>129443</v>
      </c>
      <c r="EU139" s="231">
        <v>60530911</v>
      </c>
      <c r="EV139" s="231">
        <v>173521</v>
      </c>
      <c r="EW139" s="231">
        <v>179359</v>
      </c>
      <c r="EX139" s="231">
        <v>-5838</v>
      </c>
      <c r="EY139" s="229">
        <v>-3.2500000000000001E-2</v>
      </c>
      <c r="EZ139" s="229">
        <v>0.2082</v>
      </c>
      <c r="FA139" s="227" t="s">
        <v>568</v>
      </c>
      <c r="FB139" s="161">
        <f>BX139-CB139</f>
        <v>8170500</v>
      </c>
    </row>
    <row r="140" spans="1:158" ht="17.25" hidden="1" thickBot="1" x14ac:dyDescent="0.3">
      <c r="A140" s="226">
        <v>45957</v>
      </c>
      <c r="B140" s="227" t="s">
        <v>206</v>
      </c>
      <c r="C140" s="227" t="s">
        <v>550</v>
      </c>
      <c r="D140" s="228">
        <v>6500</v>
      </c>
      <c r="E140" s="228">
        <v>111.67</v>
      </c>
      <c r="F140" s="228">
        <v>111.62</v>
      </c>
      <c r="G140" s="228">
        <v>0.05</v>
      </c>
      <c r="H140" s="229">
        <v>4.0000000000000002E-4</v>
      </c>
      <c r="I140" s="228">
        <v>111.5</v>
      </c>
      <c r="J140" s="228">
        <v>111.69</v>
      </c>
      <c r="K140" s="228">
        <v>-0.19</v>
      </c>
      <c r="L140" s="229">
        <v>-1.6999999999999999E-3</v>
      </c>
      <c r="M140" s="228">
        <v>111.67</v>
      </c>
      <c r="N140" s="228">
        <v>111.62</v>
      </c>
      <c r="O140" s="228">
        <v>0.05</v>
      </c>
      <c r="P140" s="229">
        <v>4.0000000000000002E-4</v>
      </c>
      <c r="Q140" s="228">
        <v>112.27</v>
      </c>
      <c r="R140" s="228">
        <v>112.26</v>
      </c>
      <c r="S140" s="228">
        <v>0.01</v>
      </c>
      <c r="T140" s="229">
        <v>1E-4</v>
      </c>
      <c r="U140" s="228">
        <v>112.96</v>
      </c>
      <c r="V140" s="228">
        <v>113.07</v>
      </c>
      <c r="W140" s="228">
        <v>-0.11</v>
      </c>
      <c r="X140" s="229">
        <v>-1E-3</v>
      </c>
      <c r="Y140" s="228">
        <v>0.17</v>
      </c>
      <c r="Z140" s="228">
        <v>-7.0000000000000007E-2</v>
      </c>
      <c r="AA140" s="228">
        <v>0.24</v>
      </c>
      <c r="AB140" s="229">
        <v>1.5E-3</v>
      </c>
      <c r="AC140" s="228">
        <v>0.17</v>
      </c>
      <c r="AD140" s="228">
        <v>-7.0000000000000007E-2</v>
      </c>
      <c r="AE140" s="228">
        <v>0.24</v>
      </c>
      <c r="AF140" s="229">
        <v>1.5E-3</v>
      </c>
      <c r="AG140" s="228">
        <v>0.77</v>
      </c>
      <c r="AH140" s="228">
        <v>0.56999999999999995</v>
      </c>
      <c r="AI140" s="228">
        <v>0.2</v>
      </c>
      <c r="AJ140" s="229">
        <v>6.8999999999999999E-3</v>
      </c>
      <c r="AK140" s="228">
        <v>1.46</v>
      </c>
      <c r="AL140" s="228">
        <v>1.38</v>
      </c>
      <c r="AM140" s="228">
        <v>0.08</v>
      </c>
      <c r="AN140" s="229">
        <v>1.3100000000000001E-2</v>
      </c>
      <c r="AO140" s="228">
        <v>111.77</v>
      </c>
      <c r="AP140" s="228">
        <v>112.4</v>
      </c>
      <c r="AQ140" s="228">
        <v>0</v>
      </c>
      <c r="AR140" s="230">
        <v>35990500</v>
      </c>
      <c r="AS140" s="230">
        <v>43017000</v>
      </c>
      <c r="AT140" s="230">
        <v>-7026500</v>
      </c>
      <c r="AU140" s="229">
        <v>-0.1633</v>
      </c>
      <c r="AV140" s="230">
        <v>16763500</v>
      </c>
      <c r="AW140" s="230">
        <v>20312500</v>
      </c>
      <c r="AX140" s="230">
        <v>-3549000</v>
      </c>
      <c r="AY140" s="229">
        <v>-0.17469999999999999</v>
      </c>
      <c r="AZ140" s="230">
        <v>18928000</v>
      </c>
      <c r="BA140" s="230">
        <v>22568000</v>
      </c>
      <c r="BB140" s="230">
        <v>-3640000</v>
      </c>
      <c r="BC140" s="229">
        <v>-0.1613</v>
      </c>
      <c r="BD140" s="230">
        <v>299000</v>
      </c>
      <c r="BE140" s="230">
        <v>136500</v>
      </c>
      <c r="BF140" s="230">
        <v>162500</v>
      </c>
      <c r="BG140" s="229">
        <v>1.1904999999999999</v>
      </c>
      <c r="BH140" s="230">
        <v>14391000</v>
      </c>
      <c r="BI140" s="230">
        <v>16295500</v>
      </c>
      <c r="BJ140" s="230">
        <v>-1904500</v>
      </c>
      <c r="BK140" s="229">
        <v>-0.1169</v>
      </c>
      <c r="BL140" s="230">
        <v>6942000</v>
      </c>
      <c r="BM140" s="230">
        <v>7000500</v>
      </c>
      <c r="BN140" s="230">
        <v>-58500</v>
      </c>
      <c r="BO140" s="229">
        <v>-8.3999999999999995E-3</v>
      </c>
      <c r="BP140" s="230">
        <v>57323500</v>
      </c>
      <c r="BQ140" s="230">
        <v>66313000</v>
      </c>
      <c r="BR140" s="230">
        <v>-8989500</v>
      </c>
      <c r="BS140" s="229">
        <v>-0.1356</v>
      </c>
      <c r="BT140" s="230">
        <v>4308163</v>
      </c>
      <c r="BU140" s="230">
        <v>6268290</v>
      </c>
      <c r="BV140" s="230">
        <v>-1960127</v>
      </c>
      <c r="BW140" s="229">
        <v>-0.31269999999999998</v>
      </c>
      <c r="BX140" s="230">
        <v>61665500</v>
      </c>
      <c r="BY140" s="230">
        <v>61171500</v>
      </c>
      <c r="BZ140" s="230">
        <v>494000</v>
      </c>
      <c r="CA140" s="229">
        <v>8.0999999999999996E-3</v>
      </c>
      <c r="CB140" s="230">
        <v>19643000</v>
      </c>
      <c r="CC140" s="230">
        <v>31382000</v>
      </c>
      <c r="CD140" s="230">
        <v>-11739000</v>
      </c>
      <c r="CE140" s="229">
        <v>-0.37409999999999999</v>
      </c>
      <c r="CF140" s="230">
        <v>40865500</v>
      </c>
      <c r="CG140" s="230">
        <v>28847000</v>
      </c>
      <c r="CH140" s="230">
        <v>12018500</v>
      </c>
      <c r="CI140" s="229">
        <v>0.41660000000000003</v>
      </c>
      <c r="CJ140" s="230">
        <v>1157000</v>
      </c>
      <c r="CK140" s="230">
        <v>942500</v>
      </c>
      <c r="CL140" s="230">
        <v>214500</v>
      </c>
      <c r="CM140" s="229">
        <v>0.2276</v>
      </c>
      <c r="CN140" s="230">
        <v>29354000</v>
      </c>
      <c r="CO140" s="230">
        <v>30361500</v>
      </c>
      <c r="CP140" s="230">
        <v>-1007500</v>
      </c>
      <c r="CQ140" s="229">
        <v>-3.32E-2</v>
      </c>
      <c r="CR140" s="230">
        <v>16861000</v>
      </c>
      <c r="CS140" s="230">
        <v>16523000</v>
      </c>
      <c r="CT140" s="230">
        <v>338000</v>
      </c>
      <c r="CU140" s="229">
        <v>2.0500000000000001E-2</v>
      </c>
      <c r="CV140" s="230">
        <v>107880500</v>
      </c>
      <c r="CW140" s="230">
        <v>108056000</v>
      </c>
      <c r="CX140" s="230">
        <v>-175500</v>
      </c>
      <c r="CY140" s="229">
        <v>-1.6000000000000001E-3</v>
      </c>
      <c r="CZ140" s="228">
        <v>34.700000000000003</v>
      </c>
      <c r="DA140" s="228">
        <v>34.64</v>
      </c>
      <c r="DB140" s="228">
        <v>0.06</v>
      </c>
      <c r="DC140" s="228">
        <v>0.06</v>
      </c>
      <c r="DD140" s="228">
        <v>52.08</v>
      </c>
      <c r="DE140" s="228">
        <v>52.21</v>
      </c>
      <c r="DF140" s="228">
        <v>-17.38</v>
      </c>
      <c r="DG140" s="228">
        <v>-0.13</v>
      </c>
      <c r="DH140" s="228">
        <v>34.9</v>
      </c>
      <c r="DI140" s="228">
        <v>34.89</v>
      </c>
      <c r="DJ140" s="228">
        <v>0.01</v>
      </c>
      <c r="DK140" s="228">
        <v>0.01</v>
      </c>
      <c r="DL140" s="228">
        <v>34.450000000000003</v>
      </c>
      <c r="DM140" s="228">
        <v>34.19</v>
      </c>
      <c r="DN140" s="228">
        <v>0.26</v>
      </c>
      <c r="DO140" s="228">
        <v>0.26</v>
      </c>
      <c r="DP140" s="228">
        <v>0.56999999999999995</v>
      </c>
      <c r="DQ140" s="228">
        <v>0.54</v>
      </c>
      <c r="DR140" s="228">
        <v>0.03</v>
      </c>
      <c r="DS140" s="229">
        <v>5.5599999999999997E-2</v>
      </c>
      <c r="DT140" s="228">
        <v>115</v>
      </c>
      <c r="DU140" s="228">
        <v>110</v>
      </c>
      <c r="DV140" s="228">
        <v>0.48</v>
      </c>
      <c r="DW140" s="228">
        <v>0.43</v>
      </c>
      <c r="DX140" s="228">
        <v>0.05</v>
      </c>
      <c r="DY140" s="229">
        <v>0.1163</v>
      </c>
      <c r="DZ140" s="229">
        <v>0.68149999999999999</v>
      </c>
      <c r="EA140" s="230">
        <v>29789500</v>
      </c>
      <c r="EB140" s="229">
        <v>5.4000000000000003E-3</v>
      </c>
      <c r="EC140" s="229">
        <v>0.68149999999999999</v>
      </c>
      <c r="ED140" s="228">
        <v>0.63</v>
      </c>
      <c r="EE140" s="229">
        <v>5.5999999999999999E-3</v>
      </c>
      <c r="EF140" s="230">
        <v>1555854</v>
      </c>
      <c r="EG140" s="230">
        <v>2413728</v>
      </c>
      <c r="EH140" s="229">
        <v>-0.35539999999999999</v>
      </c>
      <c r="EI140" s="229">
        <v>0.36109999999999998</v>
      </c>
      <c r="EJ140" s="231">
        <v>16691.43</v>
      </c>
      <c r="EK140" s="231">
        <v>7682.78</v>
      </c>
      <c r="EL140" s="231">
        <v>40348.019999999997</v>
      </c>
      <c r="EM140" s="231">
        <v>3432</v>
      </c>
      <c r="EN140" s="231">
        <v>64722.23</v>
      </c>
      <c r="EO140" s="231">
        <v>75216.800000000003</v>
      </c>
      <c r="EP140" s="231">
        <v>-10494.57</v>
      </c>
      <c r="EQ140" s="229">
        <v>-0.13950000000000001</v>
      </c>
      <c r="ER140" s="231">
        <v>34417</v>
      </c>
      <c r="ES140" s="231">
        <v>17894</v>
      </c>
      <c r="ET140" s="231">
        <v>69122</v>
      </c>
      <c r="EU140" s="231">
        <v>154894704</v>
      </c>
      <c r="EV140" s="231">
        <v>121433</v>
      </c>
      <c r="EW140" s="231">
        <v>121617</v>
      </c>
      <c r="EX140" s="228">
        <v>-184</v>
      </c>
      <c r="EY140" s="229">
        <v>-1.5E-3</v>
      </c>
      <c r="EZ140" s="229">
        <v>0.69650000000000001</v>
      </c>
      <c r="FA140" s="227" t="s">
        <v>555</v>
      </c>
      <c r="FB140" s="161">
        <f>BX140-CB140</f>
        <v>42022500</v>
      </c>
    </row>
    <row r="141" spans="1:158" ht="17.25" hidden="1" thickBot="1" x14ac:dyDescent="0.3">
      <c r="A141" s="226">
        <v>45957</v>
      </c>
      <c r="B141" s="227" t="s">
        <v>215</v>
      </c>
      <c r="C141" s="227" t="s">
        <v>591</v>
      </c>
      <c r="D141" s="228">
        <v>2700</v>
      </c>
      <c r="E141" s="228">
        <v>213.92</v>
      </c>
      <c r="F141" s="228">
        <v>209.51</v>
      </c>
      <c r="G141" s="228">
        <v>4.41</v>
      </c>
      <c r="H141" s="229">
        <v>2.1000000000000001E-2</v>
      </c>
      <c r="I141" s="228">
        <v>213.55</v>
      </c>
      <c r="J141" s="228">
        <v>209.56</v>
      </c>
      <c r="K141" s="228">
        <v>3.99</v>
      </c>
      <c r="L141" s="229">
        <v>1.9E-2</v>
      </c>
      <c r="M141" s="228">
        <v>213.92</v>
      </c>
      <c r="N141" s="228">
        <v>209.51</v>
      </c>
      <c r="O141" s="228">
        <v>4.41</v>
      </c>
      <c r="P141" s="229">
        <v>2.1000000000000001E-2</v>
      </c>
      <c r="Q141" s="228">
        <v>215.09</v>
      </c>
      <c r="R141" s="228">
        <v>210.64</v>
      </c>
      <c r="S141" s="228">
        <v>4.45</v>
      </c>
      <c r="T141" s="229">
        <v>2.1100000000000001E-2</v>
      </c>
      <c r="U141" s="228">
        <v>216.49</v>
      </c>
      <c r="V141" s="228">
        <v>212.11</v>
      </c>
      <c r="W141" s="228">
        <v>4.38</v>
      </c>
      <c r="X141" s="229">
        <v>2.06E-2</v>
      </c>
      <c r="Y141" s="228">
        <v>0.37</v>
      </c>
      <c r="Z141" s="228">
        <v>-0.05</v>
      </c>
      <c r="AA141" s="228">
        <v>0.42</v>
      </c>
      <c r="AB141" s="229">
        <v>1.6999999999999999E-3</v>
      </c>
      <c r="AC141" s="228">
        <v>0.37</v>
      </c>
      <c r="AD141" s="228">
        <v>-0.05</v>
      </c>
      <c r="AE141" s="228">
        <v>0.42</v>
      </c>
      <c r="AF141" s="229">
        <v>1.6999999999999999E-3</v>
      </c>
      <c r="AG141" s="228">
        <v>1.54</v>
      </c>
      <c r="AH141" s="228">
        <v>1.08</v>
      </c>
      <c r="AI141" s="228">
        <v>0.46</v>
      </c>
      <c r="AJ141" s="229">
        <v>7.1999999999999998E-3</v>
      </c>
      <c r="AK141" s="228">
        <v>2.94</v>
      </c>
      <c r="AL141" s="228">
        <v>2.5499999999999998</v>
      </c>
      <c r="AM141" s="228">
        <v>0.39</v>
      </c>
      <c r="AN141" s="229">
        <v>1.38E-2</v>
      </c>
      <c r="AO141" s="228">
        <v>213.49</v>
      </c>
      <c r="AP141" s="228">
        <v>214.62</v>
      </c>
      <c r="AQ141" s="228">
        <v>0</v>
      </c>
      <c r="AR141" s="230">
        <v>17509500</v>
      </c>
      <c r="AS141" s="230">
        <v>12085200</v>
      </c>
      <c r="AT141" s="230">
        <v>5424300</v>
      </c>
      <c r="AU141" s="229">
        <v>0.44879999999999998</v>
      </c>
      <c r="AV141" s="230">
        <v>7727400</v>
      </c>
      <c r="AW141" s="230">
        <v>6261300</v>
      </c>
      <c r="AX141" s="230">
        <v>1466100</v>
      </c>
      <c r="AY141" s="229">
        <v>0.23419999999999999</v>
      </c>
      <c r="AZ141" s="230">
        <v>9544500</v>
      </c>
      <c r="BA141" s="230">
        <v>5705100</v>
      </c>
      <c r="BB141" s="230">
        <v>3839400</v>
      </c>
      <c r="BC141" s="229">
        <v>0.67300000000000004</v>
      </c>
      <c r="BD141" s="230">
        <v>237600</v>
      </c>
      <c r="BE141" s="230">
        <v>118800</v>
      </c>
      <c r="BF141" s="230">
        <v>118800</v>
      </c>
      <c r="BG141" s="229">
        <v>1</v>
      </c>
      <c r="BH141" s="230">
        <v>18235800</v>
      </c>
      <c r="BI141" s="230">
        <v>6747300</v>
      </c>
      <c r="BJ141" s="230">
        <v>11488500</v>
      </c>
      <c r="BK141" s="229">
        <v>1.7027000000000001</v>
      </c>
      <c r="BL141" s="230">
        <v>5988600</v>
      </c>
      <c r="BM141" s="230">
        <v>3223800</v>
      </c>
      <c r="BN141" s="230">
        <v>2764800</v>
      </c>
      <c r="BO141" s="229">
        <v>0.85760000000000003</v>
      </c>
      <c r="BP141" s="230">
        <v>41733900</v>
      </c>
      <c r="BQ141" s="230">
        <v>22056300</v>
      </c>
      <c r="BR141" s="230">
        <v>19677600</v>
      </c>
      <c r="BS141" s="229">
        <v>0.89219999999999999</v>
      </c>
      <c r="BT141" s="230">
        <v>7634105</v>
      </c>
      <c r="BU141" s="230">
        <v>1553451</v>
      </c>
      <c r="BV141" s="230">
        <v>6080654</v>
      </c>
      <c r="BW141" s="229">
        <v>3.9142999999999999</v>
      </c>
      <c r="BX141" s="230">
        <v>19453500</v>
      </c>
      <c r="BY141" s="230">
        <v>19502100</v>
      </c>
      <c r="BZ141" s="230">
        <v>-48600</v>
      </c>
      <c r="CA141" s="229">
        <v>-2.5000000000000001E-3</v>
      </c>
      <c r="CB141" s="230">
        <v>5165100</v>
      </c>
      <c r="CC141" s="230">
        <v>9406800</v>
      </c>
      <c r="CD141" s="230">
        <v>-4241700</v>
      </c>
      <c r="CE141" s="229">
        <v>-0.45090000000000002</v>
      </c>
      <c r="CF141" s="230">
        <v>13856400</v>
      </c>
      <c r="CG141" s="230">
        <v>9782100</v>
      </c>
      <c r="CH141" s="230">
        <v>4074300</v>
      </c>
      <c r="CI141" s="229">
        <v>0.41649999999999998</v>
      </c>
      <c r="CJ141" s="230">
        <v>432000</v>
      </c>
      <c r="CK141" s="230">
        <v>313200</v>
      </c>
      <c r="CL141" s="230">
        <v>118800</v>
      </c>
      <c r="CM141" s="229">
        <v>0.37930000000000003</v>
      </c>
      <c r="CN141" s="230">
        <v>7584300</v>
      </c>
      <c r="CO141" s="230">
        <v>9433800</v>
      </c>
      <c r="CP141" s="230">
        <v>-1849500</v>
      </c>
      <c r="CQ141" s="229">
        <v>-0.1961</v>
      </c>
      <c r="CR141" s="230">
        <v>4460400</v>
      </c>
      <c r="CS141" s="230">
        <v>4484700</v>
      </c>
      <c r="CT141" s="230">
        <v>-24300</v>
      </c>
      <c r="CU141" s="229">
        <v>-5.4000000000000003E-3</v>
      </c>
      <c r="CV141" s="230">
        <v>31498200</v>
      </c>
      <c r="CW141" s="230">
        <v>33420600</v>
      </c>
      <c r="CX141" s="230">
        <v>-1922400</v>
      </c>
      <c r="CY141" s="229">
        <v>-5.7500000000000002E-2</v>
      </c>
      <c r="CZ141" s="228">
        <v>33.61</v>
      </c>
      <c r="DA141" s="228">
        <v>32.65</v>
      </c>
      <c r="DB141" s="228">
        <v>0.96</v>
      </c>
      <c r="DC141" s="228">
        <v>0.96</v>
      </c>
      <c r="DD141" s="228">
        <v>46.93</v>
      </c>
      <c r="DE141" s="228">
        <v>46.96</v>
      </c>
      <c r="DF141" s="228">
        <v>-13.32</v>
      </c>
      <c r="DG141" s="228">
        <v>-0.03</v>
      </c>
      <c r="DH141" s="228">
        <v>33.619999999999997</v>
      </c>
      <c r="DI141" s="228">
        <v>33.15</v>
      </c>
      <c r="DJ141" s="228">
        <v>0.47</v>
      </c>
      <c r="DK141" s="228">
        <v>0.47</v>
      </c>
      <c r="DL141" s="228">
        <v>33.57</v>
      </c>
      <c r="DM141" s="228">
        <v>32.07</v>
      </c>
      <c r="DN141" s="228">
        <v>1.5</v>
      </c>
      <c r="DO141" s="228">
        <v>1.5</v>
      </c>
      <c r="DP141" s="228">
        <v>0.59</v>
      </c>
      <c r="DQ141" s="228">
        <v>0.48</v>
      </c>
      <c r="DR141" s="228">
        <v>0.11</v>
      </c>
      <c r="DS141" s="229">
        <v>0.22919999999999999</v>
      </c>
      <c r="DT141" s="228">
        <v>220</v>
      </c>
      <c r="DU141" s="228">
        <v>200</v>
      </c>
      <c r="DV141" s="228">
        <v>0.33</v>
      </c>
      <c r="DW141" s="228">
        <v>0.48</v>
      </c>
      <c r="DX141" s="228">
        <v>-0.15</v>
      </c>
      <c r="DY141" s="229">
        <v>-0.3125</v>
      </c>
      <c r="DZ141" s="229">
        <v>0.73450000000000004</v>
      </c>
      <c r="EA141" s="230">
        <v>10095300</v>
      </c>
      <c r="EB141" s="229">
        <v>5.4999999999999997E-3</v>
      </c>
      <c r="EC141" s="229">
        <v>0.73450000000000004</v>
      </c>
      <c r="ED141" s="228">
        <v>1.1299999999999999</v>
      </c>
      <c r="EE141" s="229">
        <v>5.3E-3</v>
      </c>
      <c r="EF141" s="230">
        <v>1410070</v>
      </c>
      <c r="EG141" s="230">
        <v>620558</v>
      </c>
      <c r="EH141" s="229">
        <v>1.2723</v>
      </c>
      <c r="EI141" s="229">
        <v>0.1847</v>
      </c>
      <c r="EJ141" s="231">
        <v>40039.550000000003</v>
      </c>
      <c r="EK141" s="231">
        <v>12733.49</v>
      </c>
      <c r="EL141" s="231">
        <v>37495.5</v>
      </c>
      <c r="EM141" s="231">
        <v>2521</v>
      </c>
      <c r="EN141" s="231">
        <v>90268.54</v>
      </c>
      <c r="EO141" s="231">
        <v>46801.01</v>
      </c>
      <c r="EP141" s="231">
        <v>43467.53</v>
      </c>
      <c r="EQ141" s="229">
        <v>0.92879999999999996</v>
      </c>
      <c r="ER141" s="231">
        <v>16570</v>
      </c>
      <c r="ES141" s="231">
        <v>9186</v>
      </c>
      <c r="ET141" s="231">
        <v>41788</v>
      </c>
      <c r="EU141" s="231">
        <v>72342848</v>
      </c>
      <c r="EV141" s="231">
        <v>67544</v>
      </c>
      <c r="EW141" s="231">
        <v>70687</v>
      </c>
      <c r="EX141" s="231">
        <v>-3143</v>
      </c>
      <c r="EY141" s="229">
        <v>-4.4499999999999998E-2</v>
      </c>
      <c r="EZ141" s="229">
        <v>0.43540000000000001</v>
      </c>
      <c r="FA141" s="227" t="s">
        <v>556</v>
      </c>
      <c r="FB141" s="161">
        <f>BX216-CB216</f>
        <v>6912900</v>
      </c>
    </row>
    <row r="142" spans="1:158" ht="17.25" hidden="1" thickBot="1" x14ac:dyDescent="0.3">
      <c r="A142" s="226">
        <v>45957</v>
      </c>
      <c r="B142" s="227" t="s">
        <v>168</v>
      </c>
      <c r="C142" s="227" t="s">
        <v>265</v>
      </c>
      <c r="D142" s="228">
        <v>500</v>
      </c>
      <c r="E142" s="231">
        <v>1284.5999999999999</v>
      </c>
      <c r="F142" s="231">
        <v>1282.7</v>
      </c>
      <c r="G142" s="228">
        <v>1.9</v>
      </c>
      <c r="H142" s="229">
        <v>1.5E-3</v>
      </c>
      <c r="I142" s="231">
        <v>1283</v>
      </c>
      <c r="J142" s="231">
        <v>1282</v>
      </c>
      <c r="K142" s="228">
        <v>1</v>
      </c>
      <c r="L142" s="229">
        <v>8.0000000000000004E-4</v>
      </c>
      <c r="M142" s="231">
        <v>1284.5999999999999</v>
      </c>
      <c r="N142" s="231">
        <v>1282.7</v>
      </c>
      <c r="O142" s="228">
        <v>1.9</v>
      </c>
      <c r="P142" s="229">
        <v>1.5E-3</v>
      </c>
      <c r="Q142" s="231">
        <v>1291.8</v>
      </c>
      <c r="R142" s="231">
        <v>1289.9000000000001</v>
      </c>
      <c r="S142" s="228">
        <v>1.9</v>
      </c>
      <c r="T142" s="229">
        <v>1.5E-3</v>
      </c>
      <c r="U142" s="231">
        <v>1299.5999999999999</v>
      </c>
      <c r="V142" s="231">
        <v>1297.7</v>
      </c>
      <c r="W142" s="228">
        <v>1.9</v>
      </c>
      <c r="X142" s="229">
        <v>1.5E-3</v>
      </c>
      <c r="Y142" s="228">
        <v>1.6</v>
      </c>
      <c r="Z142" s="228">
        <v>0.7</v>
      </c>
      <c r="AA142" s="228">
        <v>0.9</v>
      </c>
      <c r="AB142" s="229">
        <v>1.1999999999999999E-3</v>
      </c>
      <c r="AC142" s="228">
        <v>1.6</v>
      </c>
      <c r="AD142" s="228">
        <v>0.7</v>
      </c>
      <c r="AE142" s="228">
        <v>0.9</v>
      </c>
      <c r="AF142" s="229">
        <v>1.1999999999999999E-3</v>
      </c>
      <c r="AG142" s="228">
        <v>8.8000000000000007</v>
      </c>
      <c r="AH142" s="228">
        <v>7.9</v>
      </c>
      <c r="AI142" s="228">
        <v>0.9</v>
      </c>
      <c r="AJ142" s="229">
        <v>6.8999999999999999E-3</v>
      </c>
      <c r="AK142" s="228">
        <v>16.600000000000001</v>
      </c>
      <c r="AL142" s="228">
        <v>15.7</v>
      </c>
      <c r="AM142" s="228">
        <v>0.9</v>
      </c>
      <c r="AN142" s="229">
        <v>1.29E-2</v>
      </c>
      <c r="AO142" s="231">
        <v>1284.03</v>
      </c>
      <c r="AP142" s="231">
        <v>1291.31</v>
      </c>
      <c r="AQ142" s="228">
        <v>0</v>
      </c>
      <c r="AR142" s="230">
        <v>11113000</v>
      </c>
      <c r="AS142" s="230">
        <v>12859500</v>
      </c>
      <c r="AT142" s="230">
        <v>-1746500</v>
      </c>
      <c r="AU142" s="229">
        <v>-0.1358</v>
      </c>
      <c r="AV142" s="230">
        <v>5339500</v>
      </c>
      <c r="AW142" s="230">
        <v>6335000</v>
      </c>
      <c r="AX142" s="230">
        <v>-995500</v>
      </c>
      <c r="AY142" s="229">
        <v>-0.15709999999999999</v>
      </c>
      <c r="AZ142" s="230">
        <v>5748500</v>
      </c>
      <c r="BA142" s="230">
        <v>6507500</v>
      </c>
      <c r="BB142" s="230">
        <v>-759000</v>
      </c>
      <c r="BC142" s="229">
        <v>-0.1166</v>
      </c>
      <c r="BD142" s="230">
        <v>25000</v>
      </c>
      <c r="BE142" s="230">
        <v>17000</v>
      </c>
      <c r="BF142" s="230">
        <v>8000</v>
      </c>
      <c r="BG142" s="229">
        <v>0.47060000000000002</v>
      </c>
      <c r="BH142" s="230">
        <v>9657000</v>
      </c>
      <c r="BI142" s="230">
        <v>11246500</v>
      </c>
      <c r="BJ142" s="230">
        <v>-1589500</v>
      </c>
      <c r="BK142" s="229">
        <v>-0.14130000000000001</v>
      </c>
      <c r="BL142" s="230">
        <v>6445500</v>
      </c>
      <c r="BM142" s="230">
        <v>9457000</v>
      </c>
      <c r="BN142" s="230">
        <v>-3011500</v>
      </c>
      <c r="BO142" s="229">
        <v>-0.31840000000000002</v>
      </c>
      <c r="BP142" s="230">
        <v>27215500</v>
      </c>
      <c r="BQ142" s="230">
        <v>33563000</v>
      </c>
      <c r="BR142" s="230">
        <v>-6347500</v>
      </c>
      <c r="BS142" s="229">
        <v>-0.18909999999999999</v>
      </c>
      <c r="BT142" s="230">
        <v>1158759</v>
      </c>
      <c r="BU142" s="230">
        <v>1491419</v>
      </c>
      <c r="BV142" s="230">
        <v>-332660</v>
      </c>
      <c r="BW142" s="229">
        <v>-0.223</v>
      </c>
      <c r="BX142" s="230">
        <v>19904000</v>
      </c>
      <c r="BY142" s="230">
        <v>20039500</v>
      </c>
      <c r="BZ142" s="230">
        <v>-135500</v>
      </c>
      <c r="CA142" s="229">
        <v>-6.7999999999999996E-3</v>
      </c>
      <c r="CB142" s="230">
        <v>3348500</v>
      </c>
      <c r="CC142" s="230">
        <v>7932500</v>
      </c>
      <c r="CD142" s="230">
        <v>-4584000</v>
      </c>
      <c r="CE142" s="229">
        <v>-0.57789999999999997</v>
      </c>
      <c r="CF142" s="230">
        <v>16474500</v>
      </c>
      <c r="CG142" s="230">
        <v>12039500</v>
      </c>
      <c r="CH142" s="230">
        <v>4435000</v>
      </c>
      <c r="CI142" s="229">
        <v>0.36840000000000001</v>
      </c>
      <c r="CJ142" s="230">
        <v>81000</v>
      </c>
      <c r="CK142" s="230">
        <v>67500</v>
      </c>
      <c r="CL142" s="230">
        <v>13500</v>
      </c>
      <c r="CM142" s="229">
        <v>0.2</v>
      </c>
      <c r="CN142" s="230">
        <v>8064500</v>
      </c>
      <c r="CO142" s="230">
        <v>7893000</v>
      </c>
      <c r="CP142" s="230">
        <v>171500</v>
      </c>
      <c r="CQ142" s="229">
        <v>2.1700000000000001E-2</v>
      </c>
      <c r="CR142" s="230">
        <v>6746000</v>
      </c>
      <c r="CS142" s="230">
        <v>7618500</v>
      </c>
      <c r="CT142" s="230">
        <v>-872500</v>
      </c>
      <c r="CU142" s="229">
        <v>-0.1145</v>
      </c>
      <c r="CV142" s="230">
        <v>34714500</v>
      </c>
      <c r="CW142" s="230">
        <v>35551000</v>
      </c>
      <c r="CX142" s="230">
        <v>-836500</v>
      </c>
      <c r="CY142" s="229">
        <v>-2.35E-2</v>
      </c>
      <c r="CZ142" s="228">
        <v>20.02</v>
      </c>
      <c r="DA142" s="228">
        <v>19.14</v>
      </c>
      <c r="DB142" s="228">
        <v>0.88</v>
      </c>
      <c r="DC142" s="228">
        <v>0.88</v>
      </c>
      <c r="DD142" s="228">
        <v>24.3</v>
      </c>
      <c r="DE142" s="228">
        <v>24.36</v>
      </c>
      <c r="DF142" s="228">
        <v>-4.28</v>
      </c>
      <c r="DG142" s="228">
        <v>-0.06</v>
      </c>
      <c r="DH142" s="228">
        <v>20.03</v>
      </c>
      <c r="DI142" s="228">
        <v>18.75</v>
      </c>
      <c r="DJ142" s="228">
        <v>1.28</v>
      </c>
      <c r="DK142" s="228">
        <v>1.28</v>
      </c>
      <c r="DL142" s="228">
        <v>20.010000000000002</v>
      </c>
      <c r="DM142" s="228">
        <v>19.579999999999998</v>
      </c>
      <c r="DN142" s="228">
        <v>0.43</v>
      </c>
      <c r="DO142" s="228">
        <v>0.43</v>
      </c>
      <c r="DP142" s="228">
        <v>0.84</v>
      </c>
      <c r="DQ142" s="228">
        <v>0.97</v>
      </c>
      <c r="DR142" s="228">
        <v>-0.13</v>
      </c>
      <c r="DS142" s="229">
        <v>-0.13400000000000001</v>
      </c>
      <c r="DT142" s="231">
        <v>1300</v>
      </c>
      <c r="DU142" s="231">
        <v>1200</v>
      </c>
      <c r="DV142" s="228">
        <v>0.67</v>
      </c>
      <c r="DW142" s="228">
        <v>0.84</v>
      </c>
      <c r="DX142" s="228">
        <v>-0.17</v>
      </c>
      <c r="DY142" s="229">
        <v>-0.2024</v>
      </c>
      <c r="DZ142" s="229">
        <v>0.83179999999999998</v>
      </c>
      <c r="EA142" s="230">
        <v>12107000</v>
      </c>
      <c r="EB142" s="229">
        <v>5.5999999999999999E-3</v>
      </c>
      <c r="EC142" s="229">
        <v>0.83179999999999998</v>
      </c>
      <c r="ED142" s="228">
        <v>7.28</v>
      </c>
      <c r="EE142" s="229">
        <v>5.7000000000000002E-3</v>
      </c>
      <c r="EF142" s="230">
        <v>708546</v>
      </c>
      <c r="EG142" s="230">
        <v>877323</v>
      </c>
      <c r="EH142" s="229">
        <v>-0.19239999999999999</v>
      </c>
      <c r="EI142" s="229">
        <v>0.61150000000000004</v>
      </c>
      <c r="EJ142" s="231">
        <v>127321.06</v>
      </c>
      <c r="EK142" s="231">
        <v>80892.61</v>
      </c>
      <c r="EL142" s="231">
        <v>143116.74</v>
      </c>
      <c r="EM142" s="231">
        <v>13948</v>
      </c>
      <c r="EN142" s="231">
        <v>351330.41</v>
      </c>
      <c r="EO142" s="231">
        <v>430778.44</v>
      </c>
      <c r="EP142" s="231">
        <v>-79448.03</v>
      </c>
      <c r="EQ142" s="229">
        <v>-0.18440000000000001</v>
      </c>
      <c r="ER142" s="231">
        <v>102768</v>
      </c>
      <c r="ES142" s="231">
        <v>82042</v>
      </c>
      <c r="ET142" s="231">
        <v>256885</v>
      </c>
      <c r="EU142" s="231">
        <v>71801274</v>
      </c>
      <c r="EV142" s="231">
        <v>441695</v>
      </c>
      <c r="EW142" s="231">
        <v>450935</v>
      </c>
      <c r="EX142" s="231">
        <v>-9240</v>
      </c>
      <c r="EY142" s="229">
        <v>-2.0500000000000001E-2</v>
      </c>
      <c r="EZ142" s="229">
        <v>0.48349999999999999</v>
      </c>
      <c r="FA142" s="227" t="s">
        <v>556</v>
      </c>
      <c r="FB142" s="161">
        <f t="shared" ref="FB142:FB161" si="3">BX217-CB217</f>
        <v>0</v>
      </c>
    </row>
    <row r="143" spans="1:158" ht="17.25" hidden="1" thickBot="1" x14ac:dyDescent="0.3">
      <c r="A143" s="226">
        <v>45957</v>
      </c>
      <c r="B143" s="227" t="s">
        <v>161</v>
      </c>
      <c r="C143" s="227" t="s">
        <v>585</v>
      </c>
      <c r="D143" s="228">
        <v>6400</v>
      </c>
      <c r="E143" s="228">
        <v>85.1</v>
      </c>
      <c r="F143" s="228">
        <v>84.89</v>
      </c>
      <c r="G143" s="228">
        <v>0.21</v>
      </c>
      <c r="H143" s="229">
        <v>2.5000000000000001E-3</v>
      </c>
      <c r="I143" s="228">
        <v>85.02</v>
      </c>
      <c r="J143" s="228">
        <v>84.79</v>
      </c>
      <c r="K143" s="228">
        <v>0.23</v>
      </c>
      <c r="L143" s="229">
        <v>2.7000000000000001E-3</v>
      </c>
      <c r="M143" s="228">
        <v>85.1</v>
      </c>
      <c r="N143" s="228">
        <v>84.89</v>
      </c>
      <c r="O143" s="228">
        <v>0.21</v>
      </c>
      <c r="P143" s="229">
        <v>2.5000000000000001E-3</v>
      </c>
      <c r="Q143" s="228">
        <v>85.57</v>
      </c>
      <c r="R143" s="228">
        <v>85.34</v>
      </c>
      <c r="S143" s="228">
        <v>0.23</v>
      </c>
      <c r="T143" s="229">
        <v>2.7000000000000001E-3</v>
      </c>
      <c r="U143" s="228">
        <v>86.17</v>
      </c>
      <c r="V143" s="228">
        <v>85.99</v>
      </c>
      <c r="W143" s="228">
        <v>0.18</v>
      </c>
      <c r="X143" s="229">
        <v>2.0999999999999999E-3</v>
      </c>
      <c r="Y143" s="228">
        <v>0.08</v>
      </c>
      <c r="Z143" s="228">
        <v>0.1</v>
      </c>
      <c r="AA143" s="228">
        <v>-0.02</v>
      </c>
      <c r="AB143" s="229">
        <v>8.9999999999999998E-4</v>
      </c>
      <c r="AC143" s="228">
        <v>0.08</v>
      </c>
      <c r="AD143" s="228">
        <v>0.1</v>
      </c>
      <c r="AE143" s="228">
        <v>-0.02</v>
      </c>
      <c r="AF143" s="229">
        <v>8.9999999999999998E-4</v>
      </c>
      <c r="AG143" s="228">
        <v>0.55000000000000004</v>
      </c>
      <c r="AH143" s="228">
        <v>0.55000000000000004</v>
      </c>
      <c r="AI143" s="228">
        <v>0</v>
      </c>
      <c r="AJ143" s="229">
        <v>6.4999999999999997E-3</v>
      </c>
      <c r="AK143" s="228">
        <v>1.1499999999999999</v>
      </c>
      <c r="AL143" s="228">
        <v>1.2</v>
      </c>
      <c r="AM143" s="228">
        <v>-0.05</v>
      </c>
      <c r="AN143" s="229">
        <v>1.35E-2</v>
      </c>
      <c r="AO143" s="228">
        <v>85.1</v>
      </c>
      <c r="AP143" s="228">
        <v>85.55</v>
      </c>
      <c r="AQ143" s="228">
        <v>0</v>
      </c>
      <c r="AR143" s="230">
        <v>35769600</v>
      </c>
      <c r="AS143" s="230">
        <v>53344000</v>
      </c>
      <c r="AT143" s="230">
        <v>-17574400</v>
      </c>
      <c r="AU143" s="229">
        <v>-0.32950000000000002</v>
      </c>
      <c r="AV143" s="230">
        <v>16390400</v>
      </c>
      <c r="AW143" s="230">
        <v>24633600</v>
      </c>
      <c r="AX143" s="230">
        <v>-8243200</v>
      </c>
      <c r="AY143" s="229">
        <v>-0.33460000000000001</v>
      </c>
      <c r="AZ143" s="230">
        <v>19155200</v>
      </c>
      <c r="BA143" s="230">
        <v>28441600</v>
      </c>
      <c r="BB143" s="230">
        <v>-9286400</v>
      </c>
      <c r="BC143" s="229">
        <v>-0.32650000000000001</v>
      </c>
      <c r="BD143" s="230">
        <v>224000</v>
      </c>
      <c r="BE143" s="230">
        <v>268800</v>
      </c>
      <c r="BF143" s="230">
        <v>-44800</v>
      </c>
      <c r="BG143" s="229">
        <v>-0.16669999999999999</v>
      </c>
      <c r="BH143" s="230">
        <v>9094400</v>
      </c>
      <c r="BI143" s="230">
        <v>21766400</v>
      </c>
      <c r="BJ143" s="230">
        <v>-12672000</v>
      </c>
      <c r="BK143" s="229">
        <v>-0.58220000000000005</v>
      </c>
      <c r="BL143" s="230">
        <v>3379200</v>
      </c>
      <c r="BM143" s="230">
        <v>10860800</v>
      </c>
      <c r="BN143" s="230">
        <v>-7481600</v>
      </c>
      <c r="BO143" s="229">
        <v>-0.68889999999999996</v>
      </c>
      <c r="BP143" s="230">
        <v>48243200</v>
      </c>
      <c r="BQ143" s="230">
        <v>85971200</v>
      </c>
      <c r="BR143" s="230">
        <v>-37728000</v>
      </c>
      <c r="BS143" s="229">
        <v>-0.43880000000000002</v>
      </c>
      <c r="BT143" s="230">
        <v>7482359</v>
      </c>
      <c r="BU143" s="230">
        <v>17648590</v>
      </c>
      <c r="BV143" s="230">
        <v>-10166231</v>
      </c>
      <c r="BW143" s="229">
        <v>-0.57599999999999996</v>
      </c>
      <c r="BX143" s="230">
        <v>55136000</v>
      </c>
      <c r="BY143" s="230">
        <v>55532800</v>
      </c>
      <c r="BZ143" s="230">
        <v>-396800</v>
      </c>
      <c r="CA143" s="229">
        <v>-7.1000000000000004E-3</v>
      </c>
      <c r="CB143" s="230">
        <v>7468800</v>
      </c>
      <c r="CC143" s="230">
        <v>20256000</v>
      </c>
      <c r="CD143" s="230">
        <v>-12787200</v>
      </c>
      <c r="CE143" s="229">
        <v>-0.63129999999999997</v>
      </c>
      <c r="CF143" s="230">
        <v>46617600</v>
      </c>
      <c r="CG143" s="230">
        <v>34387200</v>
      </c>
      <c r="CH143" s="230">
        <v>12230400</v>
      </c>
      <c r="CI143" s="229">
        <v>0.35570000000000002</v>
      </c>
      <c r="CJ143" s="230">
        <v>1049600</v>
      </c>
      <c r="CK143" s="230">
        <v>889600</v>
      </c>
      <c r="CL143" s="230">
        <v>160000</v>
      </c>
      <c r="CM143" s="229">
        <v>0.1799</v>
      </c>
      <c r="CN143" s="230">
        <v>27481600</v>
      </c>
      <c r="CO143" s="230">
        <v>27289600</v>
      </c>
      <c r="CP143" s="230">
        <v>192000</v>
      </c>
      <c r="CQ143" s="229">
        <v>7.0000000000000001E-3</v>
      </c>
      <c r="CR143" s="230">
        <v>11347200</v>
      </c>
      <c r="CS143" s="230">
        <v>11091200</v>
      </c>
      <c r="CT143" s="230">
        <v>256000</v>
      </c>
      <c r="CU143" s="229">
        <v>2.3099999999999999E-2</v>
      </c>
      <c r="CV143" s="230">
        <v>93964800</v>
      </c>
      <c r="CW143" s="230">
        <v>93913600</v>
      </c>
      <c r="CX143" s="230">
        <v>51200</v>
      </c>
      <c r="CY143" s="229">
        <v>5.0000000000000001E-4</v>
      </c>
      <c r="CZ143" s="228">
        <v>29.47</v>
      </c>
      <c r="DA143" s="228">
        <v>29.33</v>
      </c>
      <c r="DB143" s="228">
        <v>0.14000000000000001</v>
      </c>
      <c r="DC143" s="228">
        <v>0.14000000000000001</v>
      </c>
      <c r="DD143" s="228">
        <v>39.17</v>
      </c>
      <c r="DE143" s="228">
        <v>39.270000000000003</v>
      </c>
      <c r="DF143" s="228">
        <v>-9.6999999999999993</v>
      </c>
      <c r="DG143" s="228">
        <v>-0.1</v>
      </c>
      <c r="DH143" s="228">
        <v>29.86</v>
      </c>
      <c r="DI143" s="228">
        <v>29.78</v>
      </c>
      <c r="DJ143" s="228">
        <v>0.08</v>
      </c>
      <c r="DK143" s="228">
        <v>0.08</v>
      </c>
      <c r="DL143" s="228">
        <v>28.56</v>
      </c>
      <c r="DM143" s="228">
        <v>28.34</v>
      </c>
      <c r="DN143" s="228">
        <v>0.22</v>
      </c>
      <c r="DO143" s="228">
        <v>0.22</v>
      </c>
      <c r="DP143" s="228">
        <v>0.41</v>
      </c>
      <c r="DQ143" s="228">
        <v>0.41</v>
      </c>
      <c r="DR143" s="228">
        <v>0</v>
      </c>
      <c r="DS143" s="229">
        <v>0</v>
      </c>
      <c r="DT143" s="228">
        <v>90</v>
      </c>
      <c r="DU143" s="228">
        <v>85</v>
      </c>
      <c r="DV143" s="228">
        <v>0.37</v>
      </c>
      <c r="DW143" s="228">
        <v>0.5</v>
      </c>
      <c r="DX143" s="228">
        <v>-0.13</v>
      </c>
      <c r="DY143" s="229">
        <v>-0.26</v>
      </c>
      <c r="DZ143" s="229">
        <v>0.86450000000000005</v>
      </c>
      <c r="EA143" s="230">
        <v>35276800</v>
      </c>
      <c r="EB143" s="229">
        <v>5.4999999999999997E-3</v>
      </c>
      <c r="EC143" s="229">
        <v>0.86450000000000005</v>
      </c>
      <c r="ED143" s="228">
        <v>0.45</v>
      </c>
      <c r="EE143" s="229">
        <v>5.3E-3</v>
      </c>
      <c r="EF143" s="230">
        <v>4161289</v>
      </c>
      <c r="EG143" s="230">
        <v>10944632</v>
      </c>
      <c r="EH143" s="229">
        <v>-0.61980000000000002</v>
      </c>
      <c r="EI143" s="229">
        <v>0.55610000000000004</v>
      </c>
      <c r="EJ143" s="231">
        <v>8063.85</v>
      </c>
      <c r="EK143" s="231">
        <v>2878.12</v>
      </c>
      <c r="EL143" s="231">
        <v>30528.86</v>
      </c>
      <c r="EM143" s="231">
        <v>3940</v>
      </c>
      <c r="EN143" s="231">
        <v>41470.83</v>
      </c>
      <c r="EO143" s="231">
        <v>74612.83</v>
      </c>
      <c r="EP143" s="231">
        <v>-33142</v>
      </c>
      <c r="EQ143" s="229">
        <v>-0.44419999999999998</v>
      </c>
      <c r="ER143" s="231">
        <v>24962</v>
      </c>
      <c r="ES143" s="231">
        <v>9496</v>
      </c>
      <c r="ET143" s="231">
        <v>47151</v>
      </c>
      <c r="EU143" s="231">
        <v>398201603</v>
      </c>
      <c r="EV143" s="231">
        <v>81609</v>
      </c>
      <c r="EW143" s="231">
        <v>81364</v>
      </c>
      <c r="EX143" s="228">
        <v>245</v>
      </c>
      <c r="EY143" s="229">
        <v>3.0000000000000001E-3</v>
      </c>
      <c r="EZ143" s="229">
        <v>0.23599999999999999</v>
      </c>
      <c r="FA143" s="227" t="s">
        <v>556</v>
      </c>
      <c r="FB143" s="161">
        <f t="shared" si="3"/>
        <v>0</v>
      </c>
    </row>
    <row r="144" spans="1:158" ht="17.25" hidden="1" thickBot="1" x14ac:dyDescent="0.3">
      <c r="A144" s="226">
        <v>45957</v>
      </c>
      <c r="B144" s="227" t="s">
        <v>181</v>
      </c>
      <c r="C144" s="227" t="s">
        <v>266</v>
      </c>
      <c r="D144" s="228">
        <v>75</v>
      </c>
      <c r="E144" s="231">
        <v>26013.5</v>
      </c>
      <c r="F144" s="231">
        <v>25814.799999999999</v>
      </c>
      <c r="G144" s="228">
        <v>198.7</v>
      </c>
      <c r="H144" s="229">
        <v>7.7000000000000002E-3</v>
      </c>
      <c r="I144" s="231">
        <v>25966.05</v>
      </c>
      <c r="J144" s="231">
        <v>25795.15</v>
      </c>
      <c r="K144" s="228">
        <v>170.9</v>
      </c>
      <c r="L144" s="229">
        <v>6.6E-3</v>
      </c>
      <c r="M144" s="231">
        <v>26013.5</v>
      </c>
      <c r="N144" s="231">
        <v>25814.799999999999</v>
      </c>
      <c r="O144" s="228">
        <v>198.7</v>
      </c>
      <c r="P144" s="229">
        <v>7.7000000000000002E-3</v>
      </c>
      <c r="Q144" s="231">
        <v>26168.400000000001</v>
      </c>
      <c r="R144" s="231">
        <v>25952</v>
      </c>
      <c r="S144" s="228">
        <v>216.4</v>
      </c>
      <c r="T144" s="229">
        <v>8.3000000000000001E-3</v>
      </c>
      <c r="U144" s="231">
        <v>26347.3</v>
      </c>
      <c r="V144" s="231">
        <v>26130.2</v>
      </c>
      <c r="W144" s="228">
        <v>217.1</v>
      </c>
      <c r="X144" s="229">
        <v>8.3000000000000001E-3</v>
      </c>
      <c r="Y144" s="228">
        <v>47.45</v>
      </c>
      <c r="Z144" s="228">
        <v>19.649999999999999</v>
      </c>
      <c r="AA144" s="228">
        <v>27.8</v>
      </c>
      <c r="AB144" s="229">
        <v>1.8E-3</v>
      </c>
      <c r="AC144" s="228">
        <v>47.45</v>
      </c>
      <c r="AD144" s="228">
        <v>19.649999999999999</v>
      </c>
      <c r="AE144" s="228">
        <v>27.8</v>
      </c>
      <c r="AF144" s="229">
        <v>1.8E-3</v>
      </c>
      <c r="AG144" s="228">
        <v>202.35</v>
      </c>
      <c r="AH144" s="228">
        <v>156.85</v>
      </c>
      <c r="AI144" s="228">
        <v>45.5</v>
      </c>
      <c r="AJ144" s="229">
        <v>7.7999999999999996E-3</v>
      </c>
      <c r="AK144" s="228">
        <v>381.25</v>
      </c>
      <c r="AL144" s="228">
        <v>335.05</v>
      </c>
      <c r="AM144" s="228">
        <v>46.2</v>
      </c>
      <c r="AN144" s="229">
        <v>1.47E-2</v>
      </c>
      <c r="AO144" s="231">
        <v>26005.58</v>
      </c>
      <c r="AP144" s="231">
        <v>26151.65</v>
      </c>
      <c r="AQ144" s="228">
        <v>0</v>
      </c>
      <c r="AR144" s="230">
        <v>15031200</v>
      </c>
      <c r="AS144" s="230">
        <v>10634700</v>
      </c>
      <c r="AT144" s="230">
        <v>4396500</v>
      </c>
      <c r="AU144" s="229">
        <v>0.41339999999999999</v>
      </c>
      <c r="AV144" s="230">
        <v>7653000</v>
      </c>
      <c r="AW144" s="230">
        <v>6874500</v>
      </c>
      <c r="AX144" s="230">
        <v>778500</v>
      </c>
      <c r="AY144" s="229">
        <v>0.1132</v>
      </c>
      <c r="AZ144" s="230">
        <v>7003050</v>
      </c>
      <c r="BA144" s="230">
        <v>3444675</v>
      </c>
      <c r="BB144" s="230">
        <v>3558375</v>
      </c>
      <c r="BC144" s="229">
        <v>1.0329999999999999</v>
      </c>
      <c r="BD144" s="230">
        <v>375150</v>
      </c>
      <c r="BE144" s="230">
        <v>315525</v>
      </c>
      <c r="BF144" s="230">
        <v>59625</v>
      </c>
      <c r="BG144" s="229">
        <v>0.189</v>
      </c>
      <c r="BH144" s="230">
        <v>5000254125</v>
      </c>
      <c r="BI144" s="230">
        <v>4366752375</v>
      </c>
      <c r="BJ144" s="230">
        <v>633501750</v>
      </c>
      <c r="BK144" s="229">
        <v>0.14510000000000001</v>
      </c>
      <c r="BL144" s="230">
        <v>4818071700</v>
      </c>
      <c r="BM144" s="230">
        <v>4733971425</v>
      </c>
      <c r="BN144" s="230">
        <v>84100275</v>
      </c>
      <c r="BO144" s="229">
        <v>1.78E-2</v>
      </c>
      <c r="BP144" s="230">
        <v>9833357025</v>
      </c>
      <c r="BQ144" s="230">
        <v>9111358500</v>
      </c>
      <c r="BR144" s="230">
        <v>721998525</v>
      </c>
      <c r="BS144" s="229">
        <v>7.9200000000000007E-2</v>
      </c>
      <c r="BT144" s="228">
        <v>0</v>
      </c>
      <c r="BU144" s="228">
        <v>0</v>
      </c>
      <c r="BV144" s="228">
        <v>0</v>
      </c>
      <c r="BW144" s="229">
        <v>0</v>
      </c>
      <c r="BX144" s="230">
        <v>19267725</v>
      </c>
      <c r="BY144" s="230">
        <v>19216350</v>
      </c>
      <c r="BZ144" s="230">
        <v>51375</v>
      </c>
      <c r="CA144" s="229">
        <v>2.7000000000000001E-3</v>
      </c>
      <c r="CB144" s="230">
        <v>8375850</v>
      </c>
      <c r="CC144" s="230">
        <v>12844650</v>
      </c>
      <c r="CD144" s="230">
        <v>-4468800</v>
      </c>
      <c r="CE144" s="229">
        <v>-0.34789999999999999</v>
      </c>
      <c r="CF144" s="230">
        <v>10076025</v>
      </c>
      <c r="CG144" s="230">
        <v>5634150</v>
      </c>
      <c r="CH144" s="230">
        <v>4441875</v>
      </c>
      <c r="CI144" s="229">
        <v>0.78839999999999999</v>
      </c>
      <c r="CJ144" s="230">
        <v>815850</v>
      </c>
      <c r="CK144" s="230">
        <v>737550</v>
      </c>
      <c r="CL144" s="230">
        <v>78300</v>
      </c>
      <c r="CM144" s="229">
        <v>0.1062</v>
      </c>
      <c r="CN144" s="230">
        <v>291926750</v>
      </c>
      <c r="CO144" s="230">
        <v>330010100</v>
      </c>
      <c r="CP144" s="230">
        <v>-38083350</v>
      </c>
      <c r="CQ144" s="229">
        <v>-0.1154</v>
      </c>
      <c r="CR144" s="230">
        <v>312848150</v>
      </c>
      <c r="CS144" s="230">
        <v>249270375</v>
      </c>
      <c r="CT144" s="230">
        <v>63577775</v>
      </c>
      <c r="CU144" s="229">
        <v>0.25509999999999999</v>
      </c>
      <c r="CV144" s="230">
        <v>624042625</v>
      </c>
      <c r="CW144" s="230">
        <v>598496825</v>
      </c>
      <c r="CX144" s="230">
        <v>25545800</v>
      </c>
      <c r="CY144" s="229">
        <v>4.2700000000000002E-2</v>
      </c>
      <c r="CZ144" s="228">
        <v>12.46</v>
      </c>
      <c r="DA144" s="228">
        <v>11.34</v>
      </c>
      <c r="DB144" s="228">
        <v>1.1200000000000001</v>
      </c>
      <c r="DC144" s="228">
        <v>1.1200000000000001</v>
      </c>
      <c r="DD144" s="228">
        <v>14.93</v>
      </c>
      <c r="DE144" s="228">
        <v>14.94</v>
      </c>
      <c r="DF144" s="228">
        <v>-2.4700000000000002</v>
      </c>
      <c r="DG144" s="228">
        <v>-0.01</v>
      </c>
      <c r="DH144" s="228">
        <v>11.71</v>
      </c>
      <c r="DI144" s="228">
        <v>11.09</v>
      </c>
      <c r="DJ144" s="228">
        <v>0.62</v>
      </c>
      <c r="DK144" s="228">
        <v>0.62</v>
      </c>
      <c r="DL144" s="228">
        <v>13.42</v>
      </c>
      <c r="DM144" s="228">
        <v>11.62</v>
      </c>
      <c r="DN144" s="228">
        <v>1.8</v>
      </c>
      <c r="DO144" s="228">
        <v>1.8</v>
      </c>
      <c r="DP144" s="228">
        <v>1.07</v>
      </c>
      <c r="DQ144" s="228">
        <v>0.76</v>
      </c>
      <c r="DR144" s="228">
        <v>0.31</v>
      </c>
      <c r="DS144" s="229">
        <v>0.40789999999999998</v>
      </c>
      <c r="DT144" s="231">
        <v>26500</v>
      </c>
      <c r="DU144" s="231">
        <v>25900</v>
      </c>
      <c r="DV144" s="228">
        <v>0.96</v>
      </c>
      <c r="DW144" s="228">
        <v>1.08</v>
      </c>
      <c r="DX144" s="228">
        <v>-0.12</v>
      </c>
      <c r="DY144" s="229">
        <v>-0.1111</v>
      </c>
      <c r="DZ144" s="229">
        <v>0.56530000000000002</v>
      </c>
      <c r="EA144" s="230">
        <v>6371700</v>
      </c>
      <c r="EB144" s="229">
        <v>6.0000000000000001E-3</v>
      </c>
      <c r="EC144" s="229">
        <v>0.56530000000000002</v>
      </c>
      <c r="ED144" s="228">
        <v>146.07</v>
      </c>
      <c r="EE144" s="229">
        <v>5.5999999999999999E-3</v>
      </c>
      <c r="EF144" s="228">
        <v>0</v>
      </c>
      <c r="EG144" s="228">
        <v>0</v>
      </c>
      <c r="EH144" s="229">
        <v>0</v>
      </c>
      <c r="EI144" s="229">
        <v>0</v>
      </c>
      <c r="EJ144" s="231">
        <v>1313033201.6500001</v>
      </c>
      <c r="EK144" s="231">
        <v>1236792214.1099999</v>
      </c>
      <c r="EL144" s="231">
        <v>3920360.55</v>
      </c>
      <c r="EM144" s="231">
        <v>102067</v>
      </c>
      <c r="EN144" s="231">
        <v>2553745776.3099999</v>
      </c>
      <c r="EO144" s="231">
        <v>2362098413.1599998</v>
      </c>
      <c r="EP144" s="231">
        <v>191647363.15000001</v>
      </c>
      <c r="EQ144" s="229">
        <v>8.1100000000000005E-2</v>
      </c>
      <c r="ER144" s="231">
        <v>77022306</v>
      </c>
      <c r="ES144" s="231">
        <v>78558889</v>
      </c>
      <c r="ET144" s="231">
        <v>5030541</v>
      </c>
      <c r="EU144" s="228">
        <v>0</v>
      </c>
      <c r="EV144" s="231">
        <v>160611736</v>
      </c>
      <c r="EW144" s="231">
        <v>154122105</v>
      </c>
      <c r="EX144" s="231">
        <v>6489631</v>
      </c>
      <c r="EY144" s="229">
        <v>4.2099999999999999E-2</v>
      </c>
      <c r="EZ144" s="229">
        <v>0</v>
      </c>
      <c r="FA144" s="227" t="s">
        <v>555</v>
      </c>
      <c r="FB144" s="161">
        <f t="shared" si="3"/>
        <v>0</v>
      </c>
    </row>
    <row r="145" spans="1:158" ht="17.25" hidden="1" thickBot="1" x14ac:dyDescent="0.3">
      <c r="A145" s="226">
        <v>45957</v>
      </c>
      <c r="B145" s="227" t="s">
        <v>181</v>
      </c>
      <c r="C145" s="227" t="s">
        <v>566</v>
      </c>
      <c r="D145" s="228">
        <v>25</v>
      </c>
      <c r="E145" s="231">
        <v>69571</v>
      </c>
      <c r="F145" s="231">
        <v>69273.2</v>
      </c>
      <c r="G145" s="228">
        <v>297.8</v>
      </c>
      <c r="H145" s="229">
        <v>4.3E-3</v>
      </c>
      <c r="I145" s="231">
        <v>69612.2</v>
      </c>
      <c r="J145" s="231">
        <v>69355.899999999994</v>
      </c>
      <c r="K145" s="228">
        <v>256.3</v>
      </c>
      <c r="L145" s="229">
        <v>3.7000000000000002E-3</v>
      </c>
      <c r="M145" s="231">
        <v>69571</v>
      </c>
      <c r="N145" s="231">
        <v>69273.2</v>
      </c>
      <c r="O145" s="228">
        <v>297.8</v>
      </c>
      <c r="P145" s="229">
        <v>4.3E-3</v>
      </c>
      <c r="Q145" s="231">
        <v>69889.600000000006</v>
      </c>
      <c r="R145" s="231">
        <v>69611.199999999997</v>
      </c>
      <c r="S145" s="228">
        <v>278.39999999999998</v>
      </c>
      <c r="T145" s="229">
        <v>4.0000000000000001E-3</v>
      </c>
      <c r="U145" s="231">
        <v>70400</v>
      </c>
      <c r="V145" s="231">
        <v>70400</v>
      </c>
      <c r="W145" s="228">
        <v>0</v>
      </c>
      <c r="X145" s="229">
        <v>0</v>
      </c>
      <c r="Y145" s="228">
        <v>-41.2</v>
      </c>
      <c r="Z145" s="228">
        <v>-82.7</v>
      </c>
      <c r="AA145" s="228">
        <v>41.5</v>
      </c>
      <c r="AB145" s="229">
        <v>-5.9999999999999995E-4</v>
      </c>
      <c r="AC145" s="228">
        <v>-41.2</v>
      </c>
      <c r="AD145" s="228">
        <v>-82.7</v>
      </c>
      <c r="AE145" s="228">
        <v>41.5</v>
      </c>
      <c r="AF145" s="229">
        <v>-5.9999999999999995E-4</v>
      </c>
      <c r="AG145" s="228">
        <v>277.39999999999998</v>
      </c>
      <c r="AH145" s="228">
        <v>255.3</v>
      </c>
      <c r="AI145" s="228">
        <v>22.1</v>
      </c>
      <c r="AJ145" s="229">
        <v>4.0000000000000001E-3</v>
      </c>
      <c r="AK145" s="228">
        <v>787.8</v>
      </c>
      <c r="AL145" s="231">
        <v>1044.0999999999999</v>
      </c>
      <c r="AM145" s="228">
        <v>-256.3</v>
      </c>
      <c r="AN145" s="229">
        <v>1.1299999999999999E-2</v>
      </c>
      <c r="AO145" s="231">
        <v>69536.86</v>
      </c>
      <c r="AP145" s="231">
        <v>69858.86</v>
      </c>
      <c r="AQ145" s="228">
        <v>0</v>
      </c>
      <c r="AR145" s="230">
        <v>17675</v>
      </c>
      <c r="AS145" s="230">
        <v>12950</v>
      </c>
      <c r="AT145" s="230">
        <v>4725</v>
      </c>
      <c r="AU145" s="229">
        <v>0.3649</v>
      </c>
      <c r="AV145" s="230">
        <v>9550</v>
      </c>
      <c r="AW145" s="230">
        <v>8025</v>
      </c>
      <c r="AX145" s="230">
        <v>1525</v>
      </c>
      <c r="AY145" s="229">
        <v>0.19</v>
      </c>
      <c r="AZ145" s="230">
        <v>7900</v>
      </c>
      <c r="BA145" s="230">
        <v>4925</v>
      </c>
      <c r="BB145" s="230">
        <v>2975</v>
      </c>
      <c r="BC145" s="229">
        <v>0.60409999999999997</v>
      </c>
      <c r="BD145" s="228">
        <v>225</v>
      </c>
      <c r="BE145" s="228">
        <v>0</v>
      </c>
      <c r="BF145" s="228">
        <v>225</v>
      </c>
      <c r="BG145" s="229">
        <v>0</v>
      </c>
      <c r="BH145" s="230">
        <v>37350</v>
      </c>
      <c r="BI145" s="230">
        <v>22625</v>
      </c>
      <c r="BJ145" s="230">
        <v>14725</v>
      </c>
      <c r="BK145" s="229">
        <v>0.65080000000000005</v>
      </c>
      <c r="BL145" s="230">
        <v>24975</v>
      </c>
      <c r="BM145" s="230">
        <v>20375</v>
      </c>
      <c r="BN145" s="230">
        <v>4600</v>
      </c>
      <c r="BO145" s="229">
        <v>0.2258</v>
      </c>
      <c r="BP145" s="230">
        <v>80000</v>
      </c>
      <c r="BQ145" s="230">
        <v>55950</v>
      </c>
      <c r="BR145" s="230">
        <v>24050</v>
      </c>
      <c r="BS145" s="229">
        <v>0.42980000000000002</v>
      </c>
      <c r="BT145" s="228">
        <v>0</v>
      </c>
      <c r="BU145" s="228">
        <v>0</v>
      </c>
      <c r="BV145" s="228">
        <v>0</v>
      </c>
      <c r="BW145" s="229">
        <v>0</v>
      </c>
      <c r="BX145" s="230">
        <v>22075</v>
      </c>
      <c r="BY145" s="230">
        <v>21475</v>
      </c>
      <c r="BZ145" s="228">
        <v>600</v>
      </c>
      <c r="CA145" s="229">
        <v>2.7900000000000001E-2</v>
      </c>
      <c r="CB145" s="230">
        <v>10000</v>
      </c>
      <c r="CC145" s="230">
        <v>13475</v>
      </c>
      <c r="CD145" s="230">
        <v>-3475</v>
      </c>
      <c r="CE145" s="229">
        <v>-0.25790000000000002</v>
      </c>
      <c r="CF145" s="230">
        <v>11850</v>
      </c>
      <c r="CG145" s="230">
        <v>7825</v>
      </c>
      <c r="CH145" s="230">
        <v>4025</v>
      </c>
      <c r="CI145" s="229">
        <v>0.51439999999999997</v>
      </c>
      <c r="CJ145" s="228">
        <v>225</v>
      </c>
      <c r="CK145" s="228">
        <v>175</v>
      </c>
      <c r="CL145" s="228">
        <v>50</v>
      </c>
      <c r="CM145" s="229">
        <v>0.28570000000000001</v>
      </c>
      <c r="CN145" s="230">
        <v>15525</v>
      </c>
      <c r="CO145" s="230">
        <v>11275</v>
      </c>
      <c r="CP145" s="230">
        <v>4250</v>
      </c>
      <c r="CQ145" s="229">
        <v>0.37690000000000001</v>
      </c>
      <c r="CR145" s="230">
        <v>25425</v>
      </c>
      <c r="CS145" s="230">
        <v>16025</v>
      </c>
      <c r="CT145" s="230">
        <v>9400</v>
      </c>
      <c r="CU145" s="229">
        <v>0.58660000000000001</v>
      </c>
      <c r="CV145" s="230">
        <v>63025</v>
      </c>
      <c r="CW145" s="230">
        <v>48775</v>
      </c>
      <c r="CX145" s="230">
        <v>14250</v>
      </c>
      <c r="CY145" s="229">
        <v>0.29220000000000002</v>
      </c>
      <c r="CZ145" s="228">
        <v>24.16</v>
      </c>
      <c r="DA145" s="228">
        <v>21.01</v>
      </c>
      <c r="DB145" s="228">
        <v>3.15</v>
      </c>
      <c r="DC145" s="228">
        <v>3.15</v>
      </c>
      <c r="DD145" s="228">
        <v>20.96</v>
      </c>
      <c r="DE145" s="228">
        <v>21.01</v>
      </c>
      <c r="DF145" s="228">
        <v>3.2</v>
      </c>
      <c r="DG145" s="228">
        <v>-0.05</v>
      </c>
      <c r="DH145" s="228">
        <v>25.06</v>
      </c>
      <c r="DI145" s="228">
        <v>21.01</v>
      </c>
      <c r="DJ145" s="228">
        <v>4.05</v>
      </c>
      <c r="DK145" s="228">
        <v>4.05</v>
      </c>
      <c r="DL145" s="228">
        <v>23.26</v>
      </c>
      <c r="DM145" s="228">
        <v>21.01</v>
      </c>
      <c r="DN145" s="228">
        <v>2.25</v>
      </c>
      <c r="DO145" s="228">
        <v>2.25</v>
      </c>
      <c r="DP145" s="228">
        <v>1.64</v>
      </c>
      <c r="DQ145" s="228">
        <v>1.42</v>
      </c>
      <c r="DR145" s="228">
        <v>0.22</v>
      </c>
      <c r="DS145" s="229">
        <v>0.15490000000000001</v>
      </c>
      <c r="DT145" s="231">
        <v>70000</v>
      </c>
      <c r="DU145" s="231">
        <v>67500</v>
      </c>
      <c r="DV145" s="228">
        <v>0.67</v>
      </c>
      <c r="DW145" s="228">
        <v>0.9</v>
      </c>
      <c r="DX145" s="228">
        <v>-0.23</v>
      </c>
      <c r="DY145" s="229">
        <v>-0.25559999999999999</v>
      </c>
      <c r="DZ145" s="229">
        <v>0.54700000000000004</v>
      </c>
      <c r="EA145" s="230">
        <v>8000</v>
      </c>
      <c r="EB145" s="229">
        <v>4.5999999999999999E-3</v>
      </c>
      <c r="EC145" s="229">
        <v>0.54700000000000004</v>
      </c>
      <c r="ED145" s="228">
        <v>322</v>
      </c>
      <c r="EE145" s="229">
        <v>4.5999999999999999E-3</v>
      </c>
      <c r="EF145" s="228">
        <v>0</v>
      </c>
      <c r="EG145" s="228">
        <v>0</v>
      </c>
      <c r="EH145" s="229">
        <v>0</v>
      </c>
      <c r="EI145" s="229">
        <v>0</v>
      </c>
      <c r="EJ145" s="231">
        <v>26101.71</v>
      </c>
      <c r="EK145" s="231">
        <v>17161.47</v>
      </c>
      <c r="EL145" s="231">
        <v>12317.85</v>
      </c>
      <c r="EM145" s="228">
        <v>0</v>
      </c>
      <c r="EN145" s="231">
        <v>55581.03</v>
      </c>
      <c r="EO145" s="231">
        <v>38719.01</v>
      </c>
      <c r="EP145" s="231">
        <v>16862.02</v>
      </c>
      <c r="EQ145" s="229">
        <v>0.4355</v>
      </c>
      <c r="ER145" s="231">
        <v>10752</v>
      </c>
      <c r="ES145" s="231">
        <v>17254</v>
      </c>
      <c r="ET145" s="231">
        <v>15397</v>
      </c>
      <c r="EU145" s="228">
        <v>0</v>
      </c>
      <c r="EV145" s="231">
        <v>43403</v>
      </c>
      <c r="EW145" s="231">
        <v>33499</v>
      </c>
      <c r="EX145" s="231">
        <v>9904</v>
      </c>
      <c r="EY145" s="229">
        <v>0.29570000000000002</v>
      </c>
      <c r="EZ145" s="229">
        <v>0</v>
      </c>
      <c r="FA145" s="227" t="s">
        <v>555</v>
      </c>
      <c r="FB145" s="161">
        <f t="shared" si="3"/>
        <v>0</v>
      </c>
    </row>
    <row r="146" spans="1:158" ht="17.25" hidden="1" thickBot="1" x14ac:dyDescent="0.3">
      <c r="A146" s="226">
        <v>45957</v>
      </c>
      <c r="B146" s="227" t="s">
        <v>227</v>
      </c>
      <c r="C146" s="227" t="s">
        <v>267</v>
      </c>
      <c r="D146" s="228">
        <v>13500</v>
      </c>
      <c r="E146" s="228">
        <v>74.430000000000007</v>
      </c>
      <c r="F146" s="228">
        <v>74.28</v>
      </c>
      <c r="G146" s="228">
        <v>0.15</v>
      </c>
      <c r="H146" s="229">
        <v>2E-3</v>
      </c>
      <c r="I146" s="228">
        <v>74.37</v>
      </c>
      <c r="J146" s="228">
        <v>74.19</v>
      </c>
      <c r="K146" s="228">
        <v>0.18</v>
      </c>
      <c r="L146" s="229">
        <v>2.3999999999999998E-3</v>
      </c>
      <c r="M146" s="228">
        <v>74.430000000000007</v>
      </c>
      <c r="N146" s="228">
        <v>74.28</v>
      </c>
      <c r="O146" s="228">
        <v>0.15</v>
      </c>
      <c r="P146" s="229">
        <v>2E-3</v>
      </c>
      <c r="Q146" s="228">
        <v>74.86</v>
      </c>
      <c r="R146" s="228">
        <v>74.680000000000007</v>
      </c>
      <c r="S146" s="228">
        <v>0.18</v>
      </c>
      <c r="T146" s="229">
        <v>2.3999999999999998E-3</v>
      </c>
      <c r="U146" s="228">
        <v>75.38</v>
      </c>
      <c r="V146" s="228">
        <v>75.14</v>
      </c>
      <c r="W146" s="228">
        <v>0.24</v>
      </c>
      <c r="X146" s="229">
        <v>3.2000000000000002E-3</v>
      </c>
      <c r="Y146" s="228">
        <v>0.06</v>
      </c>
      <c r="Z146" s="228">
        <v>0.09</v>
      </c>
      <c r="AA146" s="228">
        <v>-0.03</v>
      </c>
      <c r="AB146" s="229">
        <v>8.0000000000000004E-4</v>
      </c>
      <c r="AC146" s="228">
        <v>0.06</v>
      </c>
      <c r="AD146" s="228">
        <v>0.09</v>
      </c>
      <c r="AE146" s="228">
        <v>-0.03</v>
      </c>
      <c r="AF146" s="229">
        <v>8.0000000000000004E-4</v>
      </c>
      <c r="AG146" s="228">
        <v>0.49</v>
      </c>
      <c r="AH146" s="228">
        <v>0.49</v>
      </c>
      <c r="AI146" s="228">
        <v>0</v>
      </c>
      <c r="AJ146" s="229">
        <v>6.6E-3</v>
      </c>
      <c r="AK146" s="228">
        <v>1.01</v>
      </c>
      <c r="AL146" s="228">
        <v>0.95</v>
      </c>
      <c r="AM146" s="228">
        <v>0.06</v>
      </c>
      <c r="AN146" s="229">
        <v>1.3599999999999999E-2</v>
      </c>
      <c r="AO146" s="228">
        <v>74.39</v>
      </c>
      <c r="AP146" s="228">
        <v>74.8</v>
      </c>
      <c r="AQ146" s="228">
        <v>0</v>
      </c>
      <c r="AR146" s="230">
        <v>240421500</v>
      </c>
      <c r="AS146" s="230">
        <v>155533500</v>
      </c>
      <c r="AT146" s="230">
        <v>84888000</v>
      </c>
      <c r="AU146" s="229">
        <v>0.54579999999999995</v>
      </c>
      <c r="AV146" s="230">
        <v>117220500</v>
      </c>
      <c r="AW146" s="230">
        <v>76896000</v>
      </c>
      <c r="AX146" s="230">
        <v>40324500</v>
      </c>
      <c r="AY146" s="229">
        <v>0.52439999999999998</v>
      </c>
      <c r="AZ146" s="230">
        <v>121135500</v>
      </c>
      <c r="BA146" s="230">
        <v>77449500</v>
      </c>
      <c r="BB146" s="230">
        <v>43686000</v>
      </c>
      <c r="BC146" s="229">
        <v>0.56410000000000005</v>
      </c>
      <c r="BD146" s="230">
        <v>2065500</v>
      </c>
      <c r="BE146" s="230">
        <v>1188000</v>
      </c>
      <c r="BF146" s="230">
        <v>877500</v>
      </c>
      <c r="BG146" s="229">
        <v>0.73860000000000003</v>
      </c>
      <c r="BH146" s="230">
        <v>54985500</v>
      </c>
      <c r="BI146" s="230">
        <v>86224500</v>
      </c>
      <c r="BJ146" s="230">
        <v>-31239000</v>
      </c>
      <c r="BK146" s="229">
        <v>-0.36230000000000001</v>
      </c>
      <c r="BL146" s="230">
        <v>40891500</v>
      </c>
      <c r="BM146" s="230">
        <v>45090000</v>
      </c>
      <c r="BN146" s="230">
        <v>-4198500</v>
      </c>
      <c r="BO146" s="229">
        <v>-9.3100000000000002E-2</v>
      </c>
      <c r="BP146" s="230">
        <v>336298500</v>
      </c>
      <c r="BQ146" s="230">
        <v>286848000</v>
      </c>
      <c r="BR146" s="230">
        <v>49450500</v>
      </c>
      <c r="BS146" s="229">
        <v>0.1724</v>
      </c>
      <c r="BT146" s="230">
        <v>14197108</v>
      </c>
      <c r="BU146" s="230">
        <v>18203027</v>
      </c>
      <c r="BV146" s="230">
        <v>-4005919</v>
      </c>
      <c r="BW146" s="229">
        <v>-0.22009999999999999</v>
      </c>
      <c r="BX146" s="230">
        <v>303871500</v>
      </c>
      <c r="BY146" s="230">
        <v>302170500</v>
      </c>
      <c r="BZ146" s="230">
        <v>1701000</v>
      </c>
      <c r="CA146" s="229">
        <v>5.5999999999999999E-3</v>
      </c>
      <c r="CB146" s="230">
        <v>49045500</v>
      </c>
      <c r="CC146" s="230">
        <v>151240500</v>
      </c>
      <c r="CD146" s="230">
        <v>-102195000</v>
      </c>
      <c r="CE146" s="229">
        <v>-0.67569999999999997</v>
      </c>
      <c r="CF146" s="230">
        <v>248643000</v>
      </c>
      <c r="CG146" s="230">
        <v>145705500</v>
      </c>
      <c r="CH146" s="230">
        <v>102937500</v>
      </c>
      <c r="CI146" s="229">
        <v>0.70650000000000002</v>
      </c>
      <c r="CJ146" s="230">
        <v>6183000</v>
      </c>
      <c r="CK146" s="230">
        <v>5224500</v>
      </c>
      <c r="CL146" s="230">
        <v>958500</v>
      </c>
      <c r="CM146" s="229">
        <v>0.1835</v>
      </c>
      <c r="CN146" s="230">
        <v>161392500</v>
      </c>
      <c r="CO146" s="230">
        <v>160366500</v>
      </c>
      <c r="CP146" s="230">
        <v>1026000</v>
      </c>
      <c r="CQ146" s="229">
        <v>6.4000000000000003E-3</v>
      </c>
      <c r="CR146" s="230">
        <v>101034000</v>
      </c>
      <c r="CS146" s="230">
        <v>96336000</v>
      </c>
      <c r="CT146" s="230">
        <v>4698000</v>
      </c>
      <c r="CU146" s="229">
        <v>4.8800000000000003E-2</v>
      </c>
      <c r="CV146" s="230">
        <v>566298000</v>
      </c>
      <c r="CW146" s="230">
        <v>558873000</v>
      </c>
      <c r="CX146" s="230">
        <v>7425000</v>
      </c>
      <c r="CY146" s="229">
        <v>1.3299999999999999E-2</v>
      </c>
      <c r="CZ146" s="228">
        <v>29.11</v>
      </c>
      <c r="DA146" s="228">
        <v>28.83</v>
      </c>
      <c r="DB146" s="228">
        <v>0.28000000000000003</v>
      </c>
      <c r="DC146" s="228">
        <v>0.28000000000000003</v>
      </c>
      <c r="DD146" s="228">
        <v>39.090000000000003</v>
      </c>
      <c r="DE146" s="228">
        <v>39.18</v>
      </c>
      <c r="DF146" s="228">
        <v>-9.98</v>
      </c>
      <c r="DG146" s="228">
        <v>-0.09</v>
      </c>
      <c r="DH146" s="228">
        <v>29.69</v>
      </c>
      <c r="DI146" s="228">
        <v>29.12</v>
      </c>
      <c r="DJ146" s="228">
        <v>0.56999999999999995</v>
      </c>
      <c r="DK146" s="228">
        <v>0.56999999999999995</v>
      </c>
      <c r="DL146" s="228">
        <v>28.43</v>
      </c>
      <c r="DM146" s="228">
        <v>28.3</v>
      </c>
      <c r="DN146" s="228">
        <v>0.13</v>
      </c>
      <c r="DO146" s="228">
        <v>0.13</v>
      </c>
      <c r="DP146" s="228">
        <v>0.63</v>
      </c>
      <c r="DQ146" s="228">
        <v>0.6</v>
      </c>
      <c r="DR146" s="228">
        <v>0.03</v>
      </c>
      <c r="DS146" s="229">
        <v>0.05</v>
      </c>
      <c r="DT146" s="228">
        <v>80</v>
      </c>
      <c r="DU146" s="228">
        <v>84</v>
      </c>
      <c r="DV146" s="228">
        <v>0.74</v>
      </c>
      <c r="DW146" s="228">
        <v>0.52</v>
      </c>
      <c r="DX146" s="228">
        <v>0.22</v>
      </c>
      <c r="DY146" s="229">
        <v>0.42309999999999998</v>
      </c>
      <c r="DZ146" s="229">
        <v>0.83860000000000001</v>
      </c>
      <c r="EA146" s="230">
        <v>150930000</v>
      </c>
      <c r="EB146" s="229">
        <v>5.7999999999999996E-3</v>
      </c>
      <c r="EC146" s="229">
        <v>0.83860000000000001</v>
      </c>
      <c r="ED146" s="228">
        <v>0.41</v>
      </c>
      <c r="EE146" s="229">
        <v>5.4999999999999997E-3</v>
      </c>
      <c r="EF146" s="230">
        <v>6360670</v>
      </c>
      <c r="EG146" s="230">
        <v>7555490</v>
      </c>
      <c r="EH146" s="229">
        <v>-0.15809999999999999</v>
      </c>
      <c r="EI146" s="229">
        <v>0.44800000000000001</v>
      </c>
      <c r="EJ146" s="231">
        <v>42619.53</v>
      </c>
      <c r="EK146" s="231">
        <v>31140.52</v>
      </c>
      <c r="EL146" s="231">
        <v>179371.96</v>
      </c>
      <c r="EM146" s="231">
        <v>6652</v>
      </c>
      <c r="EN146" s="231">
        <v>253132.01</v>
      </c>
      <c r="EO146" s="231">
        <v>217288.27</v>
      </c>
      <c r="EP146" s="231">
        <v>35843.74</v>
      </c>
      <c r="EQ146" s="229">
        <v>0.16500000000000001</v>
      </c>
      <c r="ER146" s="231">
        <v>129196</v>
      </c>
      <c r="ES146" s="231">
        <v>74439</v>
      </c>
      <c r="ET146" s="231">
        <v>227299</v>
      </c>
      <c r="EU146" s="231">
        <v>517037525</v>
      </c>
      <c r="EV146" s="231">
        <v>430935</v>
      </c>
      <c r="EW146" s="231">
        <v>424494</v>
      </c>
      <c r="EX146" s="231">
        <v>6441</v>
      </c>
      <c r="EY146" s="229">
        <v>1.52E-2</v>
      </c>
      <c r="EZ146" s="229">
        <v>1.0952999999999999</v>
      </c>
      <c r="FA146" s="227" t="s">
        <v>555</v>
      </c>
      <c r="FB146" s="161">
        <f t="shared" si="3"/>
        <v>0</v>
      </c>
    </row>
    <row r="147" spans="1:158" ht="17.25" hidden="1" thickBot="1" x14ac:dyDescent="0.3">
      <c r="A147" s="226">
        <v>45957</v>
      </c>
      <c r="B147" s="227" t="s">
        <v>161</v>
      </c>
      <c r="C147" s="227" t="s">
        <v>268</v>
      </c>
      <c r="D147" s="228">
        <v>1500</v>
      </c>
      <c r="E147" s="228">
        <v>341.75</v>
      </c>
      <c r="F147" s="228">
        <v>340.05</v>
      </c>
      <c r="G147" s="228">
        <v>1.7</v>
      </c>
      <c r="H147" s="229">
        <v>5.0000000000000001E-3</v>
      </c>
      <c r="I147" s="228">
        <v>341.75</v>
      </c>
      <c r="J147" s="228">
        <v>339.6</v>
      </c>
      <c r="K147" s="228">
        <v>2.15</v>
      </c>
      <c r="L147" s="229">
        <v>6.3E-3</v>
      </c>
      <c r="M147" s="228">
        <v>341.75</v>
      </c>
      <c r="N147" s="228">
        <v>340.05</v>
      </c>
      <c r="O147" s="228">
        <v>1.7</v>
      </c>
      <c r="P147" s="229">
        <v>5.0000000000000001E-3</v>
      </c>
      <c r="Q147" s="228">
        <v>341.1</v>
      </c>
      <c r="R147" s="228">
        <v>339.6</v>
      </c>
      <c r="S147" s="228">
        <v>1.5</v>
      </c>
      <c r="T147" s="229">
        <v>4.4000000000000003E-3</v>
      </c>
      <c r="U147" s="228">
        <v>343.5</v>
      </c>
      <c r="V147" s="228">
        <v>341.65</v>
      </c>
      <c r="W147" s="228">
        <v>1.85</v>
      </c>
      <c r="X147" s="229">
        <v>5.4000000000000003E-3</v>
      </c>
      <c r="Y147" s="228">
        <v>0</v>
      </c>
      <c r="Z147" s="228">
        <v>0.45</v>
      </c>
      <c r="AA147" s="228">
        <v>-0.45</v>
      </c>
      <c r="AB147" s="229">
        <v>0</v>
      </c>
      <c r="AC147" s="228">
        <v>0</v>
      </c>
      <c r="AD147" s="228">
        <v>0.45</v>
      </c>
      <c r="AE147" s="228">
        <v>-0.45</v>
      </c>
      <c r="AF147" s="229">
        <v>0</v>
      </c>
      <c r="AG147" s="228">
        <v>-0.65</v>
      </c>
      <c r="AH147" s="228">
        <v>0</v>
      </c>
      <c r="AI147" s="228">
        <v>-0.65</v>
      </c>
      <c r="AJ147" s="229">
        <v>-1.9E-3</v>
      </c>
      <c r="AK147" s="228">
        <v>1.75</v>
      </c>
      <c r="AL147" s="228">
        <v>2.0499999999999998</v>
      </c>
      <c r="AM147" s="228">
        <v>-0.3</v>
      </c>
      <c r="AN147" s="229">
        <v>5.1000000000000004E-3</v>
      </c>
      <c r="AO147" s="228">
        <v>342.04</v>
      </c>
      <c r="AP147" s="228">
        <v>341.4</v>
      </c>
      <c r="AQ147" s="228">
        <v>0</v>
      </c>
      <c r="AR147" s="230">
        <v>72105000</v>
      </c>
      <c r="AS147" s="230">
        <v>59380500</v>
      </c>
      <c r="AT147" s="230">
        <v>12724500</v>
      </c>
      <c r="AU147" s="229">
        <v>0.21429999999999999</v>
      </c>
      <c r="AV147" s="230">
        <v>33658500</v>
      </c>
      <c r="AW147" s="230">
        <v>29865000</v>
      </c>
      <c r="AX147" s="230">
        <v>3793500</v>
      </c>
      <c r="AY147" s="229">
        <v>0.127</v>
      </c>
      <c r="AZ147" s="230">
        <v>38166000</v>
      </c>
      <c r="BA147" s="230">
        <v>29203500</v>
      </c>
      <c r="BB147" s="230">
        <v>8962500</v>
      </c>
      <c r="BC147" s="229">
        <v>0.30690000000000001</v>
      </c>
      <c r="BD147" s="230">
        <v>280500</v>
      </c>
      <c r="BE147" s="230">
        <v>312000</v>
      </c>
      <c r="BF147" s="230">
        <v>-31500</v>
      </c>
      <c r="BG147" s="229">
        <v>-0.10100000000000001</v>
      </c>
      <c r="BH147" s="230">
        <v>36811500</v>
      </c>
      <c r="BI147" s="230">
        <v>48915000</v>
      </c>
      <c r="BJ147" s="230">
        <v>-12103500</v>
      </c>
      <c r="BK147" s="229">
        <v>-0.24740000000000001</v>
      </c>
      <c r="BL147" s="230">
        <v>22485000</v>
      </c>
      <c r="BM147" s="230">
        <v>25080000</v>
      </c>
      <c r="BN147" s="230">
        <v>-2595000</v>
      </c>
      <c r="BO147" s="229">
        <v>-0.10349999999999999</v>
      </c>
      <c r="BP147" s="230">
        <v>131401500</v>
      </c>
      <c r="BQ147" s="230">
        <v>133375500</v>
      </c>
      <c r="BR147" s="230">
        <v>-1974000</v>
      </c>
      <c r="BS147" s="229">
        <v>-1.4800000000000001E-2</v>
      </c>
      <c r="BT147" s="230">
        <v>7221728</v>
      </c>
      <c r="BU147" s="230">
        <v>7921003</v>
      </c>
      <c r="BV147" s="230">
        <v>-699275</v>
      </c>
      <c r="BW147" s="229">
        <v>-8.8300000000000003E-2</v>
      </c>
      <c r="BX147" s="230">
        <v>104055000</v>
      </c>
      <c r="BY147" s="230">
        <v>103513500</v>
      </c>
      <c r="BZ147" s="230">
        <v>541500</v>
      </c>
      <c r="CA147" s="229">
        <v>5.1999999999999998E-3</v>
      </c>
      <c r="CB147" s="230">
        <v>23490000</v>
      </c>
      <c r="CC147" s="230">
        <v>52014000</v>
      </c>
      <c r="CD147" s="230">
        <v>-28524000</v>
      </c>
      <c r="CE147" s="229">
        <v>-0.5484</v>
      </c>
      <c r="CF147" s="230">
        <v>79798500</v>
      </c>
      <c r="CG147" s="230">
        <v>50886000</v>
      </c>
      <c r="CH147" s="230">
        <v>28912500</v>
      </c>
      <c r="CI147" s="229">
        <v>0.56820000000000004</v>
      </c>
      <c r="CJ147" s="230">
        <v>766500</v>
      </c>
      <c r="CK147" s="230">
        <v>613500</v>
      </c>
      <c r="CL147" s="230">
        <v>153000</v>
      </c>
      <c r="CM147" s="229">
        <v>0.24940000000000001</v>
      </c>
      <c r="CN147" s="230">
        <v>47178000</v>
      </c>
      <c r="CO147" s="230">
        <v>48130500</v>
      </c>
      <c r="CP147" s="230">
        <v>-952500</v>
      </c>
      <c r="CQ147" s="229">
        <v>-1.9800000000000002E-2</v>
      </c>
      <c r="CR147" s="230">
        <v>20773500</v>
      </c>
      <c r="CS147" s="230">
        <v>18787500</v>
      </c>
      <c r="CT147" s="230">
        <v>1986000</v>
      </c>
      <c r="CU147" s="229">
        <v>0.1057</v>
      </c>
      <c r="CV147" s="230">
        <v>172006500</v>
      </c>
      <c r="CW147" s="230">
        <v>170431500</v>
      </c>
      <c r="CX147" s="230">
        <v>1575000</v>
      </c>
      <c r="CY147" s="229">
        <v>9.1999999999999998E-3</v>
      </c>
      <c r="CZ147" s="228">
        <v>20.47</v>
      </c>
      <c r="DA147" s="228">
        <v>20.21</v>
      </c>
      <c r="DB147" s="228">
        <v>0.26</v>
      </c>
      <c r="DC147" s="228">
        <v>0.26</v>
      </c>
      <c r="DD147" s="228">
        <v>28.33</v>
      </c>
      <c r="DE147" s="228">
        <v>28.39</v>
      </c>
      <c r="DF147" s="228">
        <v>-7.86</v>
      </c>
      <c r="DG147" s="228">
        <v>-0.06</v>
      </c>
      <c r="DH147" s="228">
        <v>20.63</v>
      </c>
      <c r="DI147" s="228">
        <v>20.55</v>
      </c>
      <c r="DJ147" s="228">
        <v>0.08</v>
      </c>
      <c r="DK147" s="228">
        <v>0.08</v>
      </c>
      <c r="DL147" s="228">
        <v>20.27</v>
      </c>
      <c r="DM147" s="228">
        <v>19.68</v>
      </c>
      <c r="DN147" s="228">
        <v>0.59</v>
      </c>
      <c r="DO147" s="228">
        <v>0.59</v>
      </c>
      <c r="DP147" s="228">
        <v>0.44</v>
      </c>
      <c r="DQ147" s="228">
        <v>0.39</v>
      </c>
      <c r="DR147" s="228">
        <v>0.05</v>
      </c>
      <c r="DS147" s="229">
        <v>0.12820000000000001</v>
      </c>
      <c r="DT147" s="228">
        <v>345</v>
      </c>
      <c r="DU147" s="228">
        <v>340</v>
      </c>
      <c r="DV147" s="228">
        <v>0.61</v>
      </c>
      <c r="DW147" s="228">
        <v>0.51</v>
      </c>
      <c r="DX147" s="228">
        <v>0.1</v>
      </c>
      <c r="DY147" s="229">
        <v>0.1961</v>
      </c>
      <c r="DZ147" s="229">
        <v>0.77429999999999999</v>
      </c>
      <c r="EA147" s="230">
        <v>51499500</v>
      </c>
      <c r="EB147" s="229">
        <v>-1.9E-3</v>
      </c>
      <c r="EC147" s="229">
        <v>0.77429999999999999</v>
      </c>
      <c r="ED147" s="228">
        <v>-0.64</v>
      </c>
      <c r="EE147" s="229">
        <v>-1.9E-3</v>
      </c>
      <c r="EF147" s="230">
        <v>4531864</v>
      </c>
      <c r="EG147" s="230">
        <v>5436703</v>
      </c>
      <c r="EH147" s="229">
        <v>-0.16639999999999999</v>
      </c>
      <c r="EI147" s="229">
        <v>0.62749999999999995</v>
      </c>
      <c r="EJ147" s="231">
        <v>127522.32</v>
      </c>
      <c r="EK147" s="231">
        <v>77171.899999999994</v>
      </c>
      <c r="EL147" s="231">
        <v>246387.41</v>
      </c>
      <c r="EM147" s="231">
        <v>19659</v>
      </c>
      <c r="EN147" s="231">
        <v>451081.63</v>
      </c>
      <c r="EO147" s="231">
        <v>458585.11</v>
      </c>
      <c r="EP147" s="231">
        <v>-7503.48</v>
      </c>
      <c r="EQ147" s="229">
        <v>-1.6400000000000001E-2</v>
      </c>
      <c r="ER147" s="231">
        <v>165616</v>
      </c>
      <c r="ES147" s="231">
        <v>70459</v>
      </c>
      <c r="ET147" s="231">
        <v>355103</v>
      </c>
      <c r="EU147" s="231">
        <v>572782298</v>
      </c>
      <c r="EV147" s="231">
        <v>591178</v>
      </c>
      <c r="EW147" s="231">
        <v>584446</v>
      </c>
      <c r="EX147" s="231">
        <v>6732</v>
      </c>
      <c r="EY147" s="229">
        <v>1.15E-2</v>
      </c>
      <c r="EZ147" s="229">
        <v>0.30030000000000001</v>
      </c>
      <c r="FA147" s="227" t="s">
        <v>555</v>
      </c>
      <c r="FB147" s="161">
        <f t="shared" si="3"/>
        <v>0</v>
      </c>
    </row>
    <row r="148" spans="1:158" ht="17.25" hidden="1" thickBot="1" x14ac:dyDescent="0.3">
      <c r="A148" s="226">
        <v>45957</v>
      </c>
      <c r="B148" s="227" t="s">
        <v>175</v>
      </c>
      <c r="C148" s="227" t="s">
        <v>686</v>
      </c>
      <c r="D148" s="228">
        <v>75</v>
      </c>
      <c r="E148" s="231">
        <v>7417</v>
      </c>
      <c r="F148" s="231">
        <v>7188</v>
      </c>
      <c r="G148" s="228">
        <v>229</v>
      </c>
      <c r="H148" s="229">
        <v>3.1899999999999998E-2</v>
      </c>
      <c r="I148" s="231">
        <v>7420.5</v>
      </c>
      <c r="J148" s="231">
        <v>7176</v>
      </c>
      <c r="K148" s="228">
        <v>244.5</v>
      </c>
      <c r="L148" s="229">
        <v>3.4099999999999998E-2</v>
      </c>
      <c r="M148" s="231">
        <v>7417</v>
      </c>
      <c r="N148" s="231">
        <v>7188</v>
      </c>
      <c r="O148" s="228">
        <v>229</v>
      </c>
      <c r="P148" s="229">
        <v>3.1899999999999998E-2</v>
      </c>
      <c r="Q148" s="231">
        <v>7439.5</v>
      </c>
      <c r="R148" s="231">
        <v>7201</v>
      </c>
      <c r="S148" s="228">
        <v>238.5</v>
      </c>
      <c r="T148" s="229">
        <v>3.3099999999999997E-2</v>
      </c>
      <c r="U148" s="231">
        <v>7454.5</v>
      </c>
      <c r="V148" s="231">
        <v>7220.5</v>
      </c>
      <c r="W148" s="228">
        <v>234</v>
      </c>
      <c r="X148" s="229">
        <v>3.2399999999999998E-2</v>
      </c>
      <c r="Y148" s="228">
        <v>-3.5</v>
      </c>
      <c r="Z148" s="228">
        <v>12</v>
      </c>
      <c r="AA148" s="228">
        <v>-15.5</v>
      </c>
      <c r="AB148" s="229">
        <v>-5.0000000000000001E-4</v>
      </c>
      <c r="AC148" s="228">
        <v>-3.5</v>
      </c>
      <c r="AD148" s="228">
        <v>12</v>
      </c>
      <c r="AE148" s="228">
        <v>-15.5</v>
      </c>
      <c r="AF148" s="229">
        <v>-5.0000000000000001E-4</v>
      </c>
      <c r="AG148" s="228">
        <v>19</v>
      </c>
      <c r="AH148" s="228">
        <v>25</v>
      </c>
      <c r="AI148" s="228">
        <v>-6</v>
      </c>
      <c r="AJ148" s="229">
        <v>2.5999999999999999E-3</v>
      </c>
      <c r="AK148" s="228">
        <v>34</v>
      </c>
      <c r="AL148" s="228">
        <v>44.5</v>
      </c>
      <c r="AM148" s="228">
        <v>-10.5</v>
      </c>
      <c r="AN148" s="229">
        <v>4.5999999999999999E-3</v>
      </c>
      <c r="AO148" s="231">
        <v>7357.73</v>
      </c>
      <c r="AP148" s="231">
        <v>7379.57</v>
      </c>
      <c r="AQ148" s="228">
        <v>0</v>
      </c>
      <c r="AR148" s="230">
        <v>487200</v>
      </c>
      <c r="AS148" s="230">
        <v>366450</v>
      </c>
      <c r="AT148" s="230">
        <v>120750</v>
      </c>
      <c r="AU148" s="229">
        <v>0.32950000000000002</v>
      </c>
      <c r="AV148" s="230">
        <v>226875</v>
      </c>
      <c r="AW148" s="230">
        <v>211950</v>
      </c>
      <c r="AX148" s="230">
        <v>14925</v>
      </c>
      <c r="AY148" s="229">
        <v>7.0400000000000004E-2</v>
      </c>
      <c r="AZ148" s="230">
        <v>258825</v>
      </c>
      <c r="BA148" s="230">
        <v>153900</v>
      </c>
      <c r="BB148" s="230">
        <v>104925</v>
      </c>
      <c r="BC148" s="229">
        <v>0.68179999999999996</v>
      </c>
      <c r="BD148" s="230">
        <v>1500</v>
      </c>
      <c r="BE148" s="228">
        <v>600</v>
      </c>
      <c r="BF148" s="228">
        <v>900</v>
      </c>
      <c r="BG148" s="229">
        <v>1.5</v>
      </c>
      <c r="BH148" s="230">
        <v>2239800</v>
      </c>
      <c r="BI148" s="230">
        <v>1682550</v>
      </c>
      <c r="BJ148" s="230">
        <v>557250</v>
      </c>
      <c r="BK148" s="229">
        <v>0.33119999999999999</v>
      </c>
      <c r="BL148" s="230">
        <v>1026450</v>
      </c>
      <c r="BM148" s="230">
        <v>550275</v>
      </c>
      <c r="BN148" s="230">
        <v>476175</v>
      </c>
      <c r="BO148" s="229">
        <v>0.86529999999999996</v>
      </c>
      <c r="BP148" s="230">
        <v>3753450</v>
      </c>
      <c r="BQ148" s="230">
        <v>2599275</v>
      </c>
      <c r="BR148" s="230">
        <v>1154175</v>
      </c>
      <c r="BS148" s="229">
        <v>0.44400000000000001</v>
      </c>
      <c r="BT148" s="230">
        <v>142556</v>
      </c>
      <c r="BU148" s="230">
        <v>87010</v>
      </c>
      <c r="BV148" s="230">
        <v>55546</v>
      </c>
      <c r="BW148" s="229">
        <v>0.63839999999999997</v>
      </c>
      <c r="BX148" s="230">
        <v>523200</v>
      </c>
      <c r="BY148" s="230">
        <v>480975</v>
      </c>
      <c r="BZ148" s="230">
        <v>42225</v>
      </c>
      <c r="CA148" s="229">
        <v>8.7800000000000003E-2</v>
      </c>
      <c r="CB148" s="230">
        <v>179100</v>
      </c>
      <c r="CC148" s="230">
        <v>250575</v>
      </c>
      <c r="CD148" s="230">
        <v>-71475</v>
      </c>
      <c r="CE148" s="229">
        <v>-0.28520000000000001</v>
      </c>
      <c r="CF148" s="230">
        <v>341325</v>
      </c>
      <c r="CG148" s="230">
        <v>227250</v>
      </c>
      <c r="CH148" s="230">
        <v>114075</v>
      </c>
      <c r="CI148" s="229">
        <v>0.502</v>
      </c>
      <c r="CJ148" s="230">
        <v>2775</v>
      </c>
      <c r="CK148" s="230">
        <v>3150</v>
      </c>
      <c r="CL148" s="228">
        <v>-375</v>
      </c>
      <c r="CM148" s="229">
        <v>-0.11899999999999999</v>
      </c>
      <c r="CN148" s="230">
        <v>332400</v>
      </c>
      <c r="CO148" s="230">
        <v>402525</v>
      </c>
      <c r="CP148" s="230">
        <v>-70125</v>
      </c>
      <c r="CQ148" s="229">
        <v>-0.17419999999999999</v>
      </c>
      <c r="CR148" s="230">
        <v>253200</v>
      </c>
      <c r="CS148" s="230">
        <v>281925</v>
      </c>
      <c r="CT148" s="230">
        <v>-28725</v>
      </c>
      <c r="CU148" s="229">
        <v>-0.1019</v>
      </c>
      <c r="CV148" s="230">
        <v>1108800</v>
      </c>
      <c r="CW148" s="230">
        <v>1165425</v>
      </c>
      <c r="CX148" s="230">
        <v>-56625</v>
      </c>
      <c r="CY148" s="229">
        <v>-4.8599999999999997E-2</v>
      </c>
      <c r="CZ148" s="228">
        <v>38.869999999999997</v>
      </c>
      <c r="DA148" s="228">
        <v>37.86</v>
      </c>
      <c r="DB148" s="228">
        <v>1.01</v>
      </c>
      <c r="DC148" s="228">
        <v>1.01</v>
      </c>
      <c r="DD148" s="228">
        <v>51.79</v>
      </c>
      <c r="DE148" s="228">
        <v>51.75</v>
      </c>
      <c r="DF148" s="228">
        <v>-12.92</v>
      </c>
      <c r="DG148" s="228">
        <v>0.04</v>
      </c>
      <c r="DH148" s="228">
        <v>38.83</v>
      </c>
      <c r="DI148" s="228">
        <v>37.93</v>
      </c>
      <c r="DJ148" s="228">
        <v>0.9</v>
      </c>
      <c r="DK148" s="228">
        <v>0.9</v>
      </c>
      <c r="DL148" s="228">
        <v>39.090000000000003</v>
      </c>
      <c r="DM148" s="228">
        <v>37.51</v>
      </c>
      <c r="DN148" s="228">
        <v>1.58</v>
      </c>
      <c r="DO148" s="228">
        <v>1.58</v>
      </c>
      <c r="DP148" s="228">
        <v>0.76</v>
      </c>
      <c r="DQ148" s="228">
        <v>0.7</v>
      </c>
      <c r="DR148" s="228">
        <v>0.06</v>
      </c>
      <c r="DS148" s="229">
        <v>8.5699999999999998E-2</v>
      </c>
      <c r="DT148" s="231">
        <v>7800</v>
      </c>
      <c r="DU148" s="231">
        <v>7000</v>
      </c>
      <c r="DV148" s="228">
        <v>0.46</v>
      </c>
      <c r="DW148" s="228">
        <v>0.33</v>
      </c>
      <c r="DX148" s="228">
        <v>0.13</v>
      </c>
      <c r="DY148" s="229">
        <v>0.39389999999999997</v>
      </c>
      <c r="DZ148" s="229">
        <v>0.65769999999999995</v>
      </c>
      <c r="EA148" s="230">
        <v>230400</v>
      </c>
      <c r="EB148" s="229">
        <v>3.0000000000000001E-3</v>
      </c>
      <c r="EC148" s="229">
        <v>0.65769999999999995</v>
      </c>
      <c r="ED148" s="228">
        <v>21.84</v>
      </c>
      <c r="EE148" s="229">
        <v>3.0000000000000001E-3</v>
      </c>
      <c r="EF148" s="230">
        <v>61717</v>
      </c>
      <c r="EG148" s="230">
        <v>26948</v>
      </c>
      <c r="EH148" s="229">
        <v>1.2902</v>
      </c>
      <c r="EI148" s="229">
        <v>0.43290000000000001</v>
      </c>
      <c r="EJ148" s="231">
        <v>170679.96</v>
      </c>
      <c r="EK148" s="231">
        <v>71757.06</v>
      </c>
      <c r="EL148" s="231">
        <v>35903.78</v>
      </c>
      <c r="EM148" s="231">
        <v>3399</v>
      </c>
      <c r="EN148" s="231">
        <v>278340.8</v>
      </c>
      <c r="EO148" s="231">
        <v>191967.45</v>
      </c>
      <c r="EP148" s="231">
        <v>86373.35</v>
      </c>
      <c r="EQ148" s="229">
        <v>0.44990000000000002</v>
      </c>
      <c r="ER148" s="231">
        <v>24458</v>
      </c>
      <c r="ES148" s="231">
        <v>17165</v>
      </c>
      <c r="ET148" s="231">
        <v>38884</v>
      </c>
      <c r="EU148" s="231">
        <v>2444664</v>
      </c>
      <c r="EV148" s="231">
        <v>80506</v>
      </c>
      <c r="EW148" s="231">
        <v>83052</v>
      </c>
      <c r="EX148" s="231">
        <v>-2546</v>
      </c>
      <c r="EY148" s="229">
        <v>-3.0700000000000002E-2</v>
      </c>
      <c r="EZ148" s="229">
        <v>0.4536</v>
      </c>
      <c r="FA148" s="227" t="s">
        <v>555</v>
      </c>
      <c r="FB148" s="161">
        <f t="shared" si="3"/>
        <v>0</v>
      </c>
    </row>
    <row r="149" spans="1:158" ht="17.25" hidden="1" thickBot="1" x14ac:dyDescent="0.3">
      <c r="A149" s="226">
        <v>45957</v>
      </c>
      <c r="B149" s="227" t="s">
        <v>615</v>
      </c>
      <c r="C149" s="227" t="s">
        <v>613</v>
      </c>
      <c r="D149" s="228">
        <v>3125</v>
      </c>
      <c r="E149" s="228">
        <v>255.8</v>
      </c>
      <c r="F149" s="228">
        <v>251.32</v>
      </c>
      <c r="G149" s="228">
        <v>4.4800000000000004</v>
      </c>
      <c r="H149" s="229">
        <v>1.78E-2</v>
      </c>
      <c r="I149" s="228">
        <v>255.14</v>
      </c>
      <c r="J149" s="228">
        <v>250.59</v>
      </c>
      <c r="K149" s="228">
        <v>4.55</v>
      </c>
      <c r="L149" s="229">
        <v>1.8200000000000001E-2</v>
      </c>
      <c r="M149" s="228">
        <v>255.8</v>
      </c>
      <c r="N149" s="228">
        <v>251.32</v>
      </c>
      <c r="O149" s="228">
        <v>4.4800000000000004</v>
      </c>
      <c r="P149" s="229">
        <v>1.78E-2</v>
      </c>
      <c r="Q149" s="228">
        <v>254.33</v>
      </c>
      <c r="R149" s="228">
        <v>248.89</v>
      </c>
      <c r="S149" s="228">
        <v>5.44</v>
      </c>
      <c r="T149" s="229">
        <v>2.1899999999999999E-2</v>
      </c>
      <c r="U149" s="228">
        <v>253.4</v>
      </c>
      <c r="V149" s="228">
        <v>247.68</v>
      </c>
      <c r="W149" s="228">
        <v>5.72</v>
      </c>
      <c r="X149" s="229">
        <v>2.3099999999999999E-2</v>
      </c>
      <c r="Y149" s="228">
        <v>0.66</v>
      </c>
      <c r="Z149" s="228">
        <v>0.73</v>
      </c>
      <c r="AA149" s="228">
        <v>-7.0000000000000007E-2</v>
      </c>
      <c r="AB149" s="229">
        <v>2.5999999999999999E-3</v>
      </c>
      <c r="AC149" s="228">
        <v>0.66</v>
      </c>
      <c r="AD149" s="228">
        <v>0.73</v>
      </c>
      <c r="AE149" s="228">
        <v>-7.0000000000000007E-2</v>
      </c>
      <c r="AF149" s="229">
        <v>2.5999999999999999E-3</v>
      </c>
      <c r="AG149" s="228">
        <v>-0.81</v>
      </c>
      <c r="AH149" s="228">
        <v>-1.7</v>
      </c>
      <c r="AI149" s="228">
        <v>0.89</v>
      </c>
      <c r="AJ149" s="229">
        <v>-3.2000000000000002E-3</v>
      </c>
      <c r="AK149" s="228">
        <v>-1.74</v>
      </c>
      <c r="AL149" s="228">
        <v>-2.91</v>
      </c>
      <c r="AM149" s="228">
        <v>1.17</v>
      </c>
      <c r="AN149" s="229">
        <v>-6.7999999999999996E-3</v>
      </c>
      <c r="AO149" s="228">
        <v>254.37</v>
      </c>
      <c r="AP149" s="228">
        <v>252.41</v>
      </c>
      <c r="AQ149" s="228">
        <v>0</v>
      </c>
      <c r="AR149" s="230">
        <v>51406250</v>
      </c>
      <c r="AS149" s="230">
        <v>50950000</v>
      </c>
      <c r="AT149" s="230">
        <v>456250</v>
      </c>
      <c r="AU149" s="229">
        <v>8.9999999999999993E-3</v>
      </c>
      <c r="AV149" s="230">
        <v>25281250</v>
      </c>
      <c r="AW149" s="230">
        <v>26331250</v>
      </c>
      <c r="AX149" s="230">
        <v>-1050000</v>
      </c>
      <c r="AY149" s="229">
        <v>-3.9899999999999998E-2</v>
      </c>
      <c r="AZ149" s="230">
        <v>25918750</v>
      </c>
      <c r="BA149" s="230">
        <v>24362500</v>
      </c>
      <c r="BB149" s="230">
        <v>1556250</v>
      </c>
      <c r="BC149" s="229">
        <v>6.3899999999999998E-2</v>
      </c>
      <c r="BD149" s="230">
        <v>206250</v>
      </c>
      <c r="BE149" s="230">
        <v>256250</v>
      </c>
      <c r="BF149" s="230">
        <v>-50000</v>
      </c>
      <c r="BG149" s="229">
        <v>-0.1951</v>
      </c>
      <c r="BH149" s="230">
        <v>15431250</v>
      </c>
      <c r="BI149" s="230">
        <v>16331250</v>
      </c>
      <c r="BJ149" s="230">
        <v>-900000</v>
      </c>
      <c r="BK149" s="229">
        <v>-5.5100000000000003E-2</v>
      </c>
      <c r="BL149" s="230">
        <v>11684375</v>
      </c>
      <c r="BM149" s="230">
        <v>15703125</v>
      </c>
      <c r="BN149" s="230">
        <v>-4018750</v>
      </c>
      <c r="BO149" s="229">
        <v>-0.25590000000000002</v>
      </c>
      <c r="BP149" s="230">
        <v>78521875</v>
      </c>
      <c r="BQ149" s="230">
        <v>82984375</v>
      </c>
      <c r="BR149" s="230">
        <v>-4462500</v>
      </c>
      <c r="BS149" s="229">
        <v>-5.3800000000000001E-2</v>
      </c>
      <c r="BT149" s="230">
        <v>4380226</v>
      </c>
      <c r="BU149" s="230">
        <v>2872176</v>
      </c>
      <c r="BV149" s="230">
        <v>1508050</v>
      </c>
      <c r="BW149" s="229">
        <v>0.52510000000000001</v>
      </c>
      <c r="BX149" s="230">
        <v>65921875</v>
      </c>
      <c r="BY149" s="230">
        <v>70146875</v>
      </c>
      <c r="BZ149" s="230">
        <v>-4225000</v>
      </c>
      <c r="CA149" s="229">
        <v>-6.0199999999999997E-2</v>
      </c>
      <c r="CB149" s="230">
        <v>9525000</v>
      </c>
      <c r="CC149" s="230">
        <v>24143750</v>
      </c>
      <c r="CD149" s="230">
        <v>-14618750</v>
      </c>
      <c r="CE149" s="229">
        <v>-0.60550000000000004</v>
      </c>
      <c r="CF149" s="230">
        <v>55928125</v>
      </c>
      <c r="CG149" s="230">
        <v>45593750</v>
      </c>
      <c r="CH149" s="230">
        <v>10334375</v>
      </c>
      <c r="CI149" s="229">
        <v>0.22670000000000001</v>
      </c>
      <c r="CJ149" s="230">
        <v>468750</v>
      </c>
      <c r="CK149" s="230">
        <v>409375</v>
      </c>
      <c r="CL149" s="230">
        <v>59375</v>
      </c>
      <c r="CM149" s="229">
        <v>0.14499999999999999</v>
      </c>
      <c r="CN149" s="230">
        <v>13587500</v>
      </c>
      <c r="CO149" s="230">
        <v>14125000</v>
      </c>
      <c r="CP149" s="230">
        <v>-537500</v>
      </c>
      <c r="CQ149" s="229">
        <v>-3.8100000000000002E-2</v>
      </c>
      <c r="CR149" s="230">
        <v>10534375</v>
      </c>
      <c r="CS149" s="230">
        <v>10400000</v>
      </c>
      <c r="CT149" s="230">
        <v>134375</v>
      </c>
      <c r="CU149" s="229">
        <v>1.29E-2</v>
      </c>
      <c r="CV149" s="230">
        <v>90043750</v>
      </c>
      <c r="CW149" s="230">
        <v>94671875</v>
      </c>
      <c r="CX149" s="230">
        <v>-4628125</v>
      </c>
      <c r="CY149" s="229">
        <v>-4.8899999999999999E-2</v>
      </c>
      <c r="CZ149" s="228">
        <v>32.49</v>
      </c>
      <c r="DA149" s="228">
        <v>32.49</v>
      </c>
      <c r="DB149" s="228">
        <v>0</v>
      </c>
      <c r="DC149" s="228">
        <v>0</v>
      </c>
      <c r="DD149" s="228">
        <v>37.130000000000003</v>
      </c>
      <c r="DE149" s="228">
        <v>37.14</v>
      </c>
      <c r="DF149" s="228">
        <v>-4.6399999999999997</v>
      </c>
      <c r="DG149" s="228">
        <v>-0.01</v>
      </c>
      <c r="DH149" s="228">
        <v>31.73</v>
      </c>
      <c r="DI149" s="228">
        <v>32.25</v>
      </c>
      <c r="DJ149" s="228">
        <v>-0.52</v>
      </c>
      <c r="DK149" s="228">
        <v>-0.52</v>
      </c>
      <c r="DL149" s="228">
        <v>33.43</v>
      </c>
      <c r="DM149" s="228">
        <v>32.64</v>
      </c>
      <c r="DN149" s="228">
        <v>0.79</v>
      </c>
      <c r="DO149" s="228">
        <v>0.79</v>
      </c>
      <c r="DP149" s="228">
        <v>0.78</v>
      </c>
      <c r="DQ149" s="228">
        <v>0.74</v>
      </c>
      <c r="DR149" s="228">
        <v>0.04</v>
      </c>
      <c r="DS149" s="229">
        <v>5.4100000000000002E-2</v>
      </c>
      <c r="DT149" s="228">
        <v>260</v>
      </c>
      <c r="DU149" s="228">
        <v>220</v>
      </c>
      <c r="DV149" s="228">
        <v>0.76</v>
      </c>
      <c r="DW149" s="228">
        <v>0.96</v>
      </c>
      <c r="DX149" s="228">
        <v>-0.2</v>
      </c>
      <c r="DY149" s="229">
        <v>-0.20830000000000001</v>
      </c>
      <c r="DZ149" s="229">
        <v>0.85550000000000004</v>
      </c>
      <c r="EA149" s="230">
        <v>46003125</v>
      </c>
      <c r="EB149" s="229">
        <v>-5.7000000000000002E-3</v>
      </c>
      <c r="EC149" s="229">
        <v>0.85550000000000004</v>
      </c>
      <c r="ED149" s="228">
        <v>-1.96</v>
      </c>
      <c r="EE149" s="229">
        <v>-7.7000000000000002E-3</v>
      </c>
      <c r="EF149" s="230">
        <v>2147521</v>
      </c>
      <c r="EG149" s="230">
        <v>1530657</v>
      </c>
      <c r="EH149" s="229">
        <v>0.40300000000000002</v>
      </c>
      <c r="EI149" s="229">
        <v>0.49030000000000001</v>
      </c>
      <c r="EJ149" s="231">
        <v>40411.58</v>
      </c>
      <c r="EK149" s="231">
        <v>29111.68</v>
      </c>
      <c r="EL149" s="231">
        <v>130247.79</v>
      </c>
      <c r="EM149" s="231">
        <v>9654</v>
      </c>
      <c r="EN149" s="231">
        <v>199771.05</v>
      </c>
      <c r="EO149" s="231">
        <v>209634.71</v>
      </c>
      <c r="EP149" s="231">
        <v>-9863.66</v>
      </c>
      <c r="EQ149" s="229">
        <v>-4.7100000000000003E-2</v>
      </c>
      <c r="ER149" s="231">
        <v>35812</v>
      </c>
      <c r="ES149" s="231">
        <v>25601</v>
      </c>
      <c r="ET149" s="231">
        <v>167795</v>
      </c>
      <c r="EU149" s="231">
        <v>205324177</v>
      </c>
      <c r="EV149" s="231">
        <v>229208</v>
      </c>
      <c r="EW149" s="231">
        <v>237794</v>
      </c>
      <c r="EX149" s="231">
        <v>-8586</v>
      </c>
      <c r="EY149" s="229">
        <v>-3.61E-2</v>
      </c>
      <c r="EZ149" s="229">
        <v>0.4385</v>
      </c>
      <c r="FA149" s="227" t="s">
        <v>556</v>
      </c>
      <c r="FB149" s="161">
        <f t="shared" si="3"/>
        <v>0</v>
      </c>
    </row>
    <row r="150" spans="1:158" ht="17.25" thickBot="1" x14ac:dyDescent="0.3">
      <c r="A150" s="226">
        <v>45957</v>
      </c>
      <c r="B150" s="227" t="s">
        <v>206</v>
      </c>
      <c r="C150" s="227" t="s">
        <v>528</v>
      </c>
      <c r="D150" s="228">
        <v>350</v>
      </c>
      <c r="E150" s="231">
        <v>1733.6</v>
      </c>
      <c r="F150" s="231">
        <v>1699.1</v>
      </c>
      <c r="G150" s="228">
        <v>34.5</v>
      </c>
      <c r="H150" s="229">
        <v>2.0299999999999999E-2</v>
      </c>
      <c r="I150" s="231">
        <v>1736</v>
      </c>
      <c r="J150" s="231">
        <v>1699.9</v>
      </c>
      <c r="K150" s="228">
        <v>36.1</v>
      </c>
      <c r="L150" s="229">
        <v>2.12E-2</v>
      </c>
      <c r="M150" s="231">
        <v>1733.6</v>
      </c>
      <c r="N150" s="231">
        <v>1699.1</v>
      </c>
      <c r="O150" s="228">
        <v>34.5</v>
      </c>
      <c r="P150" s="229">
        <v>2.0299999999999999E-2</v>
      </c>
      <c r="Q150" s="231">
        <v>1742.2</v>
      </c>
      <c r="R150" s="231">
        <v>1707.4</v>
      </c>
      <c r="S150" s="228">
        <v>34.799999999999997</v>
      </c>
      <c r="T150" s="229">
        <v>2.0400000000000001E-2</v>
      </c>
      <c r="U150" s="231">
        <v>1751.1</v>
      </c>
      <c r="V150" s="231">
        <v>1714.6</v>
      </c>
      <c r="W150" s="228">
        <v>36.5</v>
      </c>
      <c r="X150" s="229">
        <v>2.1299999999999999E-2</v>
      </c>
      <c r="Y150" s="228">
        <v>-2.4</v>
      </c>
      <c r="Z150" s="228">
        <v>-0.8</v>
      </c>
      <c r="AA150" s="228">
        <v>-1.6</v>
      </c>
      <c r="AB150" s="229">
        <v>-1.4E-3</v>
      </c>
      <c r="AC150" s="228">
        <v>-2.4</v>
      </c>
      <c r="AD150" s="228">
        <v>-0.8</v>
      </c>
      <c r="AE150" s="228">
        <v>-1.6</v>
      </c>
      <c r="AF150" s="229">
        <v>-1.4E-3</v>
      </c>
      <c r="AG150" s="228">
        <v>6.2</v>
      </c>
      <c r="AH150" s="228">
        <v>7.5</v>
      </c>
      <c r="AI150" s="228">
        <v>-1.3</v>
      </c>
      <c r="AJ150" s="229">
        <v>3.5999999999999999E-3</v>
      </c>
      <c r="AK150" s="228">
        <v>15.1</v>
      </c>
      <c r="AL150" s="228">
        <v>14.7</v>
      </c>
      <c r="AM150" s="228">
        <v>0.4</v>
      </c>
      <c r="AN150" s="229">
        <v>8.6999999999999994E-3</v>
      </c>
      <c r="AO150" s="231">
        <v>1733.52</v>
      </c>
      <c r="AP150" s="231">
        <v>1742.38</v>
      </c>
      <c r="AQ150" s="228">
        <v>0</v>
      </c>
      <c r="AR150" s="230">
        <v>4179700</v>
      </c>
      <c r="AS150" s="230">
        <v>3650500</v>
      </c>
      <c r="AT150" s="230">
        <v>529200</v>
      </c>
      <c r="AU150" s="229">
        <v>0.14499999999999999</v>
      </c>
      <c r="AV150" s="230">
        <v>1979250</v>
      </c>
      <c r="AW150" s="230">
        <v>1866200</v>
      </c>
      <c r="AX150" s="230">
        <v>113050</v>
      </c>
      <c r="AY150" s="229">
        <v>6.0600000000000001E-2</v>
      </c>
      <c r="AZ150" s="230">
        <v>2174900</v>
      </c>
      <c r="BA150" s="230">
        <v>1777650</v>
      </c>
      <c r="BB150" s="230">
        <v>397250</v>
      </c>
      <c r="BC150" s="229">
        <v>0.2235</v>
      </c>
      <c r="BD150" s="230">
        <v>25550</v>
      </c>
      <c r="BE150" s="230">
        <v>6650</v>
      </c>
      <c r="BF150" s="230">
        <v>18900</v>
      </c>
      <c r="BG150" s="229">
        <v>2.8420999999999998</v>
      </c>
      <c r="BH150" s="230">
        <v>8639750</v>
      </c>
      <c r="BI150" s="230">
        <v>4280150</v>
      </c>
      <c r="BJ150" s="230">
        <v>4359600</v>
      </c>
      <c r="BK150" s="229">
        <v>1.0185999999999999</v>
      </c>
      <c r="BL150" s="230">
        <v>2824500</v>
      </c>
      <c r="BM150" s="230">
        <v>1499750</v>
      </c>
      <c r="BN150" s="230">
        <v>1324750</v>
      </c>
      <c r="BO150" s="229">
        <v>0.88329999999999997</v>
      </c>
      <c r="BP150" s="230">
        <v>15643950</v>
      </c>
      <c r="BQ150" s="230">
        <v>9430400</v>
      </c>
      <c r="BR150" s="230">
        <v>6213550</v>
      </c>
      <c r="BS150" s="229">
        <v>0.65890000000000004</v>
      </c>
      <c r="BT150" s="230">
        <v>1028254</v>
      </c>
      <c r="BU150" s="230">
        <v>456048</v>
      </c>
      <c r="BV150" s="230">
        <v>572206</v>
      </c>
      <c r="BW150" s="229">
        <v>1.2546999999999999</v>
      </c>
      <c r="BX150" s="230">
        <v>5020050</v>
      </c>
      <c r="BY150" s="230">
        <v>5100550</v>
      </c>
      <c r="BZ150" s="230">
        <v>-80500</v>
      </c>
      <c r="CA150" s="229">
        <v>-1.5800000000000002E-2</v>
      </c>
      <c r="CB150" s="230">
        <v>905450</v>
      </c>
      <c r="CC150" s="230">
        <v>2096850</v>
      </c>
      <c r="CD150" s="230">
        <v>-1191400</v>
      </c>
      <c r="CE150" s="229">
        <v>-0.56820000000000004</v>
      </c>
      <c r="CF150" s="230">
        <v>4090100</v>
      </c>
      <c r="CG150" s="230">
        <v>2988300</v>
      </c>
      <c r="CH150" s="230">
        <v>1101800</v>
      </c>
      <c r="CI150" s="229">
        <v>0.36870000000000003</v>
      </c>
      <c r="CJ150" s="230">
        <v>24500</v>
      </c>
      <c r="CK150" s="230">
        <v>15400</v>
      </c>
      <c r="CL150" s="230">
        <v>9100</v>
      </c>
      <c r="CM150" s="229">
        <v>0.59089999999999998</v>
      </c>
      <c r="CN150" s="230">
        <v>2016000</v>
      </c>
      <c r="CO150" s="230">
        <v>2152150</v>
      </c>
      <c r="CP150" s="230">
        <v>-136150</v>
      </c>
      <c r="CQ150" s="229">
        <v>-6.3299999999999995E-2</v>
      </c>
      <c r="CR150" s="230">
        <v>1402100</v>
      </c>
      <c r="CS150" s="230">
        <v>1396500</v>
      </c>
      <c r="CT150" s="230">
        <v>5600</v>
      </c>
      <c r="CU150" s="229">
        <v>4.0000000000000001E-3</v>
      </c>
      <c r="CV150" s="230">
        <v>8438150</v>
      </c>
      <c r="CW150" s="230">
        <v>8649200</v>
      </c>
      <c r="CX150" s="230">
        <v>-211050</v>
      </c>
      <c r="CY150" s="229">
        <v>-2.4400000000000002E-2</v>
      </c>
      <c r="CZ150" s="228">
        <v>29.26</v>
      </c>
      <c r="DA150" s="228">
        <v>28.55</v>
      </c>
      <c r="DB150" s="228">
        <v>0.71</v>
      </c>
      <c r="DC150" s="228">
        <v>0.71</v>
      </c>
      <c r="DD150" s="228">
        <v>38.450000000000003</v>
      </c>
      <c r="DE150" s="228">
        <v>38.450000000000003</v>
      </c>
      <c r="DF150" s="228">
        <v>-9.19</v>
      </c>
      <c r="DG150" s="228">
        <v>0</v>
      </c>
      <c r="DH150" s="228">
        <v>29.31</v>
      </c>
      <c r="DI150" s="228">
        <v>28.57</v>
      </c>
      <c r="DJ150" s="228">
        <v>0.74</v>
      </c>
      <c r="DK150" s="228">
        <v>0.74</v>
      </c>
      <c r="DL150" s="228">
        <v>29.01</v>
      </c>
      <c r="DM150" s="228">
        <v>28.46</v>
      </c>
      <c r="DN150" s="228">
        <v>0.55000000000000004</v>
      </c>
      <c r="DO150" s="228">
        <v>0.55000000000000004</v>
      </c>
      <c r="DP150" s="228">
        <v>0.7</v>
      </c>
      <c r="DQ150" s="228">
        <v>0.65</v>
      </c>
      <c r="DR150" s="228">
        <v>0.05</v>
      </c>
      <c r="DS150" s="229">
        <v>7.6899999999999996E-2</v>
      </c>
      <c r="DT150" s="231">
        <v>1780</v>
      </c>
      <c r="DU150" s="231">
        <v>1640</v>
      </c>
      <c r="DV150" s="228">
        <v>0.33</v>
      </c>
      <c r="DW150" s="228">
        <v>0.35</v>
      </c>
      <c r="DX150" s="228">
        <v>-0.02</v>
      </c>
      <c r="DY150" s="229">
        <v>-5.7099999999999998E-2</v>
      </c>
      <c r="DZ150" s="229">
        <v>0.8196</v>
      </c>
      <c r="EA150" s="230">
        <v>3003700</v>
      </c>
      <c r="EB150" s="229">
        <v>5.0000000000000001E-3</v>
      </c>
      <c r="EC150" s="229">
        <v>0.8196</v>
      </c>
      <c r="ED150" s="228">
        <v>8.86</v>
      </c>
      <c r="EE150" s="229">
        <v>5.1000000000000004E-3</v>
      </c>
      <c r="EF150" s="230">
        <v>482308</v>
      </c>
      <c r="EG150" s="230">
        <v>230600</v>
      </c>
      <c r="EH150" s="229">
        <v>1.0914999999999999</v>
      </c>
      <c r="EI150" s="229">
        <v>0.46910000000000002</v>
      </c>
      <c r="EJ150" s="231">
        <v>153017.85999999999</v>
      </c>
      <c r="EK150" s="231">
        <v>47817.37</v>
      </c>
      <c r="EL150" s="231">
        <v>72653.33</v>
      </c>
      <c r="EM150" s="231">
        <v>6260</v>
      </c>
      <c r="EN150" s="231">
        <v>273488.56</v>
      </c>
      <c r="EO150" s="231">
        <v>161221.66</v>
      </c>
      <c r="EP150" s="231">
        <v>112266.9</v>
      </c>
      <c r="EQ150" s="229">
        <v>0.69640000000000002</v>
      </c>
      <c r="ER150" s="231">
        <v>34976</v>
      </c>
      <c r="ES150" s="231">
        <v>22852</v>
      </c>
      <c r="ET150" s="231">
        <v>87384</v>
      </c>
      <c r="EU150" s="231">
        <v>17614093</v>
      </c>
      <c r="EV150" s="231">
        <v>145213</v>
      </c>
      <c r="EW150" s="231">
        <v>146621</v>
      </c>
      <c r="EX150" s="231">
        <v>-1408</v>
      </c>
      <c r="EY150" s="229">
        <v>-9.5999999999999992E-3</v>
      </c>
      <c r="EZ150" s="229">
        <v>0.47910000000000003</v>
      </c>
      <c r="FA150" s="227" t="s">
        <v>556</v>
      </c>
      <c r="FB150" s="161">
        <f t="shared" si="3"/>
        <v>0</v>
      </c>
    </row>
    <row r="151" spans="1:158" ht="17.25" thickBot="1" x14ac:dyDescent="0.3">
      <c r="A151" s="226">
        <v>45957</v>
      </c>
      <c r="B151" s="227" t="s">
        <v>221</v>
      </c>
      <c r="C151" s="227" t="s">
        <v>518</v>
      </c>
      <c r="D151" s="228">
        <v>75</v>
      </c>
      <c r="E151" s="231">
        <v>8721</v>
      </c>
      <c r="F151" s="231">
        <v>8564.5</v>
      </c>
      <c r="G151" s="228">
        <v>156.5</v>
      </c>
      <c r="H151" s="229">
        <v>1.83E-2</v>
      </c>
      <c r="I151" s="231">
        <v>8695.5</v>
      </c>
      <c r="J151" s="231">
        <v>8565</v>
      </c>
      <c r="K151" s="228">
        <v>130.5</v>
      </c>
      <c r="L151" s="229">
        <v>1.52E-2</v>
      </c>
      <c r="M151" s="231">
        <v>8721</v>
      </c>
      <c r="N151" s="231">
        <v>8564.5</v>
      </c>
      <c r="O151" s="228">
        <v>156.5</v>
      </c>
      <c r="P151" s="229">
        <v>1.83E-2</v>
      </c>
      <c r="Q151" s="231">
        <v>8625.5</v>
      </c>
      <c r="R151" s="231">
        <v>8445</v>
      </c>
      <c r="S151" s="228">
        <v>180.5</v>
      </c>
      <c r="T151" s="229">
        <v>2.1399999999999999E-2</v>
      </c>
      <c r="U151" s="231">
        <v>8660</v>
      </c>
      <c r="V151" s="231">
        <v>8485</v>
      </c>
      <c r="W151" s="228">
        <v>175</v>
      </c>
      <c r="X151" s="229">
        <v>2.06E-2</v>
      </c>
      <c r="Y151" s="228">
        <v>25.5</v>
      </c>
      <c r="Z151" s="228">
        <v>-0.5</v>
      </c>
      <c r="AA151" s="228">
        <v>26</v>
      </c>
      <c r="AB151" s="229">
        <v>2.8999999999999998E-3</v>
      </c>
      <c r="AC151" s="228">
        <v>25.5</v>
      </c>
      <c r="AD151" s="228">
        <v>-0.5</v>
      </c>
      <c r="AE151" s="228">
        <v>26</v>
      </c>
      <c r="AF151" s="229">
        <v>2.8999999999999998E-3</v>
      </c>
      <c r="AG151" s="228">
        <v>-70</v>
      </c>
      <c r="AH151" s="228">
        <v>-120</v>
      </c>
      <c r="AI151" s="228">
        <v>50</v>
      </c>
      <c r="AJ151" s="229">
        <v>-8.0999999999999996E-3</v>
      </c>
      <c r="AK151" s="228">
        <v>-35.5</v>
      </c>
      <c r="AL151" s="228">
        <v>-80</v>
      </c>
      <c r="AM151" s="228">
        <v>44.5</v>
      </c>
      <c r="AN151" s="229">
        <v>-4.1000000000000003E-3</v>
      </c>
      <c r="AO151" s="231">
        <v>8698.58</v>
      </c>
      <c r="AP151" s="231">
        <v>8590.27</v>
      </c>
      <c r="AQ151" s="228">
        <v>0</v>
      </c>
      <c r="AR151" s="230">
        <v>1253775</v>
      </c>
      <c r="AS151" s="230">
        <v>855375</v>
      </c>
      <c r="AT151" s="230">
        <v>398400</v>
      </c>
      <c r="AU151" s="229">
        <v>0.46579999999999999</v>
      </c>
      <c r="AV151" s="230">
        <v>599400</v>
      </c>
      <c r="AW151" s="230">
        <v>408000</v>
      </c>
      <c r="AX151" s="230">
        <v>191400</v>
      </c>
      <c r="AY151" s="229">
        <v>0.46910000000000002</v>
      </c>
      <c r="AZ151" s="230">
        <v>646725</v>
      </c>
      <c r="BA151" s="230">
        <v>437700</v>
      </c>
      <c r="BB151" s="230">
        <v>209025</v>
      </c>
      <c r="BC151" s="229">
        <v>0.47760000000000002</v>
      </c>
      <c r="BD151" s="230">
        <v>7650</v>
      </c>
      <c r="BE151" s="230">
        <v>9675</v>
      </c>
      <c r="BF151" s="230">
        <v>-2025</v>
      </c>
      <c r="BG151" s="229">
        <v>-0.20930000000000001</v>
      </c>
      <c r="BH151" s="230">
        <v>1903500</v>
      </c>
      <c r="BI151" s="230">
        <v>1458975</v>
      </c>
      <c r="BJ151" s="230">
        <v>444525</v>
      </c>
      <c r="BK151" s="229">
        <v>0.30470000000000003</v>
      </c>
      <c r="BL151" s="230">
        <v>692925</v>
      </c>
      <c r="BM151" s="230">
        <v>624525</v>
      </c>
      <c r="BN151" s="230">
        <v>68400</v>
      </c>
      <c r="BO151" s="229">
        <v>0.1095</v>
      </c>
      <c r="BP151" s="230">
        <v>3850200</v>
      </c>
      <c r="BQ151" s="230">
        <v>2938875</v>
      </c>
      <c r="BR151" s="230">
        <v>911325</v>
      </c>
      <c r="BS151" s="229">
        <v>0.31009999999999999</v>
      </c>
      <c r="BT151" s="230">
        <v>208505</v>
      </c>
      <c r="BU151" s="230">
        <v>113114</v>
      </c>
      <c r="BV151" s="230">
        <v>95391</v>
      </c>
      <c r="BW151" s="229">
        <v>0.84330000000000005</v>
      </c>
      <c r="BX151" s="230">
        <v>1353600</v>
      </c>
      <c r="BY151" s="230">
        <v>1508175</v>
      </c>
      <c r="BZ151" s="230">
        <v>-154575</v>
      </c>
      <c r="CA151" s="229">
        <v>-0.10249999999999999</v>
      </c>
      <c r="CB151" s="230">
        <v>358650</v>
      </c>
      <c r="CC151" s="230">
        <v>725175</v>
      </c>
      <c r="CD151" s="230">
        <v>-366525</v>
      </c>
      <c r="CE151" s="229">
        <v>-0.50539999999999996</v>
      </c>
      <c r="CF151" s="230">
        <v>967200</v>
      </c>
      <c r="CG151" s="230">
        <v>755925</v>
      </c>
      <c r="CH151" s="230">
        <v>211275</v>
      </c>
      <c r="CI151" s="229">
        <v>0.27950000000000003</v>
      </c>
      <c r="CJ151" s="230">
        <v>27750</v>
      </c>
      <c r="CK151" s="230">
        <v>27075</v>
      </c>
      <c r="CL151" s="228">
        <v>675</v>
      </c>
      <c r="CM151" s="229">
        <v>2.4899999999999999E-2</v>
      </c>
      <c r="CN151" s="230">
        <v>850050</v>
      </c>
      <c r="CO151" s="230">
        <v>1011150</v>
      </c>
      <c r="CP151" s="230">
        <v>-161100</v>
      </c>
      <c r="CQ151" s="229">
        <v>-0.1593</v>
      </c>
      <c r="CR151" s="230">
        <v>447000</v>
      </c>
      <c r="CS151" s="230">
        <v>486975</v>
      </c>
      <c r="CT151" s="230">
        <v>-39975</v>
      </c>
      <c r="CU151" s="229">
        <v>-8.2100000000000006E-2</v>
      </c>
      <c r="CV151" s="230">
        <v>2650650</v>
      </c>
      <c r="CW151" s="230">
        <v>3006300</v>
      </c>
      <c r="CX151" s="230">
        <v>-355650</v>
      </c>
      <c r="CY151" s="229">
        <v>-0.1183</v>
      </c>
      <c r="CZ151" s="228">
        <v>31.02</v>
      </c>
      <c r="DA151" s="228">
        <v>31.55</v>
      </c>
      <c r="DB151" s="228">
        <v>-0.53</v>
      </c>
      <c r="DC151" s="228">
        <v>-0.53</v>
      </c>
      <c r="DD151" s="228">
        <v>41.4</v>
      </c>
      <c r="DE151" s="228">
        <v>41.45</v>
      </c>
      <c r="DF151" s="228">
        <v>-10.38</v>
      </c>
      <c r="DG151" s="228">
        <v>-0.05</v>
      </c>
      <c r="DH151" s="228">
        <v>31.07</v>
      </c>
      <c r="DI151" s="228">
        <v>31.72</v>
      </c>
      <c r="DJ151" s="228">
        <v>-0.65</v>
      </c>
      <c r="DK151" s="228">
        <v>-0.65</v>
      </c>
      <c r="DL151" s="228">
        <v>30.88</v>
      </c>
      <c r="DM151" s="228">
        <v>31.09</v>
      </c>
      <c r="DN151" s="228">
        <v>-0.21</v>
      </c>
      <c r="DO151" s="228">
        <v>-0.21</v>
      </c>
      <c r="DP151" s="228">
        <v>0.53</v>
      </c>
      <c r="DQ151" s="228">
        <v>0.48</v>
      </c>
      <c r="DR151" s="228">
        <v>0.05</v>
      </c>
      <c r="DS151" s="229">
        <v>0.1042</v>
      </c>
      <c r="DT151" s="231">
        <v>9000</v>
      </c>
      <c r="DU151" s="231">
        <v>8500</v>
      </c>
      <c r="DV151" s="228">
        <v>0.36</v>
      </c>
      <c r="DW151" s="228">
        <v>0.43</v>
      </c>
      <c r="DX151" s="228">
        <v>-7.0000000000000007E-2</v>
      </c>
      <c r="DY151" s="229">
        <v>-0.1628</v>
      </c>
      <c r="DZ151" s="229">
        <v>0.73499999999999999</v>
      </c>
      <c r="EA151" s="230">
        <v>783000</v>
      </c>
      <c r="EB151" s="229">
        <v>-1.0999999999999999E-2</v>
      </c>
      <c r="EC151" s="229">
        <v>0.73499999999999999</v>
      </c>
      <c r="ED151" s="228">
        <v>-108.31</v>
      </c>
      <c r="EE151" s="229">
        <v>-1.2500000000000001E-2</v>
      </c>
      <c r="EF151" s="230">
        <v>114686</v>
      </c>
      <c r="EG151" s="230">
        <v>46459</v>
      </c>
      <c r="EH151" s="229">
        <v>1.4684999999999999</v>
      </c>
      <c r="EI151" s="229">
        <v>0.55000000000000004</v>
      </c>
      <c r="EJ151" s="231">
        <v>172623.18</v>
      </c>
      <c r="EK151" s="231">
        <v>59065.78</v>
      </c>
      <c r="EL151" s="231">
        <v>108354.32</v>
      </c>
      <c r="EM151" s="231">
        <v>9388</v>
      </c>
      <c r="EN151" s="231">
        <v>340043.28</v>
      </c>
      <c r="EO151" s="231">
        <v>257506.25</v>
      </c>
      <c r="EP151" s="231">
        <v>82537.03</v>
      </c>
      <c r="EQ151" s="229">
        <v>0.32050000000000001</v>
      </c>
      <c r="ER151" s="231">
        <v>78026</v>
      </c>
      <c r="ES151" s="231">
        <v>37767</v>
      </c>
      <c r="ET151" s="231">
        <v>117107</v>
      </c>
      <c r="EU151" s="231">
        <v>3401732</v>
      </c>
      <c r="EV151" s="231">
        <v>232900</v>
      </c>
      <c r="EW151" s="231">
        <v>262399</v>
      </c>
      <c r="EX151" s="231">
        <v>-29499</v>
      </c>
      <c r="EY151" s="229">
        <v>-0.1124</v>
      </c>
      <c r="EZ151" s="229">
        <v>0.7792</v>
      </c>
      <c r="FA151" s="227" t="s">
        <v>556</v>
      </c>
      <c r="FB151" s="161">
        <f t="shared" si="3"/>
        <v>0</v>
      </c>
    </row>
    <row r="152" spans="1:158" ht="17.25" thickBot="1" x14ac:dyDescent="0.3">
      <c r="A152" s="226">
        <v>45957</v>
      </c>
      <c r="B152" s="227" t="s">
        <v>193</v>
      </c>
      <c r="C152" s="227" t="s">
        <v>587</v>
      </c>
      <c r="D152" s="228">
        <v>1400</v>
      </c>
      <c r="E152" s="228">
        <v>422.5</v>
      </c>
      <c r="F152" s="228">
        <v>420.7</v>
      </c>
      <c r="G152" s="228">
        <v>1.8</v>
      </c>
      <c r="H152" s="229">
        <v>4.3E-3</v>
      </c>
      <c r="I152" s="228">
        <v>422.35</v>
      </c>
      <c r="J152" s="228">
        <v>419.5</v>
      </c>
      <c r="K152" s="228">
        <v>2.85</v>
      </c>
      <c r="L152" s="229">
        <v>6.7999999999999996E-3</v>
      </c>
      <c r="M152" s="228">
        <v>422.5</v>
      </c>
      <c r="N152" s="228">
        <v>420.7</v>
      </c>
      <c r="O152" s="228">
        <v>1.8</v>
      </c>
      <c r="P152" s="229">
        <v>4.3E-3</v>
      </c>
      <c r="Q152" s="228">
        <v>421.65</v>
      </c>
      <c r="R152" s="228">
        <v>419.5</v>
      </c>
      <c r="S152" s="228">
        <v>2.15</v>
      </c>
      <c r="T152" s="229">
        <v>5.1000000000000004E-3</v>
      </c>
      <c r="U152" s="228">
        <v>423.65</v>
      </c>
      <c r="V152" s="228">
        <v>421.65</v>
      </c>
      <c r="W152" s="228">
        <v>2</v>
      </c>
      <c r="X152" s="229">
        <v>4.7000000000000002E-3</v>
      </c>
      <c r="Y152" s="228">
        <v>0.15</v>
      </c>
      <c r="Z152" s="228">
        <v>1.2</v>
      </c>
      <c r="AA152" s="228">
        <v>-1.05</v>
      </c>
      <c r="AB152" s="229">
        <v>4.0000000000000002E-4</v>
      </c>
      <c r="AC152" s="228">
        <v>0.15</v>
      </c>
      <c r="AD152" s="228">
        <v>1.2</v>
      </c>
      <c r="AE152" s="228">
        <v>-1.05</v>
      </c>
      <c r="AF152" s="229">
        <v>4.0000000000000002E-4</v>
      </c>
      <c r="AG152" s="228">
        <v>-0.7</v>
      </c>
      <c r="AH152" s="228">
        <v>0</v>
      </c>
      <c r="AI152" s="228">
        <v>-0.7</v>
      </c>
      <c r="AJ152" s="229">
        <v>-1.6999999999999999E-3</v>
      </c>
      <c r="AK152" s="228">
        <v>1.3</v>
      </c>
      <c r="AL152" s="228">
        <v>2.15</v>
      </c>
      <c r="AM152" s="228">
        <v>-0.85</v>
      </c>
      <c r="AN152" s="229">
        <v>3.0999999999999999E-3</v>
      </c>
      <c r="AO152" s="228">
        <v>423.13</v>
      </c>
      <c r="AP152" s="228">
        <v>422.83</v>
      </c>
      <c r="AQ152" s="228">
        <v>0</v>
      </c>
      <c r="AR152" s="230">
        <v>8225000</v>
      </c>
      <c r="AS152" s="230">
        <v>11366600</v>
      </c>
      <c r="AT152" s="230">
        <v>-3141600</v>
      </c>
      <c r="AU152" s="229">
        <v>-0.27639999999999998</v>
      </c>
      <c r="AV152" s="230">
        <v>3733800</v>
      </c>
      <c r="AW152" s="230">
        <v>5957000</v>
      </c>
      <c r="AX152" s="230">
        <v>-2223200</v>
      </c>
      <c r="AY152" s="229">
        <v>-0.37319999999999998</v>
      </c>
      <c r="AZ152" s="230">
        <v>4414200</v>
      </c>
      <c r="BA152" s="230">
        <v>5339600</v>
      </c>
      <c r="BB152" s="230">
        <v>-925400</v>
      </c>
      <c r="BC152" s="229">
        <v>-0.17330000000000001</v>
      </c>
      <c r="BD152" s="230">
        <v>77000</v>
      </c>
      <c r="BE152" s="230">
        <v>70000</v>
      </c>
      <c r="BF152" s="230">
        <v>7000</v>
      </c>
      <c r="BG152" s="229">
        <v>0.1</v>
      </c>
      <c r="BH152" s="230">
        <v>8103200</v>
      </c>
      <c r="BI152" s="230">
        <v>16522800</v>
      </c>
      <c r="BJ152" s="230">
        <v>-8419600</v>
      </c>
      <c r="BK152" s="229">
        <v>-0.50960000000000005</v>
      </c>
      <c r="BL152" s="230">
        <v>2406600</v>
      </c>
      <c r="BM152" s="230">
        <v>4092200</v>
      </c>
      <c r="BN152" s="230">
        <v>-1685600</v>
      </c>
      <c r="BO152" s="229">
        <v>-0.41189999999999999</v>
      </c>
      <c r="BP152" s="230">
        <v>18734800</v>
      </c>
      <c r="BQ152" s="230">
        <v>31981600</v>
      </c>
      <c r="BR152" s="230">
        <v>-13246800</v>
      </c>
      <c r="BS152" s="229">
        <v>-0.41420000000000001</v>
      </c>
      <c r="BT152" s="230">
        <v>1771174</v>
      </c>
      <c r="BU152" s="230">
        <v>2838368</v>
      </c>
      <c r="BV152" s="230">
        <v>-1067194</v>
      </c>
      <c r="BW152" s="229">
        <v>-0.376</v>
      </c>
      <c r="BX152" s="230">
        <v>10941000</v>
      </c>
      <c r="BY152" s="230">
        <v>11138400</v>
      </c>
      <c r="BZ152" s="230">
        <v>-197400</v>
      </c>
      <c r="CA152" s="229">
        <v>-1.77E-2</v>
      </c>
      <c r="CB152" s="230">
        <v>2567600</v>
      </c>
      <c r="CC152" s="230">
        <v>4506600</v>
      </c>
      <c r="CD152" s="230">
        <v>-1939000</v>
      </c>
      <c r="CE152" s="229">
        <v>-0.43030000000000002</v>
      </c>
      <c r="CF152" s="230">
        <v>8237600</v>
      </c>
      <c r="CG152" s="230">
        <v>6487600</v>
      </c>
      <c r="CH152" s="230">
        <v>1750000</v>
      </c>
      <c r="CI152" s="229">
        <v>0.2697</v>
      </c>
      <c r="CJ152" s="230">
        <v>135800</v>
      </c>
      <c r="CK152" s="230">
        <v>144200</v>
      </c>
      <c r="CL152" s="230">
        <v>-8400</v>
      </c>
      <c r="CM152" s="229">
        <v>-5.8299999999999998E-2</v>
      </c>
      <c r="CN152" s="230">
        <v>5118400</v>
      </c>
      <c r="CO152" s="230">
        <v>6575800</v>
      </c>
      <c r="CP152" s="230">
        <v>-1457400</v>
      </c>
      <c r="CQ152" s="229">
        <v>-0.22159999999999999</v>
      </c>
      <c r="CR152" s="230">
        <v>3323600</v>
      </c>
      <c r="CS152" s="230">
        <v>3372600</v>
      </c>
      <c r="CT152" s="230">
        <v>-49000</v>
      </c>
      <c r="CU152" s="229">
        <v>-1.4500000000000001E-2</v>
      </c>
      <c r="CV152" s="230">
        <v>19383000</v>
      </c>
      <c r="CW152" s="230">
        <v>21086800</v>
      </c>
      <c r="CX152" s="230">
        <v>-1703800</v>
      </c>
      <c r="CY152" s="229">
        <v>-8.0799999999999997E-2</v>
      </c>
      <c r="CZ152" s="228">
        <v>30.31</v>
      </c>
      <c r="DA152" s="228">
        <v>30.14</v>
      </c>
      <c r="DB152" s="228">
        <v>0.17</v>
      </c>
      <c r="DC152" s="228">
        <v>0.17</v>
      </c>
      <c r="DD152" s="228">
        <v>44.12</v>
      </c>
      <c r="DE152" s="228">
        <v>44.23</v>
      </c>
      <c r="DF152" s="228">
        <v>-13.81</v>
      </c>
      <c r="DG152" s="228">
        <v>-0.11</v>
      </c>
      <c r="DH152" s="228">
        <v>30.43</v>
      </c>
      <c r="DI152" s="228">
        <v>30.17</v>
      </c>
      <c r="DJ152" s="228">
        <v>0.26</v>
      </c>
      <c r="DK152" s="228">
        <v>0.26</v>
      </c>
      <c r="DL152" s="228">
        <v>29.98</v>
      </c>
      <c r="DM152" s="228">
        <v>30.02</v>
      </c>
      <c r="DN152" s="228">
        <v>-0.04</v>
      </c>
      <c r="DO152" s="228">
        <v>-0.04</v>
      </c>
      <c r="DP152" s="228">
        <v>0.65</v>
      </c>
      <c r="DQ152" s="228">
        <v>0.51</v>
      </c>
      <c r="DR152" s="228">
        <v>0.14000000000000001</v>
      </c>
      <c r="DS152" s="229">
        <v>0.27450000000000002</v>
      </c>
      <c r="DT152" s="228">
        <v>420</v>
      </c>
      <c r="DU152" s="228">
        <v>420</v>
      </c>
      <c r="DV152" s="228">
        <v>0.3</v>
      </c>
      <c r="DW152" s="228">
        <v>0.25</v>
      </c>
      <c r="DX152" s="228">
        <v>0.05</v>
      </c>
      <c r="DY152" s="229">
        <v>0.2</v>
      </c>
      <c r="DZ152" s="229">
        <v>0.76529999999999998</v>
      </c>
      <c r="EA152" s="230">
        <v>6631800</v>
      </c>
      <c r="EB152" s="229">
        <v>-2E-3</v>
      </c>
      <c r="EC152" s="229">
        <v>0.76529999999999998</v>
      </c>
      <c r="ED152" s="228">
        <v>-0.3</v>
      </c>
      <c r="EE152" s="229">
        <v>-6.9999999999999999E-4</v>
      </c>
      <c r="EF152" s="230">
        <v>654051</v>
      </c>
      <c r="EG152" s="230">
        <v>1045616</v>
      </c>
      <c r="EH152" s="229">
        <v>-0.3745</v>
      </c>
      <c r="EI152" s="229">
        <v>0.36930000000000002</v>
      </c>
      <c r="EJ152" s="231">
        <v>35418.15</v>
      </c>
      <c r="EK152" s="231">
        <v>10094.68</v>
      </c>
      <c r="EL152" s="231">
        <v>34790.71</v>
      </c>
      <c r="EM152" s="231">
        <v>5278</v>
      </c>
      <c r="EN152" s="231">
        <v>80303.539999999994</v>
      </c>
      <c r="EO152" s="231">
        <v>136557.97</v>
      </c>
      <c r="EP152" s="231">
        <v>-56254.43</v>
      </c>
      <c r="EQ152" s="229">
        <v>-0.41189999999999999</v>
      </c>
      <c r="ER152" s="231">
        <v>22281</v>
      </c>
      <c r="ES152" s="231">
        <v>13373</v>
      </c>
      <c r="ET152" s="231">
        <v>46157</v>
      </c>
      <c r="EU152" s="231">
        <v>94123587</v>
      </c>
      <c r="EV152" s="231">
        <v>81812</v>
      </c>
      <c r="EW152" s="231">
        <v>88938</v>
      </c>
      <c r="EX152" s="231">
        <v>-7126</v>
      </c>
      <c r="EY152" s="229">
        <v>-8.0100000000000005E-2</v>
      </c>
      <c r="EZ152" s="229">
        <v>0.2059</v>
      </c>
      <c r="FA152" s="227" t="s">
        <v>556</v>
      </c>
      <c r="FB152" s="161">
        <f t="shared" si="3"/>
        <v>0</v>
      </c>
    </row>
    <row r="153" spans="1:158" ht="17.25" thickBot="1" x14ac:dyDescent="0.3">
      <c r="A153" s="226">
        <v>45957</v>
      </c>
      <c r="B153" s="227" t="s">
        <v>193</v>
      </c>
      <c r="C153" s="227" t="s">
        <v>269</v>
      </c>
      <c r="D153" s="228">
        <v>2250</v>
      </c>
      <c r="E153" s="228">
        <v>252.92</v>
      </c>
      <c r="F153" s="228">
        <v>254.55</v>
      </c>
      <c r="G153" s="228">
        <v>-1.63</v>
      </c>
      <c r="H153" s="229">
        <v>-6.4000000000000003E-3</v>
      </c>
      <c r="I153" s="228">
        <v>253.27</v>
      </c>
      <c r="J153" s="228">
        <v>254.96</v>
      </c>
      <c r="K153" s="228">
        <v>-1.69</v>
      </c>
      <c r="L153" s="229">
        <v>-6.6E-3</v>
      </c>
      <c r="M153" s="228">
        <v>252.92</v>
      </c>
      <c r="N153" s="228">
        <v>254.55</v>
      </c>
      <c r="O153" s="228">
        <v>-1.63</v>
      </c>
      <c r="P153" s="229">
        <v>-6.4000000000000003E-3</v>
      </c>
      <c r="Q153" s="228">
        <v>254.02</v>
      </c>
      <c r="R153" s="228">
        <v>255.85</v>
      </c>
      <c r="S153" s="228">
        <v>-1.83</v>
      </c>
      <c r="T153" s="229">
        <v>-7.1999999999999998E-3</v>
      </c>
      <c r="U153" s="228">
        <v>255.8</v>
      </c>
      <c r="V153" s="228">
        <v>257.47000000000003</v>
      </c>
      <c r="W153" s="228">
        <v>-1.67</v>
      </c>
      <c r="X153" s="229">
        <v>-6.4999999999999997E-3</v>
      </c>
      <c r="Y153" s="228">
        <v>-0.35</v>
      </c>
      <c r="Z153" s="228">
        <v>-0.41</v>
      </c>
      <c r="AA153" s="228">
        <v>0.06</v>
      </c>
      <c r="AB153" s="229">
        <v>-1.4E-3</v>
      </c>
      <c r="AC153" s="228">
        <v>-0.35</v>
      </c>
      <c r="AD153" s="228">
        <v>-0.41</v>
      </c>
      <c r="AE153" s="228">
        <v>0.06</v>
      </c>
      <c r="AF153" s="229">
        <v>-1.4E-3</v>
      </c>
      <c r="AG153" s="228">
        <v>0.75</v>
      </c>
      <c r="AH153" s="228">
        <v>0.89</v>
      </c>
      <c r="AI153" s="228">
        <v>-0.14000000000000001</v>
      </c>
      <c r="AJ153" s="229">
        <v>3.0000000000000001E-3</v>
      </c>
      <c r="AK153" s="228">
        <v>2.5299999999999998</v>
      </c>
      <c r="AL153" s="228">
        <v>2.5099999999999998</v>
      </c>
      <c r="AM153" s="228">
        <v>0.02</v>
      </c>
      <c r="AN153" s="229">
        <v>0.01</v>
      </c>
      <c r="AO153" s="228">
        <v>253.1</v>
      </c>
      <c r="AP153" s="228">
        <v>254.18</v>
      </c>
      <c r="AQ153" s="228">
        <v>0</v>
      </c>
      <c r="AR153" s="230">
        <v>76401000</v>
      </c>
      <c r="AS153" s="230">
        <v>62127000</v>
      </c>
      <c r="AT153" s="230">
        <v>14274000</v>
      </c>
      <c r="AU153" s="229">
        <v>0.2298</v>
      </c>
      <c r="AV153" s="230">
        <v>37161000</v>
      </c>
      <c r="AW153" s="230">
        <v>31414500</v>
      </c>
      <c r="AX153" s="230">
        <v>5746500</v>
      </c>
      <c r="AY153" s="229">
        <v>0.18290000000000001</v>
      </c>
      <c r="AZ153" s="230">
        <v>38877750</v>
      </c>
      <c r="BA153" s="230">
        <v>30159000</v>
      </c>
      <c r="BB153" s="230">
        <v>8718750</v>
      </c>
      <c r="BC153" s="229">
        <v>0.28910000000000002</v>
      </c>
      <c r="BD153" s="230">
        <v>362250</v>
      </c>
      <c r="BE153" s="230">
        <v>553500</v>
      </c>
      <c r="BF153" s="230">
        <v>-191250</v>
      </c>
      <c r="BG153" s="229">
        <v>-0.34549999999999997</v>
      </c>
      <c r="BH153" s="230">
        <v>62221500</v>
      </c>
      <c r="BI153" s="230">
        <v>122994000</v>
      </c>
      <c r="BJ153" s="230">
        <v>-60772500</v>
      </c>
      <c r="BK153" s="229">
        <v>-0.49409999999999998</v>
      </c>
      <c r="BL153" s="230">
        <v>35680500</v>
      </c>
      <c r="BM153" s="230">
        <v>61818750</v>
      </c>
      <c r="BN153" s="230">
        <v>-26138250</v>
      </c>
      <c r="BO153" s="229">
        <v>-0.42280000000000001</v>
      </c>
      <c r="BP153" s="230">
        <v>174303000</v>
      </c>
      <c r="BQ153" s="230">
        <v>246939750</v>
      </c>
      <c r="BR153" s="230">
        <v>-72636750</v>
      </c>
      <c r="BS153" s="229">
        <v>-0.29409999999999997</v>
      </c>
      <c r="BT153" s="230">
        <v>8131328</v>
      </c>
      <c r="BU153" s="230">
        <v>19978210</v>
      </c>
      <c r="BV153" s="230">
        <v>-11846882</v>
      </c>
      <c r="BW153" s="229">
        <v>-0.59299999999999997</v>
      </c>
      <c r="BX153" s="230">
        <v>115418250</v>
      </c>
      <c r="BY153" s="230">
        <v>114570000</v>
      </c>
      <c r="BZ153" s="230">
        <v>848250</v>
      </c>
      <c r="CA153" s="229">
        <v>7.4000000000000003E-3</v>
      </c>
      <c r="CB153" s="230">
        <v>35946000</v>
      </c>
      <c r="CC153" s="230">
        <v>64041750</v>
      </c>
      <c r="CD153" s="230">
        <v>-28095750</v>
      </c>
      <c r="CE153" s="229">
        <v>-0.43869999999999998</v>
      </c>
      <c r="CF153" s="230">
        <v>78666750</v>
      </c>
      <c r="CG153" s="230">
        <v>49932000</v>
      </c>
      <c r="CH153" s="230">
        <v>28734750</v>
      </c>
      <c r="CI153" s="229">
        <v>0.57550000000000001</v>
      </c>
      <c r="CJ153" s="230">
        <v>805500</v>
      </c>
      <c r="CK153" s="230">
        <v>596250</v>
      </c>
      <c r="CL153" s="230">
        <v>209250</v>
      </c>
      <c r="CM153" s="229">
        <v>0.35089999999999999</v>
      </c>
      <c r="CN153" s="230">
        <v>58428000</v>
      </c>
      <c r="CO153" s="230">
        <v>62606250</v>
      </c>
      <c r="CP153" s="230">
        <v>-4178250</v>
      </c>
      <c r="CQ153" s="229">
        <v>-6.6699999999999995E-2</v>
      </c>
      <c r="CR153" s="230">
        <v>40383000</v>
      </c>
      <c r="CS153" s="230">
        <v>41951250</v>
      </c>
      <c r="CT153" s="230">
        <v>-1568250</v>
      </c>
      <c r="CU153" s="229">
        <v>-3.7400000000000003E-2</v>
      </c>
      <c r="CV153" s="230">
        <v>214229250</v>
      </c>
      <c r="CW153" s="230">
        <v>219127500</v>
      </c>
      <c r="CX153" s="230">
        <v>-4898250</v>
      </c>
      <c r="CY153" s="229">
        <v>-2.24E-2</v>
      </c>
      <c r="CZ153" s="228">
        <v>24.6</v>
      </c>
      <c r="DA153" s="228">
        <v>24.02</v>
      </c>
      <c r="DB153" s="228">
        <v>0.57999999999999996</v>
      </c>
      <c r="DC153" s="228">
        <v>0.57999999999999996</v>
      </c>
      <c r="DD153" s="228">
        <v>31.89</v>
      </c>
      <c r="DE153" s="228">
        <v>31.96</v>
      </c>
      <c r="DF153" s="228">
        <v>-7.29</v>
      </c>
      <c r="DG153" s="228">
        <v>-7.0000000000000007E-2</v>
      </c>
      <c r="DH153" s="228">
        <v>24.87</v>
      </c>
      <c r="DI153" s="228">
        <v>24.17</v>
      </c>
      <c r="DJ153" s="228">
        <v>0.7</v>
      </c>
      <c r="DK153" s="228">
        <v>0.7</v>
      </c>
      <c r="DL153" s="228">
        <v>24.12</v>
      </c>
      <c r="DM153" s="228">
        <v>23.64</v>
      </c>
      <c r="DN153" s="228">
        <v>0.48</v>
      </c>
      <c r="DO153" s="228">
        <v>0.48</v>
      </c>
      <c r="DP153" s="228">
        <v>0.69</v>
      </c>
      <c r="DQ153" s="228">
        <v>0.67</v>
      </c>
      <c r="DR153" s="228">
        <v>0.02</v>
      </c>
      <c r="DS153" s="229">
        <v>2.9899999999999999E-2</v>
      </c>
      <c r="DT153" s="228">
        <v>250</v>
      </c>
      <c r="DU153" s="228">
        <v>250</v>
      </c>
      <c r="DV153" s="228">
        <v>0.56999999999999995</v>
      </c>
      <c r="DW153" s="228">
        <v>0.5</v>
      </c>
      <c r="DX153" s="228">
        <v>7.0000000000000007E-2</v>
      </c>
      <c r="DY153" s="229">
        <v>0.14000000000000001</v>
      </c>
      <c r="DZ153" s="229">
        <v>0.68859999999999999</v>
      </c>
      <c r="EA153" s="230">
        <v>50528250</v>
      </c>
      <c r="EB153" s="229">
        <v>4.3E-3</v>
      </c>
      <c r="EC153" s="229">
        <v>0.68859999999999999</v>
      </c>
      <c r="ED153" s="228">
        <v>1.08</v>
      </c>
      <c r="EE153" s="229">
        <v>4.3E-3</v>
      </c>
      <c r="EF153" s="230">
        <v>4643842</v>
      </c>
      <c r="EG153" s="230">
        <v>11053941</v>
      </c>
      <c r="EH153" s="229">
        <v>-0.57989999999999997</v>
      </c>
      <c r="EI153" s="229">
        <v>0.57110000000000005</v>
      </c>
      <c r="EJ153" s="231">
        <v>161145.96</v>
      </c>
      <c r="EK153" s="231">
        <v>90414.63</v>
      </c>
      <c r="EL153" s="231">
        <v>193800.91</v>
      </c>
      <c r="EM153" s="231">
        <v>16969</v>
      </c>
      <c r="EN153" s="231">
        <v>445361.5</v>
      </c>
      <c r="EO153" s="231">
        <v>636867.11</v>
      </c>
      <c r="EP153" s="231">
        <v>-191505.61</v>
      </c>
      <c r="EQ153" s="229">
        <v>-0.30070000000000002</v>
      </c>
      <c r="ER153" s="231">
        <v>148284</v>
      </c>
      <c r="ES153" s="231">
        <v>99350</v>
      </c>
      <c r="ET153" s="231">
        <v>292804</v>
      </c>
      <c r="EU153" s="231">
        <v>517141211</v>
      </c>
      <c r="EV153" s="231">
        <v>540439</v>
      </c>
      <c r="EW153" s="231">
        <v>554370</v>
      </c>
      <c r="EX153" s="231">
        <v>-13931</v>
      </c>
      <c r="EY153" s="229">
        <v>-2.5100000000000001E-2</v>
      </c>
      <c r="EZ153" s="229">
        <v>0.4143</v>
      </c>
      <c r="FA153" s="227" t="s">
        <v>567</v>
      </c>
      <c r="FB153" s="161">
        <f>BX228-CB228</f>
        <v>0</v>
      </c>
    </row>
    <row r="154" spans="1:158" ht="17.25" thickBot="1" x14ac:dyDescent="0.3">
      <c r="A154" s="226">
        <v>45957</v>
      </c>
      <c r="B154" s="227" t="s">
        <v>197</v>
      </c>
      <c r="C154" s="227" t="s">
        <v>270</v>
      </c>
      <c r="D154" s="228">
        <v>15</v>
      </c>
      <c r="E154" s="231">
        <v>41105</v>
      </c>
      <c r="F154" s="231">
        <v>41160</v>
      </c>
      <c r="G154" s="228">
        <v>-55</v>
      </c>
      <c r="H154" s="229">
        <v>-1.2999999999999999E-3</v>
      </c>
      <c r="I154" s="231">
        <v>40985</v>
      </c>
      <c r="J154" s="231">
        <v>41025</v>
      </c>
      <c r="K154" s="228">
        <v>-40</v>
      </c>
      <c r="L154" s="229">
        <v>-1E-3</v>
      </c>
      <c r="M154" s="231">
        <v>41105</v>
      </c>
      <c r="N154" s="231">
        <v>41160</v>
      </c>
      <c r="O154" s="228">
        <v>-55</v>
      </c>
      <c r="P154" s="229">
        <v>-1.2999999999999999E-3</v>
      </c>
      <c r="Q154" s="231">
        <v>40630</v>
      </c>
      <c r="R154" s="231">
        <v>40450</v>
      </c>
      <c r="S154" s="228">
        <v>180</v>
      </c>
      <c r="T154" s="229">
        <v>4.4000000000000003E-3</v>
      </c>
      <c r="U154" s="231">
        <v>40355</v>
      </c>
      <c r="V154" s="231">
        <v>40130</v>
      </c>
      <c r="W154" s="228">
        <v>225</v>
      </c>
      <c r="X154" s="229">
        <v>5.5999999999999999E-3</v>
      </c>
      <c r="Y154" s="228">
        <v>120</v>
      </c>
      <c r="Z154" s="228">
        <v>135</v>
      </c>
      <c r="AA154" s="228">
        <v>-15</v>
      </c>
      <c r="AB154" s="229">
        <v>2.8999999999999998E-3</v>
      </c>
      <c r="AC154" s="228">
        <v>120</v>
      </c>
      <c r="AD154" s="228">
        <v>135</v>
      </c>
      <c r="AE154" s="228">
        <v>-15</v>
      </c>
      <c r="AF154" s="229">
        <v>2.8999999999999998E-3</v>
      </c>
      <c r="AG154" s="228">
        <v>-355</v>
      </c>
      <c r="AH154" s="228">
        <v>-575</v>
      </c>
      <c r="AI154" s="228">
        <v>220</v>
      </c>
      <c r="AJ154" s="229">
        <v>-8.6999999999999994E-3</v>
      </c>
      <c r="AK154" s="228">
        <v>-630</v>
      </c>
      <c r="AL154" s="228">
        <v>-895</v>
      </c>
      <c r="AM154" s="228">
        <v>265</v>
      </c>
      <c r="AN154" s="229">
        <v>-1.54E-2</v>
      </c>
      <c r="AO154" s="231">
        <v>41201.769999999997</v>
      </c>
      <c r="AP154" s="231">
        <v>40562.379999999997</v>
      </c>
      <c r="AQ154" s="228">
        <v>0</v>
      </c>
      <c r="AR154" s="230">
        <v>169680</v>
      </c>
      <c r="AS154" s="230">
        <v>194580</v>
      </c>
      <c r="AT154" s="230">
        <v>-24900</v>
      </c>
      <c r="AU154" s="229">
        <v>-0.128</v>
      </c>
      <c r="AV154" s="230">
        <v>84060</v>
      </c>
      <c r="AW154" s="230">
        <v>97185</v>
      </c>
      <c r="AX154" s="230">
        <v>-13125</v>
      </c>
      <c r="AY154" s="229">
        <v>-0.1351</v>
      </c>
      <c r="AZ154" s="230">
        <v>85125</v>
      </c>
      <c r="BA154" s="230">
        <v>96795</v>
      </c>
      <c r="BB154" s="230">
        <v>-11670</v>
      </c>
      <c r="BC154" s="229">
        <v>-0.1206</v>
      </c>
      <c r="BD154" s="228">
        <v>495</v>
      </c>
      <c r="BE154" s="228">
        <v>600</v>
      </c>
      <c r="BF154" s="228">
        <v>-105</v>
      </c>
      <c r="BG154" s="229">
        <v>-0.17499999999999999</v>
      </c>
      <c r="BH154" s="230">
        <v>144555</v>
      </c>
      <c r="BI154" s="230">
        <v>161385</v>
      </c>
      <c r="BJ154" s="230">
        <v>-16830</v>
      </c>
      <c r="BK154" s="229">
        <v>-0.1043</v>
      </c>
      <c r="BL154" s="230">
        <v>108630</v>
      </c>
      <c r="BM154" s="230">
        <v>117735</v>
      </c>
      <c r="BN154" s="230">
        <v>-9105</v>
      </c>
      <c r="BO154" s="229">
        <v>-7.7299999999999994E-2</v>
      </c>
      <c r="BP154" s="230">
        <v>422865</v>
      </c>
      <c r="BQ154" s="230">
        <v>473700</v>
      </c>
      <c r="BR154" s="230">
        <v>-50835</v>
      </c>
      <c r="BS154" s="229">
        <v>-0.10730000000000001</v>
      </c>
      <c r="BT154" s="230">
        <v>10310</v>
      </c>
      <c r="BU154" s="230">
        <v>15955</v>
      </c>
      <c r="BV154" s="230">
        <v>-5645</v>
      </c>
      <c r="BW154" s="229">
        <v>-0.3538</v>
      </c>
      <c r="BX154" s="230">
        <v>227010</v>
      </c>
      <c r="BY154" s="230">
        <v>233160</v>
      </c>
      <c r="BZ154" s="230">
        <v>-6150</v>
      </c>
      <c r="CA154" s="229">
        <v>-2.64E-2</v>
      </c>
      <c r="CB154" s="230">
        <v>28380</v>
      </c>
      <c r="CC154" s="230">
        <v>83040</v>
      </c>
      <c r="CD154" s="230">
        <v>-54660</v>
      </c>
      <c r="CE154" s="229">
        <v>-0.65820000000000001</v>
      </c>
      <c r="CF154" s="230">
        <v>194835</v>
      </c>
      <c r="CG154" s="230">
        <v>146595</v>
      </c>
      <c r="CH154" s="230">
        <v>48240</v>
      </c>
      <c r="CI154" s="229">
        <v>0.3291</v>
      </c>
      <c r="CJ154" s="230">
        <v>3795</v>
      </c>
      <c r="CK154" s="230">
        <v>3525</v>
      </c>
      <c r="CL154" s="228">
        <v>270</v>
      </c>
      <c r="CM154" s="229">
        <v>7.6600000000000001E-2</v>
      </c>
      <c r="CN154" s="230">
        <v>89430</v>
      </c>
      <c r="CO154" s="230">
        <v>107505</v>
      </c>
      <c r="CP154" s="230">
        <v>-18075</v>
      </c>
      <c r="CQ154" s="229">
        <v>-0.1681</v>
      </c>
      <c r="CR154" s="230">
        <v>41445</v>
      </c>
      <c r="CS154" s="230">
        <v>42495</v>
      </c>
      <c r="CT154" s="230">
        <v>-1050</v>
      </c>
      <c r="CU154" s="229">
        <v>-2.47E-2</v>
      </c>
      <c r="CV154" s="230">
        <v>357885</v>
      </c>
      <c r="CW154" s="230">
        <v>383160</v>
      </c>
      <c r="CX154" s="230">
        <v>-25275</v>
      </c>
      <c r="CY154" s="229">
        <v>-6.6000000000000003E-2</v>
      </c>
      <c r="CZ154" s="228">
        <v>28.09</v>
      </c>
      <c r="DA154" s="228">
        <v>27.06</v>
      </c>
      <c r="DB154" s="228">
        <v>1.03</v>
      </c>
      <c r="DC154" s="228">
        <v>1.03</v>
      </c>
      <c r="DD154" s="228">
        <v>29.18</v>
      </c>
      <c r="DE154" s="228">
        <v>29.25</v>
      </c>
      <c r="DF154" s="228">
        <v>-1.0900000000000001</v>
      </c>
      <c r="DG154" s="228">
        <v>-7.0000000000000007E-2</v>
      </c>
      <c r="DH154" s="228">
        <v>27.76</v>
      </c>
      <c r="DI154" s="228">
        <v>27.13</v>
      </c>
      <c r="DJ154" s="228">
        <v>0.63</v>
      </c>
      <c r="DK154" s="228">
        <v>0.63</v>
      </c>
      <c r="DL154" s="228">
        <v>28.61</v>
      </c>
      <c r="DM154" s="228">
        <v>26.96</v>
      </c>
      <c r="DN154" s="228">
        <v>1.65</v>
      </c>
      <c r="DO154" s="228">
        <v>1.65</v>
      </c>
      <c r="DP154" s="228">
        <v>0.46</v>
      </c>
      <c r="DQ154" s="228">
        <v>0.4</v>
      </c>
      <c r="DR154" s="228">
        <v>0.06</v>
      </c>
      <c r="DS154" s="229">
        <v>0.15</v>
      </c>
      <c r="DT154" s="231">
        <v>45000</v>
      </c>
      <c r="DU154" s="231">
        <v>40000</v>
      </c>
      <c r="DV154" s="228">
        <v>0.75</v>
      </c>
      <c r="DW154" s="228">
        <v>0.73</v>
      </c>
      <c r="DX154" s="228">
        <v>0.02</v>
      </c>
      <c r="DY154" s="229">
        <v>2.7400000000000001E-2</v>
      </c>
      <c r="DZ154" s="229">
        <v>0.875</v>
      </c>
      <c r="EA154" s="230">
        <v>150120</v>
      </c>
      <c r="EB154" s="229">
        <v>-1.1599999999999999E-2</v>
      </c>
      <c r="EC154" s="229">
        <v>0.875</v>
      </c>
      <c r="ED154" s="228">
        <v>-639.39</v>
      </c>
      <c r="EE154" s="229">
        <v>-1.55E-2</v>
      </c>
      <c r="EF154" s="230">
        <v>6104</v>
      </c>
      <c r="EG154" s="230">
        <v>10076</v>
      </c>
      <c r="EH154" s="229">
        <v>-0.39419999999999999</v>
      </c>
      <c r="EI154" s="229">
        <v>0.59199999999999997</v>
      </c>
      <c r="EJ154" s="231">
        <v>64324.24</v>
      </c>
      <c r="EK154" s="231">
        <v>42884.41</v>
      </c>
      <c r="EL154" s="231">
        <v>69362.460000000006</v>
      </c>
      <c r="EM154" s="231">
        <v>7266</v>
      </c>
      <c r="EN154" s="231">
        <v>176571.11</v>
      </c>
      <c r="EO154" s="231">
        <v>197087.7</v>
      </c>
      <c r="EP154" s="231">
        <v>-20516.59</v>
      </c>
      <c r="EQ154" s="229">
        <v>-0.1041</v>
      </c>
      <c r="ER154" s="231">
        <v>39069</v>
      </c>
      <c r="ES154" s="231">
        <v>16714</v>
      </c>
      <c r="ET154" s="231">
        <v>92359</v>
      </c>
      <c r="EU154" s="231">
        <v>955549</v>
      </c>
      <c r="EV154" s="231">
        <v>148141</v>
      </c>
      <c r="EW154" s="231">
        <v>158879</v>
      </c>
      <c r="EX154" s="231">
        <v>-10738</v>
      </c>
      <c r="EY154" s="229">
        <v>-6.7599999999999993E-2</v>
      </c>
      <c r="EZ154" s="229">
        <v>0.3745</v>
      </c>
      <c r="FA154" s="227" t="s">
        <v>568</v>
      </c>
      <c r="FB154" s="161">
        <f t="shared" si="3"/>
        <v>0</v>
      </c>
    </row>
    <row r="155" spans="1:158" ht="17.25" thickBot="1" x14ac:dyDescent="0.3">
      <c r="A155" s="226">
        <v>45957</v>
      </c>
      <c r="B155" s="227" t="s">
        <v>168</v>
      </c>
      <c r="C155" s="227" t="s">
        <v>666</v>
      </c>
      <c r="D155" s="228">
        <v>900</v>
      </c>
      <c r="E155" s="228">
        <v>591</v>
      </c>
      <c r="F155" s="228">
        <v>581.54999999999995</v>
      </c>
      <c r="G155" s="228">
        <v>9.4499999999999993</v>
      </c>
      <c r="H155" s="229">
        <v>1.6199999999999999E-2</v>
      </c>
      <c r="I155" s="228">
        <v>590.5</v>
      </c>
      <c r="J155" s="228">
        <v>580.95000000000005</v>
      </c>
      <c r="K155" s="228">
        <v>9.5500000000000007</v>
      </c>
      <c r="L155" s="229">
        <v>1.6400000000000001E-2</v>
      </c>
      <c r="M155" s="228">
        <v>591</v>
      </c>
      <c r="N155" s="228">
        <v>581.54999999999995</v>
      </c>
      <c r="O155" s="228">
        <v>9.4499999999999993</v>
      </c>
      <c r="P155" s="229">
        <v>1.6199999999999999E-2</v>
      </c>
      <c r="Q155" s="228">
        <v>593.45000000000005</v>
      </c>
      <c r="R155" s="228">
        <v>584.1</v>
      </c>
      <c r="S155" s="228">
        <v>9.35</v>
      </c>
      <c r="T155" s="229">
        <v>1.6E-2</v>
      </c>
      <c r="U155" s="228">
        <v>595.79999999999995</v>
      </c>
      <c r="V155" s="228">
        <v>586.29999999999995</v>
      </c>
      <c r="W155" s="228">
        <v>9.5</v>
      </c>
      <c r="X155" s="229">
        <v>1.6199999999999999E-2</v>
      </c>
      <c r="Y155" s="228">
        <v>0.5</v>
      </c>
      <c r="Z155" s="228">
        <v>0.6</v>
      </c>
      <c r="AA155" s="228">
        <v>-0.1</v>
      </c>
      <c r="AB155" s="229">
        <v>8.0000000000000004E-4</v>
      </c>
      <c r="AC155" s="228">
        <v>0.5</v>
      </c>
      <c r="AD155" s="228">
        <v>0.6</v>
      </c>
      <c r="AE155" s="228">
        <v>-0.1</v>
      </c>
      <c r="AF155" s="229">
        <v>8.0000000000000004E-4</v>
      </c>
      <c r="AG155" s="228">
        <v>2.95</v>
      </c>
      <c r="AH155" s="228">
        <v>3.15</v>
      </c>
      <c r="AI155" s="228">
        <v>-0.2</v>
      </c>
      <c r="AJ155" s="229">
        <v>5.0000000000000001E-3</v>
      </c>
      <c r="AK155" s="228">
        <v>5.3</v>
      </c>
      <c r="AL155" s="228">
        <v>5.35</v>
      </c>
      <c r="AM155" s="228">
        <v>-0.05</v>
      </c>
      <c r="AN155" s="229">
        <v>8.9999999999999993E-3</v>
      </c>
      <c r="AO155" s="228">
        <v>588.44000000000005</v>
      </c>
      <c r="AP155" s="228">
        <v>591.04</v>
      </c>
      <c r="AQ155" s="228">
        <v>0</v>
      </c>
      <c r="AR155" s="230">
        <v>27475200</v>
      </c>
      <c r="AS155" s="230">
        <v>16662600</v>
      </c>
      <c r="AT155" s="230">
        <v>10812600</v>
      </c>
      <c r="AU155" s="229">
        <v>0.64890000000000003</v>
      </c>
      <c r="AV155" s="230">
        <v>12663000</v>
      </c>
      <c r="AW155" s="230">
        <v>8167500</v>
      </c>
      <c r="AX155" s="230">
        <v>4495500</v>
      </c>
      <c r="AY155" s="229">
        <v>0.5504</v>
      </c>
      <c r="AZ155" s="230">
        <v>14750100</v>
      </c>
      <c r="BA155" s="230">
        <v>8474400</v>
      </c>
      <c r="BB155" s="230">
        <v>6275700</v>
      </c>
      <c r="BC155" s="229">
        <v>0.74050000000000005</v>
      </c>
      <c r="BD155" s="230">
        <v>62100</v>
      </c>
      <c r="BE155" s="230">
        <v>20700</v>
      </c>
      <c r="BF155" s="230">
        <v>41400</v>
      </c>
      <c r="BG155" s="229">
        <v>2</v>
      </c>
      <c r="BH155" s="230">
        <v>5449500</v>
      </c>
      <c r="BI155" s="230">
        <v>5003100</v>
      </c>
      <c r="BJ155" s="230">
        <v>446400</v>
      </c>
      <c r="BK155" s="229">
        <v>8.9200000000000002E-2</v>
      </c>
      <c r="BL155" s="230">
        <v>3079800</v>
      </c>
      <c r="BM155" s="230">
        <v>2245500</v>
      </c>
      <c r="BN155" s="230">
        <v>834300</v>
      </c>
      <c r="BO155" s="229">
        <v>0.3715</v>
      </c>
      <c r="BP155" s="230">
        <v>36004500</v>
      </c>
      <c r="BQ155" s="230">
        <v>23911200</v>
      </c>
      <c r="BR155" s="230">
        <v>12093300</v>
      </c>
      <c r="BS155" s="229">
        <v>0.50580000000000003</v>
      </c>
      <c r="BT155" s="230">
        <v>685399</v>
      </c>
      <c r="BU155" s="230">
        <v>588103</v>
      </c>
      <c r="BV155" s="230">
        <v>97296</v>
      </c>
      <c r="BW155" s="229">
        <v>0.16539999999999999</v>
      </c>
      <c r="BX155" s="230">
        <v>33718500</v>
      </c>
      <c r="BY155" s="230">
        <v>33450300</v>
      </c>
      <c r="BZ155" s="230">
        <v>268200</v>
      </c>
      <c r="CA155" s="229">
        <v>8.0000000000000002E-3</v>
      </c>
      <c r="CB155" s="230">
        <v>9384300</v>
      </c>
      <c r="CC155" s="230">
        <v>19896300</v>
      </c>
      <c r="CD155" s="230">
        <v>-10512000</v>
      </c>
      <c r="CE155" s="229">
        <v>-0.52829999999999999</v>
      </c>
      <c r="CF155" s="230">
        <v>24272100</v>
      </c>
      <c r="CG155" s="230">
        <v>13514400</v>
      </c>
      <c r="CH155" s="230">
        <v>10757700</v>
      </c>
      <c r="CI155" s="229">
        <v>0.79600000000000004</v>
      </c>
      <c r="CJ155" s="230">
        <v>62100</v>
      </c>
      <c r="CK155" s="230">
        <v>39600</v>
      </c>
      <c r="CL155" s="230">
        <v>22500</v>
      </c>
      <c r="CM155" s="229">
        <v>0.56820000000000004</v>
      </c>
      <c r="CN155" s="230">
        <v>5058900</v>
      </c>
      <c r="CO155" s="230">
        <v>5875200</v>
      </c>
      <c r="CP155" s="230">
        <v>-816300</v>
      </c>
      <c r="CQ155" s="229">
        <v>-0.1389</v>
      </c>
      <c r="CR155" s="230">
        <v>2887200</v>
      </c>
      <c r="CS155" s="230">
        <v>2875500</v>
      </c>
      <c r="CT155" s="230">
        <v>11700</v>
      </c>
      <c r="CU155" s="229">
        <v>4.1000000000000003E-3</v>
      </c>
      <c r="CV155" s="230">
        <v>41664600</v>
      </c>
      <c r="CW155" s="230">
        <v>42201000</v>
      </c>
      <c r="CX155" s="230">
        <v>-536400</v>
      </c>
      <c r="CY155" s="229">
        <v>-1.2699999999999999E-2</v>
      </c>
      <c r="CZ155" s="228">
        <v>28.57</v>
      </c>
      <c r="DA155" s="228">
        <v>27.99</v>
      </c>
      <c r="DB155" s="228">
        <v>0.57999999999999996</v>
      </c>
      <c r="DC155" s="228">
        <v>0.57999999999999996</v>
      </c>
      <c r="DD155" s="228">
        <v>33.99</v>
      </c>
      <c r="DE155" s="228">
        <v>34</v>
      </c>
      <c r="DF155" s="228">
        <v>-5.42</v>
      </c>
      <c r="DG155" s="228">
        <v>-0.01</v>
      </c>
      <c r="DH155" s="228">
        <v>28.4</v>
      </c>
      <c r="DI155" s="228">
        <v>27.48</v>
      </c>
      <c r="DJ155" s="228">
        <v>0.92</v>
      </c>
      <c r="DK155" s="228">
        <v>0.92</v>
      </c>
      <c r="DL155" s="228">
        <v>28.74</v>
      </c>
      <c r="DM155" s="228">
        <v>28.52</v>
      </c>
      <c r="DN155" s="228">
        <v>0.22</v>
      </c>
      <c r="DO155" s="228">
        <v>0.22</v>
      </c>
      <c r="DP155" s="228">
        <v>0.56999999999999995</v>
      </c>
      <c r="DQ155" s="228">
        <v>0.49</v>
      </c>
      <c r="DR155" s="228">
        <v>0.08</v>
      </c>
      <c r="DS155" s="229">
        <v>0.1633</v>
      </c>
      <c r="DT155" s="228">
        <v>600</v>
      </c>
      <c r="DU155" s="228">
        <v>570</v>
      </c>
      <c r="DV155" s="228">
        <v>0.56999999999999995</v>
      </c>
      <c r="DW155" s="228">
        <v>0.45</v>
      </c>
      <c r="DX155" s="228">
        <v>0.12</v>
      </c>
      <c r="DY155" s="229">
        <v>0.26669999999999999</v>
      </c>
      <c r="DZ155" s="229">
        <v>0.72170000000000001</v>
      </c>
      <c r="EA155" s="230">
        <v>13554000</v>
      </c>
      <c r="EB155" s="229">
        <v>4.1000000000000003E-3</v>
      </c>
      <c r="EC155" s="229">
        <v>0.72170000000000001</v>
      </c>
      <c r="ED155" s="228">
        <v>2.6</v>
      </c>
      <c r="EE155" s="229">
        <v>4.4000000000000003E-3</v>
      </c>
      <c r="EF155" s="230">
        <v>288187</v>
      </c>
      <c r="EG155" s="230">
        <v>275039</v>
      </c>
      <c r="EH155" s="229">
        <v>4.7800000000000002E-2</v>
      </c>
      <c r="EI155" s="229">
        <v>0.42049999999999998</v>
      </c>
      <c r="EJ155" s="231">
        <v>33007.910000000003</v>
      </c>
      <c r="EK155" s="231">
        <v>18299.939999999999</v>
      </c>
      <c r="EL155" s="231">
        <v>162063.24</v>
      </c>
      <c r="EM155" s="231">
        <v>9657</v>
      </c>
      <c r="EN155" s="231">
        <v>213371.09</v>
      </c>
      <c r="EO155" s="231">
        <v>141126.73000000001</v>
      </c>
      <c r="EP155" s="231">
        <v>72244.36</v>
      </c>
      <c r="EQ155" s="229">
        <v>0.51190000000000002</v>
      </c>
      <c r="ER155" s="231">
        <v>30977</v>
      </c>
      <c r="ES155" s="231">
        <v>16855</v>
      </c>
      <c r="ET155" s="231">
        <v>199874</v>
      </c>
      <c r="EU155" s="231">
        <v>50840137</v>
      </c>
      <c r="EV155" s="231">
        <v>247705</v>
      </c>
      <c r="EW155" s="231">
        <v>247572</v>
      </c>
      <c r="EX155" s="228">
        <v>133</v>
      </c>
      <c r="EY155" s="229">
        <v>5.0000000000000001E-4</v>
      </c>
      <c r="EZ155" s="229">
        <v>0.81950000000000001</v>
      </c>
      <c r="FA155" s="227" t="s">
        <v>555</v>
      </c>
      <c r="FB155" s="161">
        <f t="shared" si="3"/>
        <v>0</v>
      </c>
    </row>
    <row r="156" spans="1:158" ht="17.25" thickBot="1" x14ac:dyDescent="0.3">
      <c r="A156" s="226">
        <v>45957</v>
      </c>
      <c r="B156" s="227" t="s">
        <v>615</v>
      </c>
      <c r="C156" s="227" t="s">
        <v>575</v>
      </c>
      <c r="D156" s="228">
        <v>725</v>
      </c>
      <c r="E156" s="231">
        <v>1304.0999999999999</v>
      </c>
      <c r="F156" s="231">
        <v>1287.7</v>
      </c>
      <c r="G156" s="228">
        <v>16.399999999999999</v>
      </c>
      <c r="H156" s="229">
        <v>1.2699999999999999E-2</v>
      </c>
      <c r="I156" s="231">
        <v>1306.2</v>
      </c>
      <c r="J156" s="231">
        <v>1287</v>
      </c>
      <c r="K156" s="228">
        <v>19.2</v>
      </c>
      <c r="L156" s="229">
        <v>1.49E-2</v>
      </c>
      <c r="M156" s="231">
        <v>1304.0999999999999</v>
      </c>
      <c r="N156" s="231">
        <v>1287.7</v>
      </c>
      <c r="O156" s="228">
        <v>16.399999999999999</v>
      </c>
      <c r="P156" s="229">
        <v>1.2699999999999999E-2</v>
      </c>
      <c r="Q156" s="231">
        <v>1311.5</v>
      </c>
      <c r="R156" s="231">
        <v>1294.8</v>
      </c>
      <c r="S156" s="228">
        <v>16.7</v>
      </c>
      <c r="T156" s="229">
        <v>1.29E-2</v>
      </c>
      <c r="U156" s="231">
        <v>1317.5</v>
      </c>
      <c r="V156" s="231">
        <v>1303.5</v>
      </c>
      <c r="W156" s="228">
        <v>14</v>
      </c>
      <c r="X156" s="229">
        <v>1.0699999999999999E-2</v>
      </c>
      <c r="Y156" s="228">
        <v>-2.1</v>
      </c>
      <c r="Z156" s="228">
        <v>0.7</v>
      </c>
      <c r="AA156" s="228">
        <v>-2.8</v>
      </c>
      <c r="AB156" s="229">
        <v>-1.6000000000000001E-3</v>
      </c>
      <c r="AC156" s="228">
        <v>-2.1</v>
      </c>
      <c r="AD156" s="228">
        <v>0.7</v>
      </c>
      <c r="AE156" s="228">
        <v>-2.8</v>
      </c>
      <c r="AF156" s="229">
        <v>-1.6000000000000001E-3</v>
      </c>
      <c r="AG156" s="228">
        <v>5.3</v>
      </c>
      <c r="AH156" s="228">
        <v>7.8</v>
      </c>
      <c r="AI156" s="228">
        <v>-2.5</v>
      </c>
      <c r="AJ156" s="229">
        <v>4.1000000000000003E-3</v>
      </c>
      <c r="AK156" s="228">
        <v>11.3</v>
      </c>
      <c r="AL156" s="228">
        <v>16.5</v>
      </c>
      <c r="AM156" s="228">
        <v>-5.2</v>
      </c>
      <c r="AN156" s="229">
        <v>8.6999999999999994E-3</v>
      </c>
      <c r="AO156" s="231">
        <v>1296.9000000000001</v>
      </c>
      <c r="AP156" s="231">
        <v>1304.1500000000001</v>
      </c>
      <c r="AQ156" s="228">
        <v>0</v>
      </c>
      <c r="AR156" s="230">
        <v>16704725</v>
      </c>
      <c r="AS156" s="230">
        <v>15130025</v>
      </c>
      <c r="AT156" s="230">
        <v>1574700</v>
      </c>
      <c r="AU156" s="229">
        <v>0.1041</v>
      </c>
      <c r="AV156" s="230">
        <v>7811150</v>
      </c>
      <c r="AW156" s="230">
        <v>7523325</v>
      </c>
      <c r="AX156" s="230">
        <v>287825</v>
      </c>
      <c r="AY156" s="229">
        <v>3.8300000000000001E-2</v>
      </c>
      <c r="AZ156" s="230">
        <v>8665200</v>
      </c>
      <c r="BA156" s="230">
        <v>7595825</v>
      </c>
      <c r="BB156" s="230">
        <v>1069375</v>
      </c>
      <c r="BC156" s="229">
        <v>0.14080000000000001</v>
      </c>
      <c r="BD156" s="230">
        <v>228375</v>
      </c>
      <c r="BE156" s="230">
        <v>10875</v>
      </c>
      <c r="BF156" s="230">
        <v>217500</v>
      </c>
      <c r="BG156" s="229">
        <v>20</v>
      </c>
      <c r="BH156" s="230">
        <v>11776900</v>
      </c>
      <c r="BI156" s="230">
        <v>9400350</v>
      </c>
      <c r="BJ156" s="230">
        <v>2376550</v>
      </c>
      <c r="BK156" s="229">
        <v>0.25280000000000002</v>
      </c>
      <c r="BL156" s="230">
        <v>7563200</v>
      </c>
      <c r="BM156" s="230">
        <v>5923975</v>
      </c>
      <c r="BN156" s="230">
        <v>1639225</v>
      </c>
      <c r="BO156" s="229">
        <v>0.2767</v>
      </c>
      <c r="BP156" s="230">
        <v>36044825</v>
      </c>
      <c r="BQ156" s="230">
        <v>30454350</v>
      </c>
      <c r="BR156" s="230">
        <v>5590475</v>
      </c>
      <c r="BS156" s="229">
        <v>0.18360000000000001</v>
      </c>
      <c r="BT156" s="230">
        <v>3508613</v>
      </c>
      <c r="BU156" s="230">
        <v>1612585</v>
      </c>
      <c r="BV156" s="230">
        <v>1896028</v>
      </c>
      <c r="BW156" s="229">
        <v>1.1758</v>
      </c>
      <c r="BX156" s="230">
        <v>23125325</v>
      </c>
      <c r="BY156" s="230">
        <v>23068775</v>
      </c>
      <c r="BZ156" s="230">
        <v>56550</v>
      </c>
      <c r="CA156" s="229">
        <v>2.5000000000000001E-3</v>
      </c>
      <c r="CB156" s="230">
        <v>3008750</v>
      </c>
      <c r="CC156" s="230">
        <v>9128475</v>
      </c>
      <c r="CD156" s="230">
        <v>-6119725</v>
      </c>
      <c r="CE156" s="229">
        <v>-0.6704</v>
      </c>
      <c r="CF156" s="230">
        <v>19890375</v>
      </c>
      <c r="CG156" s="230">
        <v>13838075</v>
      </c>
      <c r="CH156" s="230">
        <v>6052300</v>
      </c>
      <c r="CI156" s="229">
        <v>0.43740000000000001</v>
      </c>
      <c r="CJ156" s="230">
        <v>226200</v>
      </c>
      <c r="CK156" s="230">
        <v>102225</v>
      </c>
      <c r="CL156" s="230">
        <v>123975</v>
      </c>
      <c r="CM156" s="229">
        <v>1.2128000000000001</v>
      </c>
      <c r="CN156" s="230">
        <v>7414575</v>
      </c>
      <c r="CO156" s="230">
        <v>7508825</v>
      </c>
      <c r="CP156" s="230">
        <v>-94250</v>
      </c>
      <c r="CQ156" s="229">
        <v>-1.26E-2</v>
      </c>
      <c r="CR156" s="230">
        <v>6244425</v>
      </c>
      <c r="CS156" s="230">
        <v>6617800</v>
      </c>
      <c r="CT156" s="230">
        <v>-373375</v>
      </c>
      <c r="CU156" s="229">
        <v>-5.6399999999999999E-2</v>
      </c>
      <c r="CV156" s="230">
        <v>36784325</v>
      </c>
      <c r="CW156" s="230">
        <v>37195400</v>
      </c>
      <c r="CX156" s="230">
        <v>-411075</v>
      </c>
      <c r="CY156" s="229">
        <v>-1.11E-2</v>
      </c>
      <c r="CZ156" s="228">
        <v>40.35</v>
      </c>
      <c r="DA156" s="228">
        <v>39.33</v>
      </c>
      <c r="DB156" s="228">
        <v>1.02</v>
      </c>
      <c r="DC156" s="228">
        <v>1.02</v>
      </c>
      <c r="DD156" s="228">
        <v>55.27</v>
      </c>
      <c r="DE156" s="228">
        <v>55.38</v>
      </c>
      <c r="DF156" s="228">
        <v>-14.92</v>
      </c>
      <c r="DG156" s="228">
        <v>-0.11</v>
      </c>
      <c r="DH156" s="228">
        <v>40.06</v>
      </c>
      <c r="DI156" s="228">
        <v>39.049999999999997</v>
      </c>
      <c r="DJ156" s="228">
        <v>1.01</v>
      </c>
      <c r="DK156" s="228">
        <v>1.01</v>
      </c>
      <c r="DL156" s="228">
        <v>41.03</v>
      </c>
      <c r="DM156" s="228">
        <v>40.01</v>
      </c>
      <c r="DN156" s="228">
        <v>1.02</v>
      </c>
      <c r="DO156" s="228">
        <v>1.02</v>
      </c>
      <c r="DP156" s="228">
        <v>0.84</v>
      </c>
      <c r="DQ156" s="228">
        <v>0.88</v>
      </c>
      <c r="DR156" s="228">
        <v>-0.04</v>
      </c>
      <c r="DS156" s="229">
        <v>-4.5499999999999999E-2</v>
      </c>
      <c r="DT156" s="231">
        <v>1300</v>
      </c>
      <c r="DU156" s="231">
        <v>1100</v>
      </c>
      <c r="DV156" s="228">
        <v>0.64</v>
      </c>
      <c r="DW156" s="228">
        <v>0.63</v>
      </c>
      <c r="DX156" s="228">
        <v>0.01</v>
      </c>
      <c r="DY156" s="229">
        <v>1.5900000000000001E-2</v>
      </c>
      <c r="DZ156" s="229">
        <v>0.86990000000000001</v>
      </c>
      <c r="EA156" s="230">
        <v>13940300</v>
      </c>
      <c r="EB156" s="229">
        <v>5.7000000000000002E-3</v>
      </c>
      <c r="EC156" s="229">
        <v>0.86990000000000001</v>
      </c>
      <c r="ED156" s="228">
        <v>7.25</v>
      </c>
      <c r="EE156" s="229">
        <v>5.5999999999999999E-3</v>
      </c>
      <c r="EF156" s="230">
        <v>2066629</v>
      </c>
      <c r="EG156" s="230">
        <v>650977</v>
      </c>
      <c r="EH156" s="229">
        <v>2.1747000000000001</v>
      </c>
      <c r="EI156" s="229">
        <v>0.58899999999999997</v>
      </c>
      <c r="EJ156" s="231">
        <v>158096.13</v>
      </c>
      <c r="EK156" s="231">
        <v>94678.7</v>
      </c>
      <c r="EL156" s="231">
        <v>217296.78</v>
      </c>
      <c r="EM156" s="231">
        <v>14868</v>
      </c>
      <c r="EN156" s="231">
        <v>470071.61</v>
      </c>
      <c r="EO156" s="231">
        <v>396335.82</v>
      </c>
      <c r="EP156" s="231">
        <v>73735.789999999994</v>
      </c>
      <c r="EQ156" s="229">
        <v>0.186</v>
      </c>
      <c r="ER156" s="231">
        <v>97093</v>
      </c>
      <c r="ES156" s="231">
        <v>75089</v>
      </c>
      <c r="ET156" s="231">
        <v>303080</v>
      </c>
      <c r="EU156" s="231">
        <v>95715382</v>
      </c>
      <c r="EV156" s="231">
        <v>475261</v>
      </c>
      <c r="EW156" s="231">
        <v>475579</v>
      </c>
      <c r="EX156" s="228">
        <v>-318</v>
      </c>
      <c r="EY156" s="229">
        <v>-6.9999999999999999E-4</v>
      </c>
      <c r="EZ156" s="229">
        <v>0.38429999999999997</v>
      </c>
      <c r="FA156" s="227" t="s">
        <v>555</v>
      </c>
      <c r="FB156" s="161">
        <f t="shared" si="3"/>
        <v>0</v>
      </c>
    </row>
    <row r="157" spans="1:158" ht="17.25" thickBot="1" x14ac:dyDescent="0.3">
      <c r="A157" s="226">
        <v>45957</v>
      </c>
      <c r="B157" s="227" t="s">
        <v>221</v>
      </c>
      <c r="C157" s="227" t="s">
        <v>529</v>
      </c>
      <c r="D157" s="228">
        <v>100</v>
      </c>
      <c r="E157" s="231">
        <v>5882.4</v>
      </c>
      <c r="F157" s="231">
        <v>5831.3</v>
      </c>
      <c r="G157" s="228">
        <v>51.1</v>
      </c>
      <c r="H157" s="229">
        <v>8.8000000000000005E-3</v>
      </c>
      <c r="I157" s="231">
        <v>5878.1</v>
      </c>
      <c r="J157" s="231">
        <v>5826</v>
      </c>
      <c r="K157" s="228">
        <v>52.1</v>
      </c>
      <c r="L157" s="229">
        <v>8.8999999999999999E-3</v>
      </c>
      <c r="M157" s="231">
        <v>5882.4</v>
      </c>
      <c r="N157" s="231">
        <v>5831.3</v>
      </c>
      <c r="O157" s="228">
        <v>51.1</v>
      </c>
      <c r="P157" s="229">
        <v>8.8000000000000005E-3</v>
      </c>
      <c r="Q157" s="231">
        <v>5914.6</v>
      </c>
      <c r="R157" s="231">
        <v>5862</v>
      </c>
      <c r="S157" s="228">
        <v>52.6</v>
      </c>
      <c r="T157" s="229">
        <v>8.9999999999999993E-3</v>
      </c>
      <c r="U157" s="231">
        <v>5949</v>
      </c>
      <c r="V157" s="231">
        <v>5898.6</v>
      </c>
      <c r="W157" s="228">
        <v>50.4</v>
      </c>
      <c r="X157" s="229">
        <v>8.5000000000000006E-3</v>
      </c>
      <c r="Y157" s="228">
        <v>4.3</v>
      </c>
      <c r="Z157" s="228">
        <v>5.3</v>
      </c>
      <c r="AA157" s="228">
        <v>-1</v>
      </c>
      <c r="AB157" s="229">
        <v>6.9999999999999999E-4</v>
      </c>
      <c r="AC157" s="228">
        <v>4.3</v>
      </c>
      <c r="AD157" s="228">
        <v>5.3</v>
      </c>
      <c r="AE157" s="228">
        <v>-1</v>
      </c>
      <c r="AF157" s="229">
        <v>6.9999999999999999E-4</v>
      </c>
      <c r="AG157" s="228">
        <v>36.5</v>
      </c>
      <c r="AH157" s="228">
        <v>36</v>
      </c>
      <c r="AI157" s="228">
        <v>0.5</v>
      </c>
      <c r="AJ157" s="229">
        <v>6.1999999999999998E-3</v>
      </c>
      <c r="AK157" s="228">
        <v>70.900000000000006</v>
      </c>
      <c r="AL157" s="228">
        <v>72.599999999999994</v>
      </c>
      <c r="AM157" s="228">
        <v>-1.7</v>
      </c>
      <c r="AN157" s="229">
        <v>1.21E-2</v>
      </c>
      <c r="AO157" s="231">
        <v>5880.8</v>
      </c>
      <c r="AP157" s="231">
        <v>5912.91</v>
      </c>
      <c r="AQ157" s="228">
        <v>0</v>
      </c>
      <c r="AR157" s="230">
        <v>1914600</v>
      </c>
      <c r="AS157" s="230">
        <v>2446100</v>
      </c>
      <c r="AT157" s="230">
        <v>-531500</v>
      </c>
      <c r="AU157" s="229">
        <v>-0.21729999999999999</v>
      </c>
      <c r="AV157" s="230">
        <v>938700</v>
      </c>
      <c r="AW157" s="230">
        <v>1279200</v>
      </c>
      <c r="AX157" s="230">
        <v>-340500</v>
      </c>
      <c r="AY157" s="229">
        <v>-0.26619999999999999</v>
      </c>
      <c r="AZ157" s="230">
        <v>961000</v>
      </c>
      <c r="BA157" s="230">
        <v>1158300</v>
      </c>
      <c r="BB157" s="230">
        <v>-197300</v>
      </c>
      <c r="BC157" s="229">
        <v>-0.17030000000000001</v>
      </c>
      <c r="BD157" s="230">
        <v>14900</v>
      </c>
      <c r="BE157" s="230">
        <v>8600</v>
      </c>
      <c r="BF157" s="230">
        <v>6300</v>
      </c>
      <c r="BG157" s="229">
        <v>0.73260000000000003</v>
      </c>
      <c r="BH157" s="230">
        <v>2283000</v>
      </c>
      <c r="BI157" s="230">
        <v>3500300</v>
      </c>
      <c r="BJ157" s="230">
        <v>-1217300</v>
      </c>
      <c r="BK157" s="229">
        <v>-0.3478</v>
      </c>
      <c r="BL157" s="230">
        <v>2040400</v>
      </c>
      <c r="BM157" s="230">
        <v>2221600</v>
      </c>
      <c r="BN157" s="230">
        <v>-181200</v>
      </c>
      <c r="BO157" s="229">
        <v>-8.1600000000000006E-2</v>
      </c>
      <c r="BP157" s="230">
        <v>6238000</v>
      </c>
      <c r="BQ157" s="230">
        <v>8168000</v>
      </c>
      <c r="BR157" s="230">
        <v>-1930000</v>
      </c>
      <c r="BS157" s="229">
        <v>-0.23630000000000001</v>
      </c>
      <c r="BT157" s="230">
        <v>239922</v>
      </c>
      <c r="BU157" s="230">
        <v>401422</v>
      </c>
      <c r="BV157" s="230">
        <v>-161500</v>
      </c>
      <c r="BW157" s="229">
        <v>-0.40229999999999999</v>
      </c>
      <c r="BX157" s="230">
        <v>3000200</v>
      </c>
      <c r="BY157" s="230">
        <v>3065600</v>
      </c>
      <c r="BZ157" s="230">
        <v>-65400</v>
      </c>
      <c r="CA157" s="229">
        <v>-2.1299999999999999E-2</v>
      </c>
      <c r="CB157" s="230">
        <v>677300</v>
      </c>
      <c r="CC157" s="230">
        <v>1391500</v>
      </c>
      <c r="CD157" s="230">
        <v>-714200</v>
      </c>
      <c r="CE157" s="229">
        <v>-0.51329999999999998</v>
      </c>
      <c r="CF157" s="230">
        <v>2301800</v>
      </c>
      <c r="CG157" s="230">
        <v>1656800</v>
      </c>
      <c r="CH157" s="230">
        <v>645000</v>
      </c>
      <c r="CI157" s="229">
        <v>0.38929999999999998</v>
      </c>
      <c r="CJ157" s="230">
        <v>21100</v>
      </c>
      <c r="CK157" s="230">
        <v>17300</v>
      </c>
      <c r="CL157" s="230">
        <v>3800</v>
      </c>
      <c r="CM157" s="229">
        <v>0.21970000000000001</v>
      </c>
      <c r="CN157" s="230">
        <v>1308600</v>
      </c>
      <c r="CO157" s="230">
        <v>1522300</v>
      </c>
      <c r="CP157" s="230">
        <v>-213700</v>
      </c>
      <c r="CQ157" s="229">
        <v>-0.1404</v>
      </c>
      <c r="CR157" s="230">
        <v>1226400</v>
      </c>
      <c r="CS157" s="230">
        <v>1555700</v>
      </c>
      <c r="CT157" s="230">
        <v>-329300</v>
      </c>
      <c r="CU157" s="229">
        <v>-0.2117</v>
      </c>
      <c r="CV157" s="230">
        <v>5535200</v>
      </c>
      <c r="CW157" s="230">
        <v>6143600</v>
      </c>
      <c r="CX157" s="230">
        <v>-608400</v>
      </c>
      <c r="CY157" s="229">
        <v>-9.9000000000000005E-2</v>
      </c>
      <c r="CZ157" s="228">
        <v>29.06</v>
      </c>
      <c r="DA157" s="228">
        <v>29.59</v>
      </c>
      <c r="DB157" s="228">
        <v>-0.53</v>
      </c>
      <c r="DC157" s="228">
        <v>-0.53</v>
      </c>
      <c r="DD157" s="228">
        <v>41.95</v>
      </c>
      <c r="DE157" s="228">
        <v>42.04</v>
      </c>
      <c r="DF157" s="228">
        <v>-12.89</v>
      </c>
      <c r="DG157" s="228">
        <v>-0.09</v>
      </c>
      <c r="DH157" s="228">
        <v>29.08</v>
      </c>
      <c r="DI157" s="228">
        <v>29.71</v>
      </c>
      <c r="DJ157" s="228">
        <v>-0.63</v>
      </c>
      <c r="DK157" s="228">
        <v>-0.63</v>
      </c>
      <c r="DL157" s="228">
        <v>29.03</v>
      </c>
      <c r="DM157" s="228">
        <v>29.34</v>
      </c>
      <c r="DN157" s="228">
        <v>-0.31</v>
      </c>
      <c r="DO157" s="228">
        <v>-0.31</v>
      </c>
      <c r="DP157" s="228">
        <v>0.94</v>
      </c>
      <c r="DQ157" s="228">
        <v>1.02</v>
      </c>
      <c r="DR157" s="228">
        <v>-0.08</v>
      </c>
      <c r="DS157" s="229">
        <v>-7.8399999999999997E-2</v>
      </c>
      <c r="DT157" s="231">
        <v>6000</v>
      </c>
      <c r="DU157" s="231">
        <v>5500</v>
      </c>
      <c r="DV157" s="228">
        <v>0.89</v>
      </c>
      <c r="DW157" s="228">
        <v>0.63</v>
      </c>
      <c r="DX157" s="228">
        <v>0.26</v>
      </c>
      <c r="DY157" s="229">
        <v>0.41270000000000001</v>
      </c>
      <c r="DZ157" s="229">
        <v>0.7742</v>
      </c>
      <c r="EA157" s="230">
        <v>1674100</v>
      </c>
      <c r="EB157" s="229">
        <v>5.4999999999999997E-3</v>
      </c>
      <c r="EC157" s="229">
        <v>0.7742</v>
      </c>
      <c r="ED157" s="228">
        <v>32.11</v>
      </c>
      <c r="EE157" s="229">
        <v>5.4999999999999997E-3</v>
      </c>
      <c r="EF157" s="230">
        <v>98951</v>
      </c>
      <c r="EG157" s="230">
        <v>184583</v>
      </c>
      <c r="EH157" s="229">
        <v>-0.46389999999999998</v>
      </c>
      <c r="EI157" s="229">
        <v>0.41239999999999999</v>
      </c>
      <c r="EJ157" s="231">
        <v>138171.85999999999</v>
      </c>
      <c r="EK157" s="231">
        <v>114192.16</v>
      </c>
      <c r="EL157" s="231">
        <v>112913.12</v>
      </c>
      <c r="EM157" s="231">
        <v>12812</v>
      </c>
      <c r="EN157" s="231">
        <v>365277.14</v>
      </c>
      <c r="EO157" s="231">
        <v>481982.45</v>
      </c>
      <c r="EP157" s="231">
        <v>-116705.31</v>
      </c>
      <c r="EQ157" s="229">
        <v>-0.24210000000000001</v>
      </c>
      <c r="ER157" s="231">
        <v>76742</v>
      </c>
      <c r="ES157" s="231">
        <v>66241</v>
      </c>
      <c r="ET157" s="231">
        <v>177239</v>
      </c>
      <c r="EU157" s="231">
        <v>16151851</v>
      </c>
      <c r="EV157" s="231">
        <v>320222</v>
      </c>
      <c r="EW157" s="231">
        <v>351756</v>
      </c>
      <c r="EX157" s="231">
        <v>-31534</v>
      </c>
      <c r="EY157" s="229">
        <v>-8.9599999999999999E-2</v>
      </c>
      <c r="EZ157" s="229">
        <v>0.3427</v>
      </c>
      <c r="FA157" s="227" t="s">
        <v>556</v>
      </c>
      <c r="FB157" s="161">
        <f t="shared" si="3"/>
        <v>0</v>
      </c>
    </row>
    <row r="158" spans="1:158" ht="17.25" thickBot="1" x14ac:dyDescent="0.3">
      <c r="A158" s="226">
        <v>45957</v>
      </c>
      <c r="B158" s="227" t="s">
        <v>193</v>
      </c>
      <c r="C158" s="227" t="s">
        <v>272</v>
      </c>
      <c r="D158" s="228">
        <v>1800</v>
      </c>
      <c r="E158" s="228">
        <v>280.3</v>
      </c>
      <c r="F158" s="228">
        <v>280.7</v>
      </c>
      <c r="G158" s="228">
        <v>-0.4</v>
      </c>
      <c r="H158" s="229">
        <v>-1.4E-3</v>
      </c>
      <c r="I158" s="228">
        <v>280.10000000000002</v>
      </c>
      <c r="J158" s="228">
        <v>281.05</v>
      </c>
      <c r="K158" s="228">
        <v>-0.95</v>
      </c>
      <c r="L158" s="229">
        <v>-3.3999999999999998E-3</v>
      </c>
      <c r="M158" s="228">
        <v>280.3</v>
      </c>
      <c r="N158" s="228">
        <v>280.7</v>
      </c>
      <c r="O158" s="228">
        <v>-0.4</v>
      </c>
      <c r="P158" s="229">
        <v>-1.4E-3</v>
      </c>
      <c r="Q158" s="228">
        <v>281.89999999999998</v>
      </c>
      <c r="R158" s="228">
        <v>282.2</v>
      </c>
      <c r="S158" s="228">
        <v>-0.3</v>
      </c>
      <c r="T158" s="229">
        <v>-1.1000000000000001E-3</v>
      </c>
      <c r="U158" s="228">
        <v>283.3</v>
      </c>
      <c r="V158" s="228">
        <v>283.85000000000002</v>
      </c>
      <c r="W158" s="228">
        <v>-0.55000000000000004</v>
      </c>
      <c r="X158" s="229">
        <v>-1.9E-3</v>
      </c>
      <c r="Y158" s="228">
        <v>0.2</v>
      </c>
      <c r="Z158" s="228">
        <v>-0.35</v>
      </c>
      <c r="AA158" s="228">
        <v>0.55000000000000004</v>
      </c>
      <c r="AB158" s="229">
        <v>6.9999999999999999E-4</v>
      </c>
      <c r="AC158" s="228">
        <v>0.2</v>
      </c>
      <c r="AD158" s="228">
        <v>-0.35</v>
      </c>
      <c r="AE158" s="228">
        <v>0.55000000000000004</v>
      </c>
      <c r="AF158" s="229">
        <v>6.9999999999999999E-4</v>
      </c>
      <c r="AG158" s="228">
        <v>1.8</v>
      </c>
      <c r="AH158" s="228">
        <v>1.1499999999999999</v>
      </c>
      <c r="AI158" s="228">
        <v>0.65</v>
      </c>
      <c r="AJ158" s="229">
        <v>6.4000000000000003E-3</v>
      </c>
      <c r="AK158" s="228">
        <v>3.2</v>
      </c>
      <c r="AL158" s="228">
        <v>2.8</v>
      </c>
      <c r="AM158" s="228">
        <v>0.4</v>
      </c>
      <c r="AN158" s="229">
        <v>1.14E-2</v>
      </c>
      <c r="AO158" s="228">
        <v>280.27999999999997</v>
      </c>
      <c r="AP158" s="228">
        <v>281.83999999999997</v>
      </c>
      <c r="AQ158" s="228">
        <v>0</v>
      </c>
      <c r="AR158" s="230">
        <v>26031600</v>
      </c>
      <c r="AS158" s="230">
        <v>30641400</v>
      </c>
      <c r="AT158" s="230">
        <v>-4609800</v>
      </c>
      <c r="AU158" s="229">
        <v>-0.15040000000000001</v>
      </c>
      <c r="AV158" s="230">
        <v>12803400</v>
      </c>
      <c r="AW158" s="230">
        <v>15687000</v>
      </c>
      <c r="AX158" s="230">
        <v>-2883600</v>
      </c>
      <c r="AY158" s="229">
        <v>-0.18379999999999999</v>
      </c>
      <c r="AZ158" s="230">
        <v>13152600</v>
      </c>
      <c r="BA158" s="230">
        <v>14875200</v>
      </c>
      <c r="BB158" s="230">
        <v>-1722600</v>
      </c>
      <c r="BC158" s="229">
        <v>-0.1158</v>
      </c>
      <c r="BD158" s="230">
        <v>75600</v>
      </c>
      <c r="BE158" s="230">
        <v>79200</v>
      </c>
      <c r="BF158" s="230">
        <v>-3600</v>
      </c>
      <c r="BG158" s="229">
        <v>-4.5499999999999999E-2</v>
      </c>
      <c r="BH158" s="230">
        <v>11619000</v>
      </c>
      <c r="BI158" s="230">
        <v>16534800</v>
      </c>
      <c r="BJ158" s="230">
        <v>-4915800</v>
      </c>
      <c r="BK158" s="229">
        <v>-0.29730000000000001</v>
      </c>
      <c r="BL158" s="230">
        <v>9136800</v>
      </c>
      <c r="BM158" s="230">
        <v>7963200</v>
      </c>
      <c r="BN158" s="230">
        <v>1173600</v>
      </c>
      <c r="BO158" s="229">
        <v>0.1474</v>
      </c>
      <c r="BP158" s="230">
        <v>46787400</v>
      </c>
      <c r="BQ158" s="230">
        <v>55139400</v>
      </c>
      <c r="BR158" s="230">
        <v>-8352000</v>
      </c>
      <c r="BS158" s="229">
        <v>-0.1515</v>
      </c>
      <c r="BT158" s="230">
        <v>1076421</v>
      </c>
      <c r="BU158" s="230">
        <v>2601470</v>
      </c>
      <c r="BV158" s="230">
        <v>-1525049</v>
      </c>
      <c r="BW158" s="229">
        <v>-0.58620000000000005</v>
      </c>
      <c r="BX158" s="230">
        <v>43747200</v>
      </c>
      <c r="BY158" s="230">
        <v>43221600</v>
      </c>
      <c r="BZ158" s="230">
        <v>525600</v>
      </c>
      <c r="CA158" s="229">
        <v>1.2200000000000001E-2</v>
      </c>
      <c r="CB158" s="230">
        <v>4750200</v>
      </c>
      <c r="CC158" s="230">
        <v>14920200</v>
      </c>
      <c r="CD158" s="230">
        <v>-10170000</v>
      </c>
      <c r="CE158" s="229">
        <v>-0.68159999999999998</v>
      </c>
      <c r="CF158" s="230">
        <v>38745000</v>
      </c>
      <c r="CG158" s="230">
        <v>28094400</v>
      </c>
      <c r="CH158" s="230">
        <v>10650600</v>
      </c>
      <c r="CI158" s="229">
        <v>0.37909999999999999</v>
      </c>
      <c r="CJ158" s="230">
        <v>252000</v>
      </c>
      <c r="CK158" s="230">
        <v>207000</v>
      </c>
      <c r="CL158" s="230">
        <v>45000</v>
      </c>
      <c r="CM158" s="229">
        <v>0.21740000000000001</v>
      </c>
      <c r="CN158" s="230">
        <v>15465600</v>
      </c>
      <c r="CO158" s="230">
        <v>14778000</v>
      </c>
      <c r="CP158" s="230">
        <v>687600</v>
      </c>
      <c r="CQ158" s="229">
        <v>4.65E-2</v>
      </c>
      <c r="CR158" s="230">
        <v>16907400</v>
      </c>
      <c r="CS158" s="230">
        <v>16097400</v>
      </c>
      <c r="CT158" s="230">
        <v>810000</v>
      </c>
      <c r="CU158" s="229">
        <v>5.0299999999999997E-2</v>
      </c>
      <c r="CV158" s="230">
        <v>76120200</v>
      </c>
      <c r="CW158" s="230">
        <v>74097000</v>
      </c>
      <c r="CX158" s="230">
        <v>2023200</v>
      </c>
      <c r="CY158" s="229">
        <v>2.7300000000000001E-2</v>
      </c>
      <c r="CZ158" s="228">
        <v>24.62</v>
      </c>
      <c r="DA158" s="228">
        <v>24.26</v>
      </c>
      <c r="DB158" s="228">
        <v>0.36</v>
      </c>
      <c r="DC158" s="228">
        <v>0.36</v>
      </c>
      <c r="DD158" s="228">
        <v>32.51</v>
      </c>
      <c r="DE158" s="228">
        <v>32.590000000000003</v>
      </c>
      <c r="DF158" s="228">
        <v>-7.89</v>
      </c>
      <c r="DG158" s="228">
        <v>-0.08</v>
      </c>
      <c r="DH158" s="228">
        <v>22.9</v>
      </c>
      <c r="DI158" s="228">
        <v>24.08</v>
      </c>
      <c r="DJ158" s="228">
        <v>-1.18</v>
      </c>
      <c r="DK158" s="228">
        <v>-1.18</v>
      </c>
      <c r="DL158" s="228">
        <v>27.02</v>
      </c>
      <c r="DM158" s="228">
        <v>24.6</v>
      </c>
      <c r="DN158" s="228">
        <v>2.42</v>
      </c>
      <c r="DO158" s="228">
        <v>2.42</v>
      </c>
      <c r="DP158" s="228">
        <v>1.0900000000000001</v>
      </c>
      <c r="DQ158" s="228">
        <v>1.0900000000000001</v>
      </c>
      <c r="DR158" s="228">
        <v>0</v>
      </c>
      <c r="DS158" s="229">
        <v>0</v>
      </c>
      <c r="DT158" s="228">
        <v>290</v>
      </c>
      <c r="DU158" s="228">
        <v>270</v>
      </c>
      <c r="DV158" s="228">
        <v>0.79</v>
      </c>
      <c r="DW158" s="228">
        <v>0.48</v>
      </c>
      <c r="DX158" s="228">
        <v>0.31</v>
      </c>
      <c r="DY158" s="229">
        <v>0.64580000000000004</v>
      </c>
      <c r="DZ158" s="229">
        <v>0.89139999999999997</v>
      </c>
      <c r="EA158" s="230">
        <v>28301400</v>
      </c>
      <c r="EB158" s="229">
        <v>5.7000000000000002E-3</v>
      </c>
      <c r="EC158" s="229">
        <v>0.89139999999999997</v>
      </c>
      <c r="ED158" s="228">
        <v>1.56</v>
      </c>
      <c r="EE158" s="229">
        <v>5.5999999999999999E-3</v>
      </c>
      <c r="EF158" s="230">
        <v>729316</v>
      </c>
      <c r="EG158" s="230">
        <v>1738217</v>
      </c>
      <c r="EH158" s="229">
        <v>-0.58040000000000003</v>
      </c>
      <c r="EI158" s="229">
        <v>0.67749999999999999</v>
      </c>
      <c r="EJ158" s="231">
        <v>34666.1</v>
      </c>
      <c r="EK158" s="231">
        <v>28021.200000000001</v>
      </c>
      <c r="EL158" s="231">
        <v>73169.09</v>
      </c>
      <c r="EM158" s="231">
        <v>8699</v>
      </c>
      <c r="EN158" s="231">
        <v>135856.39000000001</v>
      </c>
      <c r="EO158" s="231">
        <v>156563.79</v>
      </c>
      <c r="EP158" s="231">
        <v>-20707.400000000001</v>
      </c>
      <c r="EQ158" s="229">
        <v>-0.1323</v>
      </c>
      <c r="ER158" s="231">
        <v>45491</v>
      </c>
      <c r="ES158" s="231">
        <v>47504</v>
      </c>
      <c r="ET158" s="231">
        <v>123251</v>
      </c>
      <c r="EU158" s="231">
        <v>93668136</v>
      </c>
      <c r="EV158" s="231">
        <v>216246</v>
      </c>
      <c r="EW158" s="231">
        <v>210104</v>
      </c>
      <c r="EX158" s="231">
        <v>6142</v>
      </c>
      <c r="EY158" s="229">
        <v>2.92E-2</v>
      </c>
      <c r="EZ158" s="229">
        <v>0.81269999999999998</v>
      </c>
      <c r="FA158" s="227" t="s">
        <v>567</v>
      </c>
      <c r="FB158" s="161">
        <f t="shared" si="3"/>
        <v>0</v>
      </c>
    </row>
    <row r="159" spans="1:158" ht="17.25" thickBot="1" x14ac:dyDescent="0.3">
      <c r="A159" s="226">
        <v>45957</v>
      </c>
      <c r="B159" s="227" t="s">
        <v>175</v>
      </c>
      <c r="C159" s="227" t="s">
        <v>273</v>
      </c>
      <c r="D159" s="228">
        <v>1300</v>
      </c>
      <c r="E159" s="228">
        <v>397.2</v>
      </c>
      <c r="F159" s="228">
        <v>393.6</v>
      </c>
      <c r="G159" s="228">
        <v>3.6</v>
      </c>
      <c r="H159" s="229">
        <v>9.1000000000000004E-3</v>
      </c>
      <c r="I159" s="228">
        <v>396.9</v>
      </c>
      <c r="J159" s="228">
        <v>393.6</v>
      </c>
      <c r="K159" s="228">
        <v>3.3</v>
      </c>
      <c r="L159" s="229">
        <v>8.3999999999999995E-3</v>
      </c>
      <c r="M159" s="228">
        <v>397.2</v>
      </c>
      <c r="N159" s="228">
        <v>393.6</v>
      </c>
      <c r="O159" s="228">
        <v>3.6</v>
      </c>
      <c r="P159" s="229">
        <v>9.1000000000000004E-3</v>
      </c>
      <c r="Q159" s="228">
        <v>397.55</v>
      </c>
      <c r="R159" s="228">
        <v>393.25</v>
      </c>
      <c r="S159" s="228">
        <v>4.3</v>
      </c>
      <c r="T159" s="229">
        <v>1.09E-2</v>
      </c>
      <c r="U159" s="228">
        <v>398.35</v>
      </c>
      <c r="V159" s="228">
        <v>394.85</v>
      </c>
      <c r="W159" s="228">
        <v>3.5</v>
      </c>
      <c r="X159" s="229">
        <v>8.8999999999999999E-3</v>
      </c>
      <c r="Y159" s="228">
        <v>0.3</v>
      </c>
      <c r="Z159" s="228">
        <v>0</v>
      </c>
      <c r="AA159" s="228">
        <v>0.3</v>
      </c>
      <c r="AB159" s="229">
        <v>8.0000000000000004E-4</v>
      </c>
      <c r="AC159" s="228">
        <v>0.3</v>
      </c>
      <c r="AD159" s="228">
        <v>0</v>
      </c>
      <c r="AE159" s="228">
        <v>0.3</v>
      </c>
      <c r="AF159" s="229">
        <v>8.0000000000000004E-4</v>
      </c>
      <c r="AG159" s="228">
        <v>0.65</v>
      </c>
      <c r="AH159" s="228">
        <v>-0.35</v>
      </c>
      <c r="AI159" s="228">
        <v>1</v>
      </c>
      <c r="AJ159" s="229">
        <v>1.6000000000000001E-3</v>
      </c>
      <c r="AK159" s="228">
        <v>1.45</v>
      </c>
      <c r="AL159" s="228">
        <v>1.25</v>
      </c>
      <c r="AM159" s="228">
        <v>0.2</v>
      </c>
      <c r="AN159" s="229">
        <v>3.7000000000000002E-3</v>
      </c>
      <c r="AO159" s="228">
        <v>395.56</v>
      </c>
      <c r="AP159" s="228">
        <v>395.49</v>
      </c>
      <c r="AQ159" s="228">
        <v>0</v>
      </c>
      <c r="AR159" s="230">
        <v>35594000</v>
      </c>
      <c r="AS159" s="230">
        <v>27076400</v>
      </c>
      <c r="AT159" s="230">
        <v>8517600</v>
      </c>
      <c r="AU159" s="229">
        <v>0.31459999999999999</v>
      </c>
      <c r="AV159" s="230">
        <v>16877900</v>
      </c>
      <c r="AW159" s="230">
        <v>12723100</v>
      </c>
      <c r="AX159" s="230">
        <v>4154800</v>
      </c>
      <c r="AY159" s="229">
        <v>0.3266</v>
      </c>
      <c r="AZ159" s="230">
        <v>18096000</v>
      </c>
      <c r="BA159" s="230">
        <v>13822900</v>
      </c>
      <c r="BB159" s="230">
        <v>4273100</v>
      </c>
      <c r="BC159" s="229">
        <v>0.30909999999999999</v>
      </c>
      <c r="BD159" s="230">
        <v>620100</v>
      </c>
      <c r="BE159" s="230">
        <v>530400</v>
      </c>
      <c r="BF159" s="230">
        <v>89700</v>
      </c>
      <c r="BG159" s="229">
        <v>0.1691</v>
      </c>
      <c r="BH159" s="230">
        <v>24485500</v>
      </c>
      <c r="BI159" s="230">
        <v>23457200</v>
      </c>
      <c r="BJ159" s="230">
        <v>1028300</v>
      </c>
      <c r="BK159" s="229">
        <v>4.3799999999999999E-2</v>
      </c>
      <c r="BL159" s="230">
        <v>16754400</v>
      </c>
      <c r="BM159" s="230">
        <v>13995800</v>
      </c>
      <c r="BN159" s="230">
        <v>2758600</v>
      </c>
      <c r="BO159" s="229">
        <v>0.1971</v>
      </c>
      <c r="BP159" s="230">
        <v>76833900</v>
      </c>
      <c r="BQ159" s="230">
        <v>64529400</v>
      </c>
      <c r="BR159" s="230">
        <v>12304500</v>
      </c>
      <c r="BS159" s="229">
        <v>0.19070000000000001</v>
      </c>
      <c r="BT159" s="230">
        <v>3429233</v>
      </c>
      <c r="BU159" s="230">
        <v>3486741</v>
      </c>
      <c r="BV159" s="230">
        <v>-57508</v>
      </c>
      <c r="BW159" s="229">
        <v>-1.6500000000000001E-2</v>
      </c>
      <c r="BX159" s="230">
        <v>62792600</v>
      </c>
      <c r="BY159" s="230">
        <v>62621000</v>
      </c>
      <c r="BZ159" s="230">
        <v>171600</v>
      </c>
      <c r="CA159" s="229">
        <v>2.7000000000000001E-3</v>
      </c>
      <c r="CB159" s="230">
        <v>18584800</v>
      </c>
      <c r="CC159" s="230">
        <v>29907800</v>
      </c>
      <c r="CD159" s="230">
        <v>-11323000</v>
      </c>
      <c r="CE159" s="229">
        <v>-0.37859999999999999</v>
      </c>
      <c r="CF159" s="230">
        <v>42802500</v>
      </c>
      <c r="CG159" s="230">
        <v>31532800</v>
      </c>
      <c r="CH159" s="230">
        <v>11269700</v>
      </c>
      <c r="CI159" s="229">
        <v>0.3574</v>
      </c>
      <c r="CJ159" s="230">
        <v>1405300</v>
      </c>
      <c r="CK159" s="230">
        <v>1180400</v>
      </c>
      <c r="CL159" s="230">
        <v>224900</v>
      </c>
      <c r="CM159" s="229">
        <v>0.1905</v>
      </c>
      <c r="CN159" s="230">
        <v>27072500</v>
      </c>
      <c r="CO159" s="230">
        <v>28031900</v>
      </c>
      <c r="CP159" s="230">
        <v>-959400</v>
      </c>
      <c r="CQ159" s="229">
        <v>-3.4200000000000001E-2</v>
      </c>
      <c r="CR159" s="230">
        <v>22583600</v>
      </c>
      <c r="CS159" s="230">
        <v>22695400</v>
      </c>
      <c r="CT159" s="230">
        <v>-111800</v>
      </c>
      <c r="CU159" s="229">
        <v>-4.8999999999999998E-3</v>
      </c>
      <c r="CV159" s="230">
        <v>112448700</v>
      </c>
      <c r="CW159" s="230">
        <v>113348300</v>
      </c>
      <c r="CX159" s="230">
        <v>-899600</v>
      </c>
      <c r="CY159" s="229">
        <v>-7.9000000000000008E-3</v>
      </c>
      <c r="CZ159" s="228">
        <v>25.16</v>
      </c>
      <c r="DA159" s="228">
        <v>25.61</v>
      </c>
      <c r="DB159" s="228">
        <v>-0.45</v>
      </c>
      <c r="DC159" s="228">
        <v>-0.45</v>
      </c>
      <c r="DD159" s="228">
        <v>44.01</v>
      </c>
      <c r="DE159" s="228">
        <v>44.11</v>
      </c>
      <c r="DF159" s="228">
        <v>-18.850000000000001</v>
      </c>
      <c r="DG159" s="228">
        <v>-0.1</v>
      </c>
      <c r="DH159" s="228">
        <v>24.8</v>
      </c>
      <c r="DI159" s="228">
        <v>25.86</v>
      </c>
      <c r="DJ159" s="228">
        <v>-1.06</v>
      </c>
      <c r="DK159" s="228">
        <v>-1.06</v>
      </c>
      <c r="DL159" s="228">
        <v>25.67</v>
      </c>
      <c r="DM159" s="228">
        <v>25.29</v>
      </c>
      <c r="DN159" s="228">
        <v>0.38</v>
      </c>
      <c r="DO159" s="228">
        <v>0.38</v>
      </c>
      <c r="DP159" s="228">
        <v>0.83</v>
      </c>
      <c r="DQ159" s="228">
        <v>0.81</v>
      </c>
      <c r="DR159" s="228">
        <v>0.02</v>
      </c>
      <c r="DS159" s="229">
        <v>2.47E-2</v>
      </c>
      <c r="DT159" s="228">
        <v>400</v>
      </c>
      <c r="DU159" s="228">
        <v>400</v>
      </c>
      <c r="DV159" s="228">
        <v>0.68</v>
      </c>
      <c r="DW159" s="228">
        <v>0.6</v>
      </c>
      <c r="DX159" s="228">
        <v>0.08</v>
      </c>
      <c r="DY159" s="229">
        <v>0.1333</v>
      </c>
      <c r="DZ159" s="229">
        <v>0.70399999999999996</v>
      </c>
      <c r="EA159" s="230">
        <v>32713200</v>
      </c>
      <c r="EB159" s="229">
        <v>8.9999999999999998E-4</v>
      </c>
      <c r="EC159" s="229">
        <v>0.70399999999999996</v>
      </c>
      <c r="ED159" s="228">
        <v>-7.0000000000000007E-2</v>
      </c>
      <c r="EE159" s="229">
        <v>-2.0000000000000001E-4</v>
      </c>
      <c r="EF159" s="230">
        <v>2097445</v>
      </c>
      <c r="EG159" s="230">
        <v>2234042</v>
      </c>
      <c r="EH159" s="229">
        <v>-6.1100000000000002E-2</v>
      </c>
      <c r="EI159" s="229">
        <v>0.61160000000000003</v>
      </c>
      <c r="EJ159" s="231">
        <v>100697.22</v>
      </c>
      <c r="EK159" s="231">
        <v>68203.12</v>
      </c>
      <c r="EL159" s="231">
        <v>140789.37</v>
      </c>
      <c r="EM159" s="231">
        <v>13556</v>
      </c>
      <c r="EN159" s="231">
        <v>309689.71000000002</v>
      </c>
      <c r="EO159" s="231">
        <v>259497.92</v>
      </c>
      <c r="EP159" s="231">
        <v>50191.79</v>
      </c>
      <c r="EQ159" s="229">
        <v>0.19339999999999999</v>
      </c>
      <c r="ER159" s="231">
        <v>112386</v>
      </c>
      <c r="ES159" s="231">
        <v>90087</v>
      </c>
      <c r="ET159" s="231">
        <v>249578</v>
      </c>
      <c r="EU159" s="231">
        <v>203602113</v>
      </c>
      <c r="EV159" s="231">
        <v>452051</v>
      </c>
      <c r="EW159" s="231">
        <v>453514</v>
      </c>
      <c r="EX159" s="231">
        <v>-1463</v>
      </c>
      <c r="EY159" s="229">
        <v>-3.2000000000000002E-3</v>
      </c>
      <c r="EZ159" s="229">
        <v>0.55230000000000001</v>
      </c>
      <c r="FA159" s="227" t="s">
        <v>555</v>
      </c>
      <c r="FB159" s="161">
        <f t="shared" si="3"/>
        <v>0</v>
      </c>
    </row>
    <row r="160" spans="1:158" ht="17.25" thickBot="1" x14ac:dyDescent="0.3">
      <c r="A160" s="226">
        <v>45957</v>
      </c>
      <c r="B160" s="227" t="s">
        <v>184</v>
      </c>
      <c r="C160" s="227" t="s">
        <v>681</v>
      </c>
      <c r="D160" s="228">
        <v>700</v>
      </c>
      <c r="E160" s="228">
        <v>571.35</v>
      </c>
      <c r="F160" s="228">
        <v>575.5</v>
      </c>
      <c r="G160" s="228">
        <v>-4.1500000000000004</v>
      </c>
      <c r="H160" s="229">
        <v>-7.1999999999999998E-3</v>
      </c>
      <c r="I160" s="228">
        <v>571.95000000000005</v>
      </c>
      <c r="J160" s="228">
        <v>575.95000000000005</v>
      </c>
      <c r="K160" s="228">
        <v>-4</v>
      </c>
      <c r="L160" s="229">
        <v>-6.8999999999999999E-3</v>
      </c>
      <c r="M160" s="228">
        <v>571.35</v>
      </c>
      <c r="N160" s="228">
        <v>575.5</v>
      </c>
      <c r="O160" s="228">
        <v>-4.1500000000000004</v>
      </c>
      <c r="P160" s="229">
        <v>-7.1999999999999998E-3</v>
      </c>
      <c r="Q160" s="228">
        <v>574.20000000000005</v>
      </c>
      <c r="R160" s="228">
        <v>577.79999999999995</v>
      </c>
      <c r="S160" s="228">
        <v>-3.6</v>
      </c>
      <c r="T160" s="229">
        <v>-6.1999999999999998E-3</v>
      </c>
      <c r="U160" s="228">
        <v>578.1</v>
      </c>
      <c r="V160" s="228">
        <v>580.65</v>
      </c>
      <c r="W160" s="228">
        <v>-2.5499999999999998</v>
      </c>
      <c r="X160" s="229">
        <v>-4.4000000000000003E-3</v>
      </c>
      <c r="Y160" s="228">
        <v>-0.6</v>
      </c>
      <c r="Z160" s="228">
        <v>-0.45</v>
      </c>
      <c r="AA160" s="228">
        <v>-0.15</v>
      </c>
      <c r="AB160" s="229">
        <v>-1E-3</v>
      </c>
      <c r="AC160" s="228">
        <v>-0.6</v>
      </c>
      <c r="AD160" s="228">
        <v>-0.45</v>
      </c>
      <c r="AE160" s="228">
        <v>-0.15</v>
      </c>
      <c r="AF160" s="229">
        <v>-1E-3</v>
      </c>
      <c r="AG160" s="228">
        <v>2.25</v>
      </c>
      <c r="AH160" s="228">
        <v>1.85</v>
      </c>
      <c r="AI160" s="228">
        <v>0.4</v>
      </c>
      <c r="AJ160" s="229">
        <v>3.8999999999999998E-3</v>
      </c>
      <c r="AK160" s="228">
        <v>6.15</v>
      </c>
      <c r="AL160" s="228">
        <v>4.7</v>
      </c>
      <c r="AM160" s="228">
        <v>1.45</v>
      </c>
      <c r="AN160" s="229">
        <v>1.0800000000000001E-2</v>
      </c>
      <c r="AO160" s="228">
        <v>570.6</v>
      </c>
      <c r="AP160" s="228">
        <v>572.9</v>
      </c>
      <c r="AQ160" s="228">
        <v>0</v>
      </c>
      <c r="AR160" s="230">
        <v>7110600</v>
      </c>
      <c r="AS160" s="230">
        <v>5980800</v>
      </c>
      <c r="AT160" s="230">
        <v>1129800</v>
      </c>
      <c r="AU160" s="229">
        <v>0.18890000000000001</v>
      </c>
      <c r="AV160" s="230">
        <v>3439100</v>
      </c>
      <c r="AW160" s="230">
        <v>3112200</v>
      </c>
      <c r="AX160" s="230">
        <v>326900</v>
      </c>
      <c r="AY160" s="229">
        <v>0.105</v>
      </c>
      <c r="AZ160" s="230">
        <v>3632300</v>
      </c>
      <c r="BA160" s="230">
        <v>2860200</v>
      </c>
      <c r="BB160" s="230">
        <v>772100</v>
      </c>
      <c r="BC160" s="229">
        <v>0.26989999999999997</v>
      </c>
      <c r="BD160" s="230">
        <v>39200</v>
      </c>
      <c r="BE160" s="230">
        <v>8400</v>
      </c>
      <c r="BF160" s="230">
        <v>30800</v>
      </c>
      <c r="BG160" s="229">
        <v>3.6667000000000001</v>
      </c>
      <c r="BH160" s="230">
        <v>4053700</v>
      </c>
      <c r="BI160" s="230">
        <v>5077100</v>
      </c>
      <c r="BJ160" s="230">
        <v>-1023400</v>
      </c>
      <c r="BK160" s="229">
        <v>-0.2016</v>
      </c>
      <c r="BL160" s="230">
        <v>2208500</v>
      </c>
      <c r="BM160" s="230">
        <v>3155600</v>
      </c>
      <c r="BN160" s="230">
        <v>-947100</v>
      </c>
      <c r="BO160" s="229">
        <v>-0.30009999999999998</v>
      </c>
      <c r="BP160" s="230">
        <v>13372800</v>
      </c>
      <c r="BQ160" s="230">
        <v>14213500</v>
      </c>
      <c r="BR160" s="230">
        <v>-840700</v>
      </c>
      <c r="BS160" s="229">
        <v>-5.91E-2</v>
      </c>
      <c r="BT160" s="230">
        <v>990106</v>
      </c>
      <c r="BU160" s="230">
        <v>881805</v>
      </c>
      <c r="BV160" s="230">
        <v>108301</v>
      </c>
      <c r="BW160" s="229">
        <v>0.12280000000000001</v>
      </c>
      <c r="BX160" s="230">
        <v>8120700</v>
      </c>
      <c r="BY160" s="230">
        <v>8309000</v>
      </c>
      <c r="BZ160" s="230">
        <v>-188300</v>
      </c>
      <c r="CA160" s="229">
        <v>-2.2700000000000001E-2</v>
      </c>
      <c r="CB160" s="230">
        <v>2193800</v>
      </c>
      <c r="CC160" s="230">
        <v>4489800</v>
      </c>
      <c r="CD160" s="230">
        <v>-2296000</v>
      </c>
      <c r="CE160" s="229">
        <v>-0.51139999999999997</v>
      </c>
      <c r="CF160" s="230">
        <v>5840800</v>
      </c>
      <c r="CG160" s="230">
        <v>3751300</v>
      </c>
      <c r="CH160" s="230">
        <v>2089500</v>
      </c>
      <c r="CI160" s="229">
        <v>0.55700000000000005</v>
      </c>
      <c r="CJ160" s="230">
        <v>86100</v>
      </c>
      <c r="CK160" s="230">
        <v>67900</v>
      </c>
      <c r="CL160" s="230">
        <v>18200</v>
      </c>
      <c r="CM160" s="229">
        <v>0.26800000000000002</v>
      </c>
      <c r="CN160" s="230">
        <v>5841500</v>
      </c>
      <c r="CO160" s="230">
        <v>6493200</v>
      </c>
      <c r="CP160" s="230">
        <v>-651700</v>
      </c>
      <c r="CQ160" s="229">
        <v>-0.1004</v>
      </c>
      <c r="CR160" s="230">
        <v>3999100</v>
      </c>
      <c r="CS160" s="230">
        <v>4431000</v>
      </c>
      <c r="CT160" s="230">
        <v>-431900</v>
      </c>
      <c r="CU160" s="229">
        <v>-9.7500000000000003E-2</v>
      </c>
      <c r="CV160" s="230">
        <v>17961300</v>
      </c>
      <c r="CW160" s="230">
        <v>19233200</v>
      </c>
      <c r="CX160" s="230">
        <v>-1271900</v>
      </c>
      <c r="CY160" s="229">
        <v>-6.6100000000000006E-2</v>
      </c>
      <c r="CZ160" s="228">
        <v>47.92</v>
      </c>
      <c r="DA160" s="228">
        <v>47.09</v>
      </c>
      <c r="DB160" s="228">
        <v>0.83</v>
      </c>
      <c r="DC160" s="228">
        <v>0.83</v>
      </c>
      <c r="DD160" s="228">
        <v>69.069999999999993</v>
      </c>
      <c r="DE160" s="228">
        <v>69.23</v>
      </c>
      <c r="DF160" s="228">
        <v>-21.15</v>
      </c>
      <c r="DG160" s="228">
        <v>-0.16</v>
      </c>
      <c r="DH160" s="228">
        <v>47.49</v>
      </c>
      <c r="DI160" s="228">
        <v>47.08</v>
      </c>
      <c r="DJ160" s="228">
        <v>0.41</v>
      </c>
      <c r="DK160" s="228">
        <v>0.41</v>
      </c>
      <c r="DL160" s="228">
        <v>48.89</v>
      </c>
      <c r="DM160" s="228">
        <v>47.1</v>
      </c>
      <c r="DN160" s="228">
        <v>1.79</v>
      </c>
      <c r="DO160" s="228">
        <v>1.79</v>
      </c>
      <c r="DP160" s="228">
        <v>0.68</v>
      </c>
      <c r="DQ160" s="228">
        <v>0.68</v>
      </c>
      <c r="DR160" s="228">
        <v>0</v>
      </c>
      <c r="DS160" s="229">
        <v>0</v>
      </c>
      <c r="DT160" s="228">
        <v>600</v>
      </c>
      <c r="DU160" s="228">
        <v>500</v>
      </c>
      <c r="DV160" s="228">
        <v>0.54</v>
      </c>
      <c r="DW160" s="228">
        <v>0.62</v>
      </c>
      <c r="DX160" s="228">
        <v>-0.08</v>
      </c>
      <c r="DY160" s="229">
        <v>-0.129</v>
      </c>
      <c r="DZ160" s="229">
        <v>0.72989999999999999</v>
      </c>
      <c r="EA160" s="230">
        <v>3819200</v>
      </c>
      <c r="EB160" s="229">
        <v>5.0000000000000001E-3</v>
      </c>
      <c r="EC160" s="229">
        <v>0.72989999999999999</v>
      </c>
      <c r="ED160" s="228">
        <v>2.2999999999999998</v>
      </c>
      <c r="EE160" s="229">
        <v>4.0000000000000001E-3</v>
      </c>
      <c r="EF160" s="230">
        <v>510965</v>
      </c>
      <c r="EG160" s="230">
        <v>350003</v>
      </c>
      <c r="EH160" s="229">
        <v>0.45989999999999998</v>
      </c>
      <c r="EI160" s="229">
        <v>0.5161</v>
      </c>
      <c r="EJ160" s="231">
        <v>24427.8</v>
      </c>
      <c r="EK160" s="231">
        <v>12444.67</v>
      </c>
      <c r="EL160" s="231">
        <v>40658.559999999998</v>
      </c>
      <c r="EM160" s="231">
        <v>5297</v>
      </c>
      <c r="EN160" s="231">
        <v>77531.03</v>
      </c>
      <c r="EO160" s="231">
        <v>82616.929999999993</v>
      </c>
      <c r="EP160" s="231">
        <v>-5085.8999999999996</v>
      </c>
      <c r="EQ160" s="229">
        <v>-6.1600000000000002E-2</v>
      </c>
      <c r="ER160" s="231">
        <v>34809</v>
      </c>
      <c r="ES160" s="231">
        <v>21584</v>
      </c>
      <c r="ET160" s="231">
        <v>46570</v>
      </c>
      <c r="EU160" s="231">
        <v>23897684</v>
      </c>
      <c r="EV160" s="231">
        <v>102963</v>
      </c>
      <c r="EW160" s="231">
        <v>110593</v>
      </c>
      <c r="EX160" s="231">
        <v>-7630</v>
      </c>
      <c r="EY160" s="229">
        <v>-6.9000000000000006E-2</v>
      </c>
      <c r="EZ160" s="229">
        <v>0.75160000000000005</v>
      </c>
      <c r="FA160" s="227" t="s">
        <v>568</v>
      </c>
      <c r="FB160" s="161">
        <f t="shared" si="3"/>
        <v>0</v>
      </c>
    </row>
    <row r="161" spans="1:158" ht="17.25" thickBot="1" x14ac:dyDescent="0.3">
      <c r="A161" s="226">
        <v>45957</v>
      </c>
      <c r="B161" s="227" t="s">
        <v>206</v>
      </c>
      <c r="C161" s="227" t="s">
        <v>645</v>
      </c>
      <c r="D161" s="228">
        <v>350</v>
      </c>
      <c r="E161" s="231">
        <v>1708.4</v>
      </c>
      <c r="F161" s="231">
        <v>1684.1</v>
      </c>
      <c r="G161" s="228">
        <v>24.3</v>
      </c>
      <c r="H161" s="229">
        <v>1.44E-2</v>
      </c>
      <c r="I161" s="231">
        <v>1711.1</v>
      </c>
      <c r="J161" s="231">
        <v>1680.7</v>
      </c>
      <c r="K161" s="228">
        <v>30.4</v>
      </c>
      <c r="L161" s="229">
        <v>1.8100000000000002E-2</v>
      </c>
      <c r="M161" s="231">
        <v>1708.4</v>
      </c>
      <c r="N161" s="231">
        <v>1684.1</v>
      </c>
      <c r="O161" s="228">
        <v>24.3</v>
      </c>
      <c r="P161" s="229">
        <v>1.44E-2</v>
      </c>
      <c r="Q161" s="231">
        <v>1718.2</v>
      </c>
      <c r="R161" s="231">
        <v>1693.5</v>
      </c>
      <c r="S161" s="228">
        <v>24.7</v>
      </c>
      <c r="T161" s="229">
        <v>1.46E-2</v>
      </c>
      <c r="U161" s="231">
        <v>1735</v>
      </c>
      <c r="V161" s="231">
        <v>1703.3</v>
      </c>
      <c r="W161" s="228">
        <v>31.7</v>
      </c>
      <c r="X161" s="229">
        <v>1.8599999999999998E-2</v>
      </c>
      <c r="Y161" s="228">
        <v>-2.7</v>
      </c>
      <c r="Z161" s="228">
        <v>3.4</v>
      </c>
      <c r="AA161" s="228">
        <v>-6.1</v>
      </c>
      <c r="AB161" s="229">
        <v>-1.6000000000000001E-3</v>
      </c>
      <c r="AC161" s="228">
        <v>-2.7</v>
      </c>
      <c r="AD161" s="228">
        <v>3.4</v>
      </c>
      <c r="AE161" s="228">
        <v>-6.1</v>
      </c>
      <c r="AF161" s="229">
        <v>-1.6000000000000001E-3</v>
      </c>
      <c r="AG161" s="228">
        <v>7.1</v>
      </c>
      <c r="AH161" s="228">
        <v>12.8</v>
      </c>
      <c r="AI161" s="228">
        <v>-5.7</v>
      </c>
      <c r="AJ161" s="229">
        <v>4.1000000000000003E-3</v>
      </c>
      <c r="AK161" s="228">
        <v>23.9</v>
      </c>
      <c r="AL161" s="228">
        <v>22.6</v>
      </c>
      <c r="AM161" s="228">
        <v>1.3</v>
      </c>
      <c r="AN161" s="229">
        <v>1.4E-2</v>
      </c>
      <c r="AO161" s="231">
        <v>1700.34</v>
      </c>
      <c r="AP161" s="231">
        <v>1710.83</v>
      </c>
      <c r="AQ161" s="228">
        <v>0</v>
      </c>
      <c r="AR161" s="230">
        <v>4099550</v>
      </c>
      <c r="AS161" s="230">
        <v>2933350</v>
      </c>
      <c r="AT161" s="230">
        <v>1166200</v>
      </c>
      <c r="AU161" s="229">
        <v>0.39760000000000001</v>
      </c>
      <c r="AV161" s="230">
        <v>1736000</v>
      </c>
      <c r="AW161" s="230">
        <v>1430450</v>
      </c>
      <c r="AX161" s="230">
        <v>305550</v>
      </c>
      <c r="AY161" s="229">
        <v>0.21360000000000001</v>
      </c>
      <c r="AZ161" s="230">
        <v>2359000</v>
      </c>
      <c r="BA161" s="230">
        <v>1499400</v>
      </c>
      <c r="BB161" s="230">
        <v>859600</v>
      </c>
      <c r="BC161" s="229">
        <v>0.57330000000000003</v>
      </c>
      <c r="BD161" s="230">
        <v>4550</v>
      </c>
      <c r="BE161" s="230">
        <v>3500</v>
      </c>
      <c r="BF161" s="230">
        <v>1050</v>
      </c>
      <c r="BG161" s="229">
        <v>0.3</v>
      </c>
      <c r="BH161" s="230">
        <v>2366350</v>
      </c>
      <c r="BI161" s="230">
        <v>1195600</v>
      </c>
      <c r="BJ161" s="230">
        <v>1170750</v>
      </c>
      <c r="BK161" s="229">
        <v>0.97919999999999996</v>
      </c>
      <c r="BL161" s="230">
        <v>632450</v>
      </c>
      <c r="BM161" s="230">
        <v>605850</v>
      </c>
      <c r="BN161" s="230">
        <v>26600</v>
      </c>
      <c r="BO161" s="229">
        <v>4.3900000000000002E-2</v>
      </c>
      <c r="BP161" s="230">
        <v>7098350</v>
      </c>
      <c r="BQ161" s="230">
        <v>4734800</v>
      </c>
      <c r="BR161" s="230">
        <v>2363550</v>
      </c>
      <c r="BS161" s="229">
        <v>0.49919999999999998</v>
      </c>
      <c r="BT161" s="230">
        <v>564632</v>
      </c>
      <c r="BU161" s="230">
        <v>426993</v>
      </c>
      <c r="BV161" s="230">
        <v>137639</v>
      </c>
      <c r="BW161" s="229">
        <v>0.32229999999999998</v>
      </c>
      <c r="BX161" s="230">
        <v>4307100</v>
      </c>
      <c r="BY161" s="230">
        <v>4062800</v>
      </c>
      <c r="BZ161" s="230">
        <v>244300</v>
      </c>
      <c r="CA161" s="229">
        <v>6.0100000000000001E-2</v>
      </c>
      <c r="CB161" s="230">
        <v>449050</v>
      </c>
      <c r="CC161" s="230">
        <v>1685250</v>
      </c>
      <c r="CD161" s="230">
        <v>-1236200</v>
      </c>
      <c r="CE161" s="229">
        <v>-0.73350000000000004</v>
      </c>
      <c r="CF161" s="230">
        <v>3841250</v>
      </c>
      <c r="CG161" s="230">
        <v>2362150</v>
      </c>
      <c r="CH161" s="230">
        <v>1479100</v>
      </c>
      <c r="CI161" s="229">
        <v>0.62619999999999998</v>
      </c>
      <c r="CJ161" s="230">
        <v>16800</v>
      </c>
      <c r="CK161" s="230">
        <v>15400</v>
      </c>
      <c r="CL161" s="230">
        <v>1400</v>
      </c>
      <c r="CM161" s="229">
        <v>9.0899999999999995E-2</v>
      </c>
      <c r="CN161" s="230">
        <v>1208200</v>
      </c>
      <c r="CO161" s="230">
        <v>1364300</v>
      </c>
      <c r="CP161" s="230">
        <v>-156100</v>
      </c>
      <c r="CQ161" s="229">
        <v>-0.1144</v>
      </c>
      <c r="CR161" s="230">
        <v>774900</v>
      </c>
      <c r="CS161" s="230">
        <v>873950</v>
      </c>
      <c r="CT161" s="230">
        <v>-99050</v>
      </c>
      <c r="CU161" s="229">
        <v>-0.1133</v>
      </c>
      <c r="CV161" s="230">
        <v>6290200</v>
      </c>
      <c r="CW161" s="230">
        <v>6301050</v>
      </c>
      <c r="CX161" s="230">
        <v>-10850</v>
      </c>
      <c r="CY161" s="229">
        <v>-1.6999999999999999E-3</v>
      </c>
      <c r="CZ161" s="228">
        <v>31.95</v>
      </c>
      <c r="DA161" s="228">
        <v>29.28</v>
      </c>
      <c r="DB161" s="228">
        <v>2.67</v>
      </c>
      <c r="DC161" s="228">
        <v>2.67</v>
      </c>
      <c r="DD161" s="228">
        <v>44.08</v>
      </c>
      <c r="DE161" s="228">
        <v>44.15</v>
      </c>
      <c r="DF161" s="228">
        <v>-12.13</v>
      </c>
      <c r="DG161" s="228">
        <v>-7.0000000000000007E-2</v>
      </c>
      <c r="DH161" s="228">
        <v>32.11</v>
      </c>
      <c r="DI161" s="228">
        <v>28.97</v>
      </c>
      <c r="DJ161" s="228">
        <v>3.14</v>
      </c>
      <c r="DK161" s="228">
        <v>3.14</v>
      </c>
      <c r="DL161" s="228">
        <v>31.44</v>
      </c>
      <c r="DM161" s="228">
        <v>29.59</v>
      </c>
      <c r="DN161" s="228">
        <v>1.85</v>
      </c>
      <c r="DO161" s="228">
        <v>1.85</v>
      </c>
      <c r="DP161" s="228">
        <v>0.64</v>
      </c>
      <c r="DQ161" s="228">
        <v>0.64</v>
      </c>
      <c r="DR161" s="228">
        <v>0</v>
      </c>
      <c r="DS161" s="229">
        <v>0</v>
      </c>
      <c r="DT161" s="231">
        <v>1700</v>
      </c>
      <c r="DU161" s="231">
        <v>1700</v>
      </c>
      <c r="DV161" s="228">
        <v>0.27</v>
      </c>
      <c r="DW161" s="228">
        <v>0.51</v>
      </c>
      <c r="DX161" s="228">
        <v>-0.24</v>
      </c>
      <c r="DY161" s="229">
        <v>-0.47060000000000002</v>
      </c>
      <c r="DZ161" s="229">
        <v>0.89570000000000005</v>
      </c>
      <c r="EA161" s="230">
        <v>2377550</v>
      </c>
      <c r="EB161" s="229">
        <v>5.7000000000000002E-3</v>
      </c>
      <c r="EC161" s="229">
        <v>0.89570000000000005</v>
      </c>
      <c r="ED161" s="228">
        <v>10.49</v>
      </c>
      <c r="EE161" s="229">
        <v>6.1999999999999998E-3</v>
      </c>
      <c r="EF161" s="230">
        <v>316134</v>
      </c>
      <c r="EG161" s="230">
        <v>241486</v>
      </c>
      <c r="EH161" s="229">
        <v>0.30909999999999999</v>
      </c>
      <c r="EI161" s="229">
        <v>0.55989999999999995</v>
      </c>
      <c r="EJ161" s="231">
        <v>41241.83</v>
      </c>
      <c r="EK161" s="231">
        <v>10484.469999999999</v>
      </c>
      <c r="EL161" s="231">
        <v>69954.69</v>
      </c>
      <c r="EM161" s="231">
        <v>4933</v>
      </c>
      <c r="EN161" s="231">
        <v>121680.99</v>
      </c>
      <c r="EO161" s="231">
        <v>80531</v>
      </c>
      <c r="EP161" s="231">
        <v>41149.99</v>
      </c>
      <c r="EQ161" s="229">
        <v>0.51100000000000001</v>
      </c>
      <c r="ER161" s="231">
        <v>20654</v>
      </c>
      <c r="ES161" s="231">
        <v>12579</v>
      </c>
      <c r="ET161" s="231">
        <v>73963</v>
      </c>
      <c r="EU161" s="231">
        <v>28283155</v>
      </c>
      <c r="EV161" s="231">
        <v>107197</v>
      </c>
      <c r="EW161" s="231">
        <v>106184</v>
      </c>
      <c r="EX161" s="231">
        <v>1013</v>
      </c>
      <c r="EY161" s="229">
        <v>9.4999999999999998E-3</v>
      </c>
      <c r="EZ161" s="229">
        <v>0.22239999999999999</v>
      </c>
      <c r="FA161" s="227" t="s">
        <v>555</v>
      </c>
      <c r="FB161" s="161">
        <f t="shared" si="3"/>
        <v>0</v>
      </c>
    </row>
    <row r="162" spans="1:158" ht="17.25" thickBot="1" x14ac:dyDescent="0.3">
      <c r="A162" s="226">
        <v>45957</v>
      </c>
      <c r="B162" s="227" t="s">
        <v>168</v>
      </c>
      <c r="C162" s="227" t="s">
        <v>274</v>
      </c>
      <c r="D162" s="228">
        <v>500</v>
      </c>
      <c r="E162" s="231">
        <v>1504.2</v>
      </c>
      <c r="F162" s="231">
        <v>1505.4</v>
      </c>
      <c r="G162" s="228">
        <v>-1.2</v>
      </c>
      <c r="H162" s="229">
        <v>-8.0000000000000004E-4</v>
      </c>
      <c r="I162" s="231">
        <v>1504.4</v>
      </c>
      <c r="J162" s="231">
        <v>1507.1</v>
      </c>
      <c r="K162" s="228">
        <v>-2.7</v>
      </c>
      <c r="L162" s="229">
        <v>-1.8E-3</v>
      </c>
      <c r="M162" s="231">
        <v>1504.2</v>
      </c>
      <c r="N162" s="231">
        <v>1505.4</v>
      </c>
      <c r="O162" s="228">
        <v>-1.2</v>
      </c>
      <c r="P162" s="229">
        <v>-8.0000000000000004E-4</v>
      </c>
      <c r="Q162" s="231">
        <v>1514.1</v>
      </c>
      <c r="R162" s="231">
        <v>1514.2</v>
      </c>
      <c r="S162" s="228">
        <v>-0.1</v>
      </c>
      <c r="T162" s="229">
        <v>-1E-4</v>
      </c>
      <c r="U162" s="231">
        <v>1524</v>
      </c>
      <c r="V162" s="231">
        <v>1526</v>
      </c>
      <c r="W162" s="228">
        <v>-2</v>
      </c>
      <c r="X162" s="229">
        <v>-1.2999999999999999E-3</v>
      </c>
      <c r="Y162" s="228">
        <v>-0.2</v>
      </c>
      <c r="Z162" s="228">
        <v>-1.7</v>
      </c>
      <c r="AA162" s="228">
        <v>1.5</v>
      </c>
      <c r="AB162" s="229">
        <v>-1E-4</v>
      </c>
      <c r="AC162" s="228">
        <v>-0.2</v>
      </c>
      <c r="AD162" s="228">
        <v>-1.7</v>
      </c>
      <c r="AE162" s="228">
        <v>1.5</v>
      </c>
      <c r="AF162" s="229">
        <v>-1E-4</v>
      </c>
      <c r="AG162" s="228">
        <v>9.6999999999999993</v>
      </c>
      <c r="AH162" s="228">
        <v>7.1</v>
      </c>
      <c r="AI162" s="228">
        <v>2.6</v>
      </c>
      <c r="AJ162" s="229">
        <v>6.4000000000000003E-3</v>
      </c>
      <c r="AK162" s="228">
        <v>19.600000000000001</v>
      </c>
      <c r="AL162" s="228">
        <v>18.899999999999999</v>
      </c>
      <c r="AM162" s="228">
        <v>0.7</v>
      </c>
      <c r="AN162" s="229">
        <v>1.2999999999999999E-2</v>
      </c>
      <c r="AO162" s="231">
        <v>1506.48</v>
      </c>
      <c r="AP162" s="231">
        <v>1515.48</v>
      </c>
      <c r="AQ162" s="228">
        <v>0</v>
      </c>
      <c r="AR162" s="230">
        <v>7579000</v>
      </c>
      <c r="AS162" s="230">
        <v>8248500</v>
      </c>
      <c r="AT162" s="230">
        <v>-669500</v>
      </c>
      <c r="AU162" s="229">
        <v>-8.1199999999999994E-2</v>
      </c>
      <c r="AV162" s="230">
        <v>3494500</v>
      </c>
      <c r="AW162" s="230">
        <v>4111000</v>
      </c>
      <c r="AX162" s="230">
        <v>-616500</v>
      </c>
      <c r="AY162" s="229">
        <v>-0.15</v>
      </c>
      <c r="AZ162" s="230">
        <v>4075500</v>
      </c>
      <c r="BA162" s="230">
        <v>4131000</v>
      </c>
      <c r="BB162" s="230">
        <v>-55500</v>
      </c>
      <c r="BC162" s="229">
        <v>-1.34E-2</v>
      </c>
      <c r="BD162" s="230">
        <v>9000</v>
      </c>
      <c r="BE162" s="230">
        <v>6500</v>
      </c>
      <c r="BF162" s="230">
        <v>2500</v>
      </c>
      <c r="BG162" s="229">
        <v>0.3846</v>
      </c>
      <c r="BH162" s="230">
        <v>2136000</v>
      </c>
      <c r="BI162" s="230">
        <v>2121000</v>
      </c>
      <c r="BJ162" s="230">
        <v>15000</v>
      </c>
      <c r="BK162" s="229">
        <v>7.1000000000000004E-3</v>
      </c>
      <c r="BL162" s="230">
        <v>1777500</v>
      </c>
      <c r="BM162" s="230">
        <v>1970000</v>
      </c>
      <c r="BN162" s="230">
        <v>-192500</v>
      </c>
      <c r="BO162" s="229">
        <v>-9.7699999999999995E-2</v>
      </c>
      <c r="BP162" s="230">
        <v>11492500</v>
      </c>
      <c r="BQ162" s="230">
        <v>12339500</v>
      </c>
      <c r="BR162" s="230">
        <v>-847000</v>
      </c>
      <c r="BS162" s="229">
        <v>-6.8599999999999994E-2</v>
      </c>
      <c r="BT162" s="230">
        <v>530794</v>
      </c>
      <c r="BU162" s="230">
        <v>421179</v>
      </c>
      <c r="BV162" s="230">
        <v>109615</v>
      </c>
      <c r="BW162" s="229">
        <v>0.26029999999999998</v>
      </c>
      <c r="BX162" s="230">
        <v>9610500</v>
      </c>
      <c r="BY162" s="230">
        <v>9778000</v>
      </c>
      <c r="BZ162" s="230">
        <v>-167500</v>
      </c>
      <c r="CA162" s="229">
        <v>-1.7100000000000001E-2</v>
      </c>
      <c r="CB162" s="230">
        <v>1696500</v>
      </c>
      <c r="CC162" s="230">
        <v>4456000</v>
      </c>
      <c r="CD162" s="230">
        <v>-2759500</v>
      </c>
      <c r="CE162" s="229">
        <v>-0.61929999999999996</v>
      </c>
      <c r="CF162" s="230">
        <v>7893000</v>
      </c>
      <c r="CG162" s="230">
        <v>5305500</v>
      </c>
      <c r="CH162" s="230">
        <v>2587500</v>
      </c>
      <c r="CI162" s="229">
        <v>0.48770000000000002</v>
      </c>
      <c r="CJ162" s="230">
        <v>21000</v>
      </c>
      <c r="CK162" s="230">
        <v>16500</v>
      </c>
      <c r="CL162" s="230">
        <v>4500</v>
      </c>
      <c r="CM162" s="229">
        <v>0.2727</v>
      </c>
      <c r="CN162" s="230">
        <v>1203500</v>
      </c>
      <c r="CO162" s="230">
        <v>1349500</v>
      </c>
      <c r="CP162" s="230">
        <v>-146000</v>
      </c>
      <c r="CQ162" s="229">
        <v>-0.1082</v>
      </c>
      <c r="CR162" s="230">
        <v>1086000</v>
      </c>
      <c r="CS162" s="230">
        <v>1394000</v>
      </c>
      <c r="CT162" s="230">
        <v>-308000</v>
      </c>
      <c r="CU162" s="229">
        <v>-0.22090000000000001</v>
      </c>
      <c r="CV162" s="230">
        <v>11900000</v>
      </c>
      <c r="CW162" s="230">
        <v>12521500</v>
      </c>
      <c r="CX162" s="230">
        <v>-621500</v>
      </c>
      <c r="CY162" s="229">
        <v>-4.9599999999999998E-2</v>
      </c>
      <c r="CZ162" s="228">
        <v>23.25</v>
      </c>
      <c r="DA162" s="228">
        <v>22.57</v>
      </c>
      <c r="DB162" s="228">
        <v>0.68</v>
      </c>
      <c r="DC162" s="228">
        <v>0.68</v>
      </c>
      <c r="DD162" s="228">
        <v>21.98</v>
      </c>
      <c r="DE162" s="228">
        <v>22.04</v>
      </c>
      <c r="DF162" s="228">
        <v>1.27</v>
      </c>
      <c r="DG162" s="228">
        <v>-0.06</v>
      </c>
      <c r="DH162" s="228">
        <v>23.32</v>
      </c>
      <c r="DI162" s="228">
        <v>22.68</v>
      </c>
      <c r="DJ162" s="228">
        <v>0.64</v>
      </c>
      <c r="DK162" s="228">
        <v>0.64</v>
      </c>
      <c r="DL162" s="228">
        <v>23.13</v>
      </c>
      <c r="DM162" s="228">
        <v>22.46</v>
      </c>
      <c r="DN162" s="228">
        <v>0.67</v>
      </c>
      <c r="DO162" s="228">
        <v>0.67</v>
      </c>
      <c r="DP162" s="228">
        <v>0.9</v>
      </c>
      <c r="DQ162" s="228">
        <v>1.03</v>
      </c>
      <c r="DR162" s="228">
        <v>-0.13</v>
      </c>
      <c r="DS162" s="229">
        <v>-0.12620000000000001</v>
      </c>
      <c r="DT162" s="231">
        <v>1600</v>
      </c>
      <c r="DU162" s="231">
        <v>1400</v>
      </c>
      <c r="DV162" s="228">
        <v>0.83</v>
      </c>
      <c r="DW162" s="228">
        <v>0.93</v>
      </c>
      <c r="DX162" s="228">
        <v>-0.1</v>
      </c>
      <c r="DY162" s="229">
        <v>-0.1075</v>
      </c>
      <c r="DZ162" s="229">
        <v>0.82350000000000001</v>
      </c>
      <c r="EA162" s="230">
        <v>5322000</v>
      </c>
      <c r="EB162" s="229">
        <v>6.6E-3</v>
      </c>
      <c r="EC162" s="229">
        <v>0.82350000000000001</v>
      </c>
      <c r="ED162" s="228">
        <v>9</v>
      </c>
      <c r="EE162" s="229">
        <v>6.0000000000000001E-3</v>
      </c>
      <c r="EF162" s="230">
        <v>300767</v>
      </c>
      <c r="EG162" s="230">
        <v>268768</v>
      </c>
      <c r="EH162" s="229">
        <v>0.1191</v>
      </c>
      <c r="EI162" s="229">
        <v>0.56659999999999999</v>
      </c>
      <c r="EJ162" s="231">
        <v>32995.58</v>
      </c>
      <c r="EK162" s="231">
        <v>26396.18</v>
      </c>
      <c r="EL162" s="231">
        <v>114544.71</v>
      </c>
      <c r="EM162" s="231">
        <v>7142</v>
      </c>
      <c r="EN162" s="231">
        <v>173936.47</v>
      </c>
      <c r="EO162" s="231">
        <v>186771.1</v>
      </c>
      <c r="EP162" s="231">
        <v>-12834.63</v>
      </c>
      <c r="EQ162" s="229">
        <v>-6.8699999999999997E-2</v>
      </c>
      <c r="ER162" s="231">
        <v>18704</v>
      </c>
      <c r="ES162" s="231">
        <v>15942</v>
      </c>
      <c r="ET162" s="231">
        <v>145347</v>
      </c>
      <c r="EU162" s="231">
        <v>31170515</v>
      </c>
      <c r="EV162" s="231">
        <v>179993</v>
      </c>
      <c r="EW162" s="231">
        <v>189086</v>
      </c>
      <c r="EX162" s="231">
        <v>-9093</v>
      </c>
      <c r="EY162" s="229">
        <v>-4.8099999999999997E-2</v>
      </c>
      <c r="EZ162" s="229">
        <v>0.38179999999999997</v>
      </c>
      <c r="FA162" s="227" t="s">
        <v>568</v>
      </c>
      <c r="FB162" s="161">
        <f t="shared" ref="FB162:FB194" si="4">BX229-CB229</f>
        <v>0</v>
      </c>
    </row>
    <row r="163" spans="1:158" ht="17.25" thickBot="1" x14ac:dyDescent="0.3">
      <c r="A163" s="226">
        <v>45957</v>
      </c>
      <c r="B163" s="227" t="s">
        <v>498</v>
      </c>
      <c r="C163" s="227" t="s">
        <v>483</v>
      </c>
      <c r="D163" s="228">
        <v>175</v>
      </c>
      <c r="E163" s="231">
        <v>3607.3</v>
      </c>
      <c r="F163" s="231">
        <v>3580.5</v>
      </c>
      <c r="G163" s="228">
        <v>26.8</v>
      </c>
      <c r="H163" s="229">
        <v>7.4999999999999997E-3</v>
      </c>
      <c r="I163" s="231">
        <v>3610</v>
      </c>
      <c r="J163" s="231">
        <v>3583.2</v>
      </c>
      <c r="K163" s="228">
        <v>26.8</v>
      </c>
      <c r="L163" s="229">
        <v>7.4999999999999997E-3</v>
      </c>
      <c r="M163" s="231">
        <v>3607.3</v>
      </c>
      <c r="N163" s="231">
        <v>3580.5</v>
      </c>
      <c r="O163" s="228">
        <v>26.8</v>
      </c>
      <c r="P163" s="229">
        <v>7.4999999999999997E-3</v>
      </c>
      <c r="Q163" s="231">
        <v>3611.6</v>
      </c>
      <c r="R163" s="231">
        <v>3590.6</v>
      </c>
      <c r="S163" s="228">
        <v>21</v>
      </c>
      <c r="T163" s="229">
        <v>5.7999999999999996E-3</v>
      </c>
      <c r="U163" s="231">
        <v>3625.6</v>
      </c>
      <c r="V163" s="231">
        <v>3604.8</v>
      </c>
      <c r="W163" s="228">
        <v>20.8</v>
      </c>
      <c r="X163" s="229">
        <v>5.7999999999999996E-3</v>
      </c>
      <c r="Y163" s="228">
        <v>-2.7</v>
      </c>
      <c r="Z163" s="228">
        <v>-2.7</v>
      </c>
      <c r="AA163" s="228">
        <v>0</v>
      </c>
      <c r="AB163" s="229">
        <v>-6.9999999999999999E-4</v>
      </c>
      <c r="AC163" s="228">
        <v>-2.7</v>
      </c>
      <c r="AD163" s="228">
        <v>-2.7</v>
      </c>
      <c r="AE163" s="228">
        <v>0</v>
      </c>
      <c r="AF163" s="229">
        <v>-6.9999999999999999E-4</v>
      </c>
      <c r="AG163" s="228">
        <v>1.6</v>
      </c>
      <c r="AH163" s="228">
        <v>7.4</v>
      </c>
      <c r="AI163" s="228">
        <v>-5.8</v>
      </c>
      <c r="AJ163" s="229">
        <v>4.0000000000000002E-4</v>
      </c>
      <c r="AK163" s="228">
        <v>15.6</v>
      </c>
      <c r="AL163" s="228">
        <v>21.6</v>
      </c>
      <c r="AM163" s="228">
        <v>-6</v>
      </c>
      <c r="AN163" s="229">
        <v>4.3E-3</v>
      </c>
      <c r="AO163" s="231">
        <v>3631.99</v>
      </c>
      <c r="AP163" s="231">
        <v>3639.67</v>
      </c>
      <c r="AQ163" s="228">
        <v>0</v>
      </c>
      <c r="AR163" s="230">
        <v>1406125</v>
      </c>
      <c r="AS163" s="230">
        <v>1799875</v>
      </c>
      <c r="AT163" s="230">
        <v>-393750</v>
      </c>
      <c r="AU163" s="229">
        <v>-0.21879999999999999</v>
      </c>
      <c r="AV163" s="230">
        <v>660275</v>
      </c>
      <c r="AW163" s="230">
        <v>921200</v>
      </c>
      <c r="AX163" s="230">
        <v>-260925</v>
      </c>
      <c r="AY163" s="229">
        <v>-0.28320000000000001</v>
      </c>
      <c r="AZ163" s="230">
        <v>737275</v>
      </c>
      <c r="BA163" s="230">
        <v>877450</v>
      </c>
      <c r="BB163" s="230">
        <v>-140175</v>
      </c>
      <c r="BC163" s="229">
        <v>-0.1598</v>
      </c>
      <c r="BD163" s="230">
        <v>8575</v>
      </c>
      <c r="BE163" s="230">
        <v>1225</v>
      </c>
      <c r="BF163" s="230">
        <v>7350</v>
      </c>
      <c r="BG163" s="229">
        <v>6</v>
      </c>
      <c r="BH163" s="230">
        <v>1824025</v>
      </c>
      <c r="BI163" s="230">
        <v>879900</v>
      </c>
      <c r="BJ163" s="230">
        <v>944125</v>
      </c>
      <c r="BK163" s="229">
        <v>1.073</v>
      </c>
      <c r="BL163" s="230">
        <v>494200</v>
      </c>
      <c r="BM163" s="230">
        <v>489650</v>
      </c>
      <c r="BN163" s="230">
        <v>4550</v>
      </c>
      <c r="BO163" s="229">
        <v>9.2999999999999992E-3</v>
      </c>
      <c r="BP163" s="230">
        <v>3724350</v>
      </c>
      <c r="BQ163" s="230">
        <v>3169425</v>
      </c>
      <c r="BR163" s="230">
        <v>554925</v>
      </c>
      <c r="BS163" s="229">
        <v>0.17510000000000001</v>
      </c>
      <c r="BT163" s="230">
        <v>211318</v>
      </c>
      <c r="BU163" s="230">
        <v>247911</v>
      </c>
      <c r="BV163" s="230">
        <v>-36593</v>
      </c>
      <c r="BW163" s="229">
        <v>-0.14760000000000001</v>
      </c>
      <c r="BX163" s="230">
        <v>1748950</v>
      </c>
      <c r="BY163" s="230">
        <v>1786925</v>
      </c>
      <c r="BZ163" s="230">
        <v>-37975</v>
      </c>
      <c r="CA163" s="229">
        <v>-2.1299999999999999E-2</v>
      </c>
      <c r="CB163" s="230">
        <v>167125</v>
      </c>
      <c r="CC163" s="230">
        <v>532175</v>
      </c>
      <c r="CD163" s="230">
        <v>-365050</v>
      </c>
      <c r="CE163" s="229">
        <v>-0.68600000000000005</v>
      </c>
      <c r="CF163" s="230">
        <v>1572200</v>
      </c>
      <c r="CG163" s="230">
        <v>1248275</v>
      </c>
      <c r="CH163" s="230">
        <v>323925</v>
      </c>
      <c r="CI163" s="229">
        <v>0.25950000000000001</v>
      </c>
      <c r="CJ163" s="230">
        <v>9625</v>
      </c>
      <c r="CK163" s="230">
        <v>6475</v>
      </c>
      <c r="CL163" s="230">
        <v>3150</v>
      </c>
      <c r="CM163" s="229">
        <v>0.48649999999999999</v>
      </c>
      <c r="CN163" s="230">
        <v>583800</v>
      </c>
      <c r="CO163" s="230">
        <v>601125</v>
      </c>
      <c r="CP163" s="230">
        <v>-17325</v>
      </c>
      <c r="CQ163" s="229">
        <v>-2.8799999999999999E-2</v>
      </c>
      <c r="CR163" s="230">
        <v>379225</v>
      </c>
      <c r="CS163" s="230">
        <v>376600</v>
      </c>
      <c r="CT163" s="230">
        <v>2625</v>
      </c>
      <c r="CU163" s="229">
        <v>7.0000000000000001E-3</v>
      </c>
      <c r="CV163" s="230">
        <v>2711975</v>
      </c>
      <c r="CW163" s="230">
        <v>2764650</v>
      </c>
      <c r="CX163" s="230">
        <v>-52675</v>
      </c>
      <c r="CY163" s="229">
        <v>-1.9099999999999999E-2</v>
      </c>
      <c r="CZ163" s="228">
        <v>29.66</v>
      </c>
      <c r="DA163" s="228">
        <v>27.21</v>
      </c>
      <c r="DB163" s="228">
        <v>2.4500000000000002</v>
      </c>
      <c r="DC163" s="228">
        <v>2.4500000000000002</v>
      </c>
      <c r="DD163" s="228">
        <v>29.78</v>
      </c>
      <c r="DE163" s="228">
        <v>29.84</v>
      </c>
      <c r="DF163" s="228">
        <v>-0.12</v>
      </c>
      <c r="DG163" s="228">
        <v>-0.06</v>
      </c>
      <c r="DH163" s="228">
        <v>29.76</v>
      </c>
      <c r="DI163" s="228">
        <v>27.44</v>
      </c>
      <c r="DJ163" s="228">
        <v>2.3199999999999998</v>
      </c>
      <c r="DK163" s="228">
        <v>2.3199999999999998</v>
      </c>
      <c r="DL163" s="228">
        <v>29.23</v>
      </c>
      <c r="DM163" s="228">
        <v>26.64</v>
      </c>
      <c r="DN163" s="228">
        <v>2.59</v>
      </c>
      <c r="DO163" s="228">
        <v>2.59</v>
      </c>
      <c r="DP163" s="228">
        <v>0.65</v>
      </c>
      <c r="DQ163" s="228">
        <v>0.63</v>
      </c>
      <c r="DR163" s="228">
        <v>0.02</v>
      </c>
      <c r="DS163" s="229">
        <v>3.1699999999999999E-2</v>
      </c>
      <c r="DT163" s="231">
        <v>3600</v>
      </c>
      <c r="DU163" s="231">
        <v>3600</v>
      </c>
      <c r="DV163" s="228">
        <v>0.27</v>
      </c>
      <c r="DW163" s="228">
        <v>0.56000000000000005</v>
      </c>
      <c r="DX163" s="228">
        <v>-0.28999999999999998</v>
      </c>
      <c r="DY163" s="229">
        <v>-0.51790000000000003</v>
      </c>
      <c r="DZ163" s="229">
        <v>0.90439999999999998</v>
      </c>
      <c r="EA163" s="230">
        <v>1254750</v>
      </c>
      <c r="EB163" s="229">
        <v>1.1999999999999999E-3</v>
      </c>
      <c r="EC163" s="229">
        <v>0.90439999999999998</v>
      </c>
      <c r="ED163" s="228">
        <v>7.68</v>
      </c>
      <c r="EE163" s="229">
        <v>2.0999999999999999E-3</v>
      </c>
      <c r="EF163" s="230">
        <v>90022</v>
      </c>
      <c r="EG163" s="230">
        <v>159893</v>
      </c>
      <c r="EH163" s="229">
        <v>-0.437</v>
      </c>
      <c r="EI163" s="229">
        <v>0.42599999999999999</v>
      </c>
      <c r="EJ163" s="231">
        <v>67855.759999999995</v>
      </c>
      <c r="EK163" s="231">
        <v>17673.32</v>
      </c>
      <c r="EL163" s="231">
        <v>51128.38</v>
      </c>
      <c r="EM163" s="231">
        <v>5460</v>
      </c>
      <c r="EN163" s="231">
        <v>136657.46</v>
      </c>
      <c r="EO163" s="231">
        <v>113657.34</v>
      </c>
      <c r="EP163" s="231">
        <v>23000.12</v>
      </c>
      <c r="EQ163" s="229">
        <v>0.2024</v>
      </c>
      <c r="ER163" s="231">
        <v>21663</v>
      </c>
      <c r="ES163" s="231">
        <v>13346</v>
      </c>
      <c r="ET163" s="231">
        <v>63159</v>
      </c>
      <c r="EU163" s="231">
        <v>8178275</v>
      </c>
      <c r="EV163" s="231">
        <v>98168</v>
      </c>
      <c r="EW163" s="231">
        <v>99538</v>
      </c>
      <c r="EX163" s="231">
        <v>-1370</v>
      </c>
      <c r="EY163" s="229">
        <v>-1.38E-2</v>
      </c>
      <c r="EZ163" s="229">
        <v>0.33160000000000001</v>
      </c>
      <c r="FA163" s="227" t="s">
        <v>556</v>
      </c>
      <c r="FB163" s="161">
        <f t="shared" si="4"/>
        <v>0</v>
      </c>
    </row>
    <row r="164" spans="1:158" ht="17.25" thickBot="1" x14ac:dyDescent="0.3">
      <c r="A164" s="226">
        <v>45957</v>
      </c>
      <c r="B164" s="227" t="s">
        <v>172</v>
      </c>
      <c r="C164" s="227" t="s">
        <v>275</v>
      </c>
      <c r="D164" s="228">
        <v>8000</v>
      </c>
      <c r="E164" s="228">
        <v>119.59</v>
      </c>
      <c r="F164" s="228">
        <v>117.07</v>
      </c>
      <c r="G164" s="228">
        <v>2.52</v>
      </c>
      <c r="H164" s="229">
        <v>2.1499999999999998E-2</v>
      </c>
      <c r="I164" s="228">
        <v>119.63</v>
      </c>
      <c r="J164" s="228">
        <v>116.94</v>
      </c>
      <c r="K164" s="228">
        <v>2.69</v>
      </c>
      <c r="L164" s="229">
        <v>2.3E-2</v>
      </c>
      <c r="M164" s="228">
        <v>119.59</v>
      </c>
      <c r="N164" s="228">
        <v>117.07</v>
      </c>
      <c r="O164" s="228">
        <v>2.52</v>
      </c>
      <c r="P164" s="229">
        <v>2.1499999999999998E-2</v>
      </c>
      <c r="Q164" s="228">
        <v>120.43</v>
      </c>
      <c r="R164" s="228">
        <v>117.72</v>
      </c>
      <c r="S164" s="228">
        <v>2.71</v>
      </c>
      <c r="T164" s="229">
        <v>2.3E-2</v>
      </c>
      <c r="U164" s="228">
        <v>121.26</v>
      </c>
      <c r="V164" s="228">
        <v>118.49</v>
      </c>
      <c r="W164" s="228">
        <v>2.77</v>
      </c>
      <c r="X164" s="229">
        <v>2.3400000000000001E-2</v>
      </c>
      <c r="Y164" s="228">
        <v>-0.04</v>
      </c>
      <c r="Z164" s="228">
        <v>0.13</v>
      </c>
      <c r="AA164" s="228">
        <v>-0.17</v>
      </c>
      <c r="AB164" s="229">
        <v>-2.9999999999999997E-4</v>
      </c>
      <c r="AC164" s="228">
        <v>-0.04</v>
      </c>
      <c r="AD164" s="228">
        <v>0.13</v>
      </c>
      <c r="AE164" s="228">
        <v>-0.17</v>
      </c>
      <c r="AF164" s="229">
        <v>-2.9999999999999997E-4</v>
      </c>
      <c r="AG164" s="228">
        <v>0.8</v>
      </c>
      <c r="AH164" s="228">
        <v>0.78</v>
      </c>
      <c r="AI164" s="228">
        <v>0.02</v>
      </c>
      <c r="AJ164" s="229">
        <v>6.7000000000000002E-3</v>
      </c>
      <c r="AK164" s="228">
        <v>1.63</v>
      </c>
      <c r="AL164" s="228">
        <v>1.55</v>
      </c>
      <c r="AM164" s="228">
        <v>0.08</v>
      </c>
      <c r="AN164" s="229">
        <v>1.3599999999999999E-2</v>
      </c>
      <c r="AO164" s="228">
        <v>118.66</v>
      </c>
      <c r="AP164" s="228">
        <v>119.41</v>
      </c>
      <c r="AQ164" s="228">
        <v>0</v>
      </c>
      <c r="AR164" s="230">
        <v>226560000</v>
      </c>
      <c r="AS164" s="230">
        <v>148008000</v>
      </c>
      <c r="AT164" s="230">
        <v>78552000</v>
      </c>
      <c r="AU164" s="229">
        <v>0.53069999999999995</v>
      </c>
      <c r="AV164" s="230">
        <v>105736000</v>
      </c>
      <c r="AW164" s="230">
        <v>72000000</v>
      </c>
      <c r="AX164" s="230">
        <v>33736000</v>
      </c>
      <c r="AY164" s="229">
        <v>0.46860000000000002</v>
      </c>
      <c r="AZ164" s="230">
        <v>118760000</v>
      </c>
      <c r="BA164" s="230">
        <v>74008000</v>
      </c>
      <c r="BB164" s="230">
        <v>44752000</v>
      </c>
      <c r="BC164" s="229">
        <v>0.60470000000000002</v>
      </c>
      <c r="BD164" s="230">
        <v>2064000</v>
      </c>
      <c r="BE164" s="230">
        <v>2000000</v>
      </c>
      <c r="BF164" s="230">
        <v>64000</v>
      </c>
      <c r="BG164" s="229">
        <v>3.2000000000000001E-2</v>
      </c>
      <c r="BH164" s="230">
        <v>236216000</v>
      </c>
      <c r="BI164" s="230">
        <v>198312000</v>
      </c>
      <c r="BJ164" s="230">
        <v>37904000</v>
      </c>
      <c r="BK164" s="229">
        <v>0.19109999999999999</v>
      </c>
      <c r="BL164" s="230">
        <v>116792000</v>
      </c>
      <c r="BM164" s="230">
        <v>126208000</v>
      </c>
      <c r="BN164" s="230">
        <v>-9416000</v>
      </c>
      <c r="BO164" s="229">
        <v>-7.46E-2</v>
      </c>
      <c r="BP164" s="230">
        <v>579568000</v>
      </c>
      <c r="BQ164" s="230">
        <v>472528000</v>
      </c>
      <c r="BR164" s="230">
        <v>107040000</v>
      </c>
      <c r="BS164" s="229">
        <v>0.22650000000000001</v>
      </c>
      <c r="BT164" s="230">
        <v>18346956</v>
      </c>
      <c r="BU164" s="230">
        <v>14353526</v>
      </c>
      <c r="BV164" s="230">
        <v>3993430</v>
      </c>
      <c r="BW164" s="229">
        <v>0.2782</v>
      </c>
      <c r="BX164" s="230">
        <v>230872000</v>
      </c>
      <c r="BY164" s="230">
        <v>239160000</v>
      </c>
      <c r="BZ164" s="230">
        <v>-8288000</v>
      </c>
      <c r="CA164" s="229">
        <v>-3.4700000000000002E-2</v>
      </c>
      <c r="CB164" s="230">
        <v>37864000</v>
      </c>
      <c r="CC164" s="230">
        <v>110968000</v>
      </c>
      <c r="CD164" s="230">
        <v>-73104000</v>
      </c>
      <c r="CE164" s="229">
        <v>-0.65880000000000005</v>
      </c>
      <c r="CF164" s="230">
        <v>188504000</v>
      </c>
      <c r="CG164" s="230">
        <v>123936000</v>
      </c>
      <c r="CH164" s="230">
        <v>64568000</v>
      </c>
      <c r="CI164" s="229">
        <v>0.52100000000000002</v>
      </c>
      <c r="CJ164" s="230">
        <v>4504000</v>
      </c>
      <c r="CK164" s="230">
        <v>4256000</v>
      </c>
      <c r="CL164" s="230">
        <v>248000</v>
      </c>
      <c r="CM164" s="229">
        <v>5.8299999999999998E-2</v>
      </c>
      <c r="CN164" s="230">
        <v>154352000</v>
      </c>
      <c r="CO164" s="230">
        <v>167624000</v>
      </c>
      <c r="CP164" s="230">
        <v>-13272000</v>
      </c>
      <c r="CQ164" s="229">
        <v>-7.9200000000000007E-2</v>
      </c>
      <c r="CR164" s="230">
        <v>132896000</v>
      </c>
      <c r="CS164" s="230">
        <v>127368000</v>
      </c>
      <c r="CT164" s="230">
        <v>5528000</v>
      </c>
      <c r="CU164" s="229">
        <v>4.3400000000000001E-2</v>
      </c>
      <c r="CV164" s="230">
        <v>518120000</v>
      </c>
      <c r="CW164" s="230">
        <v>534152000</v>
      </c>
      <c r="CX164" s="230">
        <v>-16032000</v>
      </c>
      <c r="CY164" s="229">
        <v>-0.03</v>
      </c>
      <c r="CZ164" s="228">
        <v>28.26</v>
      </c>
      <c r="DA164" s="228">
        <v>27</v>
      </c>
      <c r="DB164" s="228">
        <v>1.26</v>
      </c>
      <c r="DC164" s="228">
        <v>1.26</v>
      </c>
      <c r="DD164" s="228">
        <v>37.119999999999997</v>
      </c>
      <c r="DE164" s="228">
        <v>37.1</v>
      </c>
      <c r="DF164" s="228">
        <v>-8.86</v>
      </c>
      <c r="DG164" s="228">
        <v>0.02</v>
      </c>
      <c r="DH164" s="228">
        <v>28.4</v>
      </c>
      <c r="DI164" s="228">
        <v>27.45</v>
      </c>
      <c r="DJ164" s="228">
        <v>0.95</v>
      </c>
      <c r="DK164" s="228">
        <v>0.95</v>
      </c>
      <c r="DL164" s="228">
        <v>27.95</v>
      </c>
      <c r="DM164" s="228">
        <v>25.98</v>
      </c>
      <c r="DN164" s="228">
        <v>1.97</v>
      </c>
      <c r="DO164" s="228">
        <v>1.97</v>
      </c>
      <c r="DP164" s="228">
        <v>0.86</v>
      </c>
      <c r="DQ164" s="228">
        <v>0.76</v>
      </c>
      <c r="DR164" s="228">
        <v>0.1</v>
      </c>
      <c r="DS164" s="229">
        <v>0.13159999999999999</v>
      </c>
      <c r="DT164" s="228">
        <v>125</v>
      </c>
      <c r="DU164" s="228">
        <v>120</v>
      </c>
      <c r="DV164" s="228">
        <v>0.49</v>
      </c>
      <c r="DW164" s="228">
        <v>0.64</v>
      </c>
      <c r="DX164" s="228">
        <v>-0.15</v>
      </c>
      <c r="DY164" s="229">
        <v>-0.2344</v>
      </c>
      <c r="DZ164" s="229">
        <v>0.83599999999999997</v>
      </c>
      <c r="EA164" s="230">
        <v>128192000</v>
      </c>
      <c r="EB164" s="229">
        <v>7.0000000000000001E-3</v>
      </c>
      <c r="EC164" s="229">
        <v>0.83599999999999997</v>
      </c>
      <c r="ED164" s="228">
        <v>0.75</v>
      </c>
      <c r="EE164" s="229">
        <v>6.3E-3</v>
      </c>
      <c r="EF164" s="230">
        <v>9647605</v>
      </c>
      <c r="EG164" s="230">
        <v>6902334</v>
      </c>
      <c r="EH164" s="229">
        <v>0.3977</v>
      </c>
      <c r="EI164" s="229">
        <v>0.52580000000000005</v>
      </c>
      <c r="EJ164" s="231">
        <v>287693.23</v>
      </c>
      <c r="EK164" s="231">
        <v>137711.23000000001</v>
      </c>
      <c r="EL164" s="231">
        <v>269764.53000000003</v>
      </c>
      <c r="EM164" s="231">
        <v>13958</v>
      </c>
      <c r="EN164" s="231">
        <v>695168.99</v>
      </c>
      <c r="EO164" s="231">
        <v>562957.53</v>
      </c>
      <c r="EP164" s="231">
        <v>132211.46</v>
      </c>
      <c r="EQ164" s="229">
        <v>0.2349</v>
      </c>
      <c r="ER164" s="231">
        <v>187442</v>
      </c>
      <c r="ES164" s="231">
        <v>150291</v>
      </c>
      <c r="ET164" s="231">
        <v>277758</v>
      </c>
      <c r="EU164" s="231">
        <v>447910372</v>
      </c>
      <c r="EV164" s="231">
        <v>615492</v>
      </c>
      <c r="EW164" s="231">
        <v>627341</v>
      </c>
      <c r="EX164" s="231">
        <v>-11849</v>
      </c>
      <c r="EY164" s="229">
        <v>-1.89E-2</v>
      </c>
      <c r="EZ164" s="229">
        <v>1.1567000000000001</v>
      </c>
      <c r="FA164" s="227" t="s">
        <v>556</v>
      </c>
      <c r="FB164" s="161">
        <f t="shared" si="4"/>
        <v>0</v>
      </c>
    </row>
    <row r="165" spans="1:158" ht="17.25" thickBot="1" x14ac:dyDescent="0.3">
      <c r="A165" s="226">
        <v>45957</v>
      </c>
      <c r="B165" s="227" t="s">
        <v>175</v>
      </c>
      <c r="C165" s="227" t="s">
        <v>671</v>
      </c>
      <c r="D165" s="228">
        <v>650</v>
      </c>
      <c r="E165" s="228">
        <v>928.45</v>
      </c>
      <c r="F165" s="228">
        <v>907.75</v>
      </c>
      <c r="G165" s="228">
        <v>20.7</v>
      </c>
      <c r="H165" s="229">
        <v>2.2800000000000001E-2</v>
      </c>
      <c r="I165" s="228">
        <v>927.6</v>
      </c>
      <c r="J165" s="228">
        <v>907.3</v>
      </c>
      <c r="K165" s="228">
        <v>20.3</v>
      </c>
      <c r="L165" s="229">
        <v>2.24E-2</v>
      </c>
      <c r="M165" s="228">
        <v>928.45</v>
      </c>
      <c r="N165" s="228">
        <v>907.75</v>
      </c>
      <c r="O165" s="228">
        <v>20.7</v>
      </c>
      <c r="P165" s="229">
        <v>2.2800000000000001E-2</v>
      </c>
      <c r="Q165" s="228">
        <v>933.75</v>
      </c>
      <c r="R165" s="228">
        <v>912.35</v>
      </c>
      <c r="S165" s="228">
        <v>21.4</v>
      </c>
      <c r="T165" s="229">
        <v>2.35E-2</v>
      </c>
      <c r="U165" s="228">
        <v>939.65</v>
      </c>
      <c r="V165" s="228">
        <v>918.15</v>
      </c>
      <c r="W165" s="228">
        <v>21.5</v>
      </c>
      <c r="X165" s="229">
        <v>2.3400000000000001E-2</v>
      </c>
      <c r="Y165" s="228">
        <v>0.85</v>
      </c>
      <c r="Z165" s="228">
        <v>0.45</v>
      </c>
      <c r="AA165" s="228">
        <v>0.4</v>
      </c>
      <c r="AB165" s="229">
        <v>8.9999999999999998E-4</v>
      </c>
      <c r="AC165" s="228">
        <v>0.85</v>
      </c>
      <c r="AD165" s="228">
        <v>0.45</v>
      </c>
      <c r="AE165" s="228">
        <v>0.4</v>
      </c>
      <c r="AF165" s="229">
        <v>8.9999999999999998E-4</v>
      </c>
      <c r="AG165" s="228">
        <v>6.15</v>
      </c>
      <c r="AH165" s="228">
        <v>5.05</v>
      </c>
      <c r="AI165" s="228">
        <v>1.1000000000000001</v>
      </c>
      <c r="AJ165" s="229">
        <v>6.6E-3</v>
      </c>
      <c r="AK165" s="228">
        <v>12.05</v>
      </c>
      <c r="AL165" s="228">
        <v>10.85</v>
      </c>
      <c r="AM165" s="228">
        <v>1.2</v>
      </c>
      <c r="AN165" s="229">
        <v>1.2999999999999999E-2</v>
      </c>
      <c r="AO165" s="228">
        <v>924.68</v>
      </c>
      <c r="AP165" s="228">
        <v>930.23</v>
      </c>
      <c r="AQ165" s="228">
        <v>0</v>
      </c>
      <c r="AR165" s="230">
        <v>14307150</v>
      </c>
      <c r="AS165" s="230">
        <v>13928200</v>
      </c>
      <c r="AT165" s="230">
        <v>378950</v>
      </c>
      <c r="AU165" s="229">
        <v>2.7199999999999998E-2</v>
      </c>
      <c r="AV165" s="230">
        <v>6208800</v>
      </c>
      <c r="AW165" s="230">
        <v>6461650</v>
      </c>
      <c r="AX165" s="230">
        <v>-252850</v>
      </c>
      <c r="AY165" s="229">
        <v>-3.9100000000000003E-2</v>
      </c>
      <c r="AZ165" s="230">
        <v>8019050</v>
      </c>
      <c r="BA165" s="230">
        <v>7395700</v>
      </c>
      <c r="BB165" s="230">
        <v>623350</v>
      </c>
      <c r="BC165" s="229">
        <v>8.43E-2</v>
      </c>
      <c r="BD165" s="230">
        <v>79300</v>
      </c>
      <c r="BE165" s="230">
        <v>70850</v>
      </c>
      <c r="BF165" s="230">
        <v>8450</v>
      </c>
      <c r="BG165" s="229">
        <v>0.1193</v>
      </c>
      <c r="BH165" s="230">
        <v>19918600</v>
      </c>
      <c r="BI165" s="230">
        <v>17752150</v>
      </c>
      <c r="BJ165" s="230">
        <v>2166450</v>
      </c>
      <c r="BK165" s="229">
        <v>0.122</v>
      </c>
      <c r="BL165" s="230">
        <v>9311900</v>
      </c>
      <c r="BM165" s="230">
        <v>8609250</v>
      </c>
      <c r="BN165" s="230">
        <v>702650</v>
      </c>
      <c r="BO165" s="229">
        <v>8.1600000000000006E-2</v>
      </c>
      <c r="BP165" s="230">
        <v>43537650</v>
      </c>
      <c r="BQ165" s="230">
        <v>40289600</v>
      </c>
      <c r="BR165" s="230">
        <v>3248050</v>
      </c>
      <c r="BS165" s="229">
        <v>8.0600000000000005E-2</v>
      </c>
      <c r="BT165" s="230">
        <v>2020242</v>
      </c>
      <c r="BU165" s="230">
        <v>2432242</v>
      </c>
      <c r="BV165" s="230">
        <v>-412000</v>
      </c>
      <c r="BW165" s="229">
        <v>-0.1694</v>
      </c>
      <c r="BX165" s="230">
        <v>16807700</v>
      </c>
      <c r="BY165" s="230">
        <v>16360500</v>
      </c>
      <c r="BZ165" s="230">
        <v>447200</v>
      </c>
      <c r="CA165" s="229">
        <v>2.7300000000000001E-2</v>
      </c>
      <c r="CB165" s="230">
        <v>2838550</v>
      </c>
      <c r="CC165" s="230">
        <v>7272200</v>
      </c>
      <c r="CD165" s="230">
        <v>-4433650</v>
      </c>
      <c r="CE165" s="229">
        <v>-0.60970000000000002</v>
      </c>
      <c r="CF165" s="230">
        <v>13863850</v>
      </c>
      <c r="CG165" s="230">
        <v>9005750</v>
      </c>
      <c r="CH165" s="230">
        <v>4858100</v>
      </c>
      <c r="CI165" s="229">
        <v>0.53939999999999999</v>
      </c>
      <c r="CJ165" s="230">
        <v>105300</v>
      </c>
      <c r="CK165" s="230">
        <v>82550</v>
      </c>
      <c r="CL165" s="230">
        <v>22750</v>
      </c>
      <c r="CM165" s="229">
        <v>0.27560000000000001</v>
      </c>
      <c r="CN165" s="230">
        <v>6634550</v>
      </c>
      <c r="CO165" s="230">
        <v>5005650</v>
      </c>
      <c r="CP165" s="230">
        <v>1628900</v>
      </c>
      <c r="CQ165" s="229">
        <v>0.32540000000000002</v>
      </c>
      <c r="CR165" s="230">
        <v>5773950</v>
      </c>
      <c r="CS165" s="230">
        <v>5058300</v>
      </c>
      <c r="CT165" s="230">
        <v>715650</v>
      </c>
      <c r="CU165" s="229">
        <v>0.14149999999999999</v>
      </c>
      <c r="CV165" s="230">
        <v>29216200</v>
      </c>
      <c r="CW165" s="230">
        <v>26424450</v>
      </c>
      <c r="CX165" s="230">
        <v>2791750</v>
      </c>
      <c r="CY165" s="229">
        <v>0.1057</v>
      </c>
      <c r="CZ165" s="228">
        <v>38.92</v>
      </c>
      <c r="DA165" s="228">
        <v>35.15</v>
      </c>
      <c r="DB165" s="228">
        <v>3.77</v>
      </c>
      <c r="DC165" s="228">
        <v>3.77</v>
      </c>
      <c r="DD165" s="228">
        <v>48.8</v>
      </c>
      <c r="DE165" s="228">
        <v>48.83</v>
      </c>
      <c r="DF165" s="228">
        <v>-9.8800000000000008</v>
      </c>
      <c r="DG165" s="228">
        <v>-0.03</v>
      </c>
      <c r="DH165" s="228">
        <v>39.1</v>
      </c>
      <c r="DI165" s="228">
        <v>35.270000000000003</v>
      </c>
      <c r="DJ165" s="228">
        <v>3.83</v>
      </c>
      <c r="DK165" s="228">
        <v>3.83</v>
      </c>
      <c r="DL165" s="228">
        <v>38.44</v>
      </c>
      <c r="DM165" s="228">
        <v>34.880000000000003</v>
      </c>
      <c r="DN165" s="228">
        <v>3.56</v>
      </c>
      <c r="DO165" s="228">
        <v>3.56</v>
      </c>
      <c r="DP165" s="228">
        <v>0.87</v>
      </c>
      <c r="DQ165" s="228">
        <v>1.01</v>
      </c>
      <c r="DR165" s="228">
        <v>-0.14000000000000001</v>
      </c>
      <c r="DS165" s="229">
        <v>-0.1386</v>
      </c>
      <c r="DT165" s="231">
        <v>1000</v>
      </c>
      <c r="DU165" s="228">
        <v>850</v>
      </c>
      <c r="DV165" s="228">
        <v>0.47</v>
      </c>
      <c r="DW165" s="228">
        <v>0.48</v>
      </c>
      <c r="DX165" s="228">
        <v>-0.01</v>
      </c>
      <c r="DY165" s="229">
        <v>-2.0799999999999999E-2</v>
      </c>
      <c r="DZ165" s="229">
        <v>0.83109999999999995</v>
      </c>
      <c r="EA165" s="230">
        <v>9088300</v>
      </c>
      <c r="EB165" s="229">
        <v>5.7000000000000002E-3</v>
      </c>
      <c r="EC165" s="229">
        <v>0.83109999999999995</v>
      </c>
      <c r="ED165" s="228">
        <v>5.55</v>
      </c>
      <c r="EE165" s="229">
        <v>6.0000000000000001E-3</v>
      </c>
      <c r="EF165" s="230">
        <v>622235</v>
      </c>
      <c r="EG165" s="230">
        <v>1069738</v>
      </c>
      <c r="EH165" s="229">
        <v>-0.41830000000000001</v>
      </c>
      <c r="EI165" s="229">
        <v>0.308</v>
      </c>
      <c r="EJ165" s="231">
        <v>192232.32000000001</v>
      </c>
      <c r="EK165" s="231">
        <v>83037.710000000006</v>
      </c>
      <c r="EL165" s="231">
        <v>132748.82</v>
      </c>
      <c r="EM165" s="231">
        <v>10631</v>
      </c>
      <c r="EN165" s="231">
        <v>408018.85</v>
      </c>
      <c r="EO165" s="231">
        <v>368605.28</v>
      </c>
      <c r="EP165" s="231">
        <v>39413.57</v>
      </c>
      <c r="EQ165" s="229">
        <v>0.1069</v>
      </c>
      <c r="ER165" s="231">
        <v>62745</v>
      </c>
      <c r="ES165" s="231">
        <v>49510</v>
      </c>
      <c r="ET165" s="231">
        <v>156798</v>
      </c>
      <c r="EU165" s="231">
        <v>28062406</v>
      </c>
      <c r="EV165" s="231">
        <v>269053</v>
      </c>
      <c r="EW165" s="231">
        <v>237952</v>
      </c>
      <c r="EX165" s="231">
        <v>31101</v>
      </c>
      <c r="EY165" s="229">
        <v>0.13070000000000001</v>
      </c>
      <c r="EZ165" s="229">
        <v>1.0410999999999999</v>
      </c>
      <c r="FA165" s="227" t="s">
        <v>555</v>
      </c>
      <c r="FB165" s="161">
        <f t="shared" si="4"/>
        <v>0</v>
      </c>
    </row>
    <row r="166" spans="1:158" ht="17.25" thickBot="1" x14ac:dyDescent="0.3">
      <c r="A166" s="226">
        <v>45957</v>
      </c>
      <c r="B166" s="227" t="s">
        <v>615</v>
      </c>
      <c r="C166" s="227" t="s">
        <v>573</v>
      </c>
      <c r="D166" s="228">
        <v>350</v>
      </c>
      <c r="E166" s="231">
        <v>1751.8</v>
      </c>
      <c r="F166" s="231">
        <v>1687</v>
      </c>
      <c r="G166" s="228">
        <v>64.8</v>
      </c>
      <c r="H166" s="229">
        <v>3.8399999999999997E-2</v>
      </c>
      <c r="I166" s="231">
        <v>1749.4</v>
      </c>
      <c r="J166" s="231">
        <v>1685.7</v>
      </c>
      <c r="K166" s="228">
        <v>63.7</v>
      </c>
      <c r="L166" s="229">
        <v>3.78E-2</v>
      </c>
      <c r="M166" s="231">
        <v>1751.8</v>
      </c>
      <c r="N166" s="231">
        <v>1687</v>
      </c>
      <c r="O166" s="228">
        <v>64.8</v>
      </c>
      <c r="P166" s="229">
        <v>3.8399999999999997E-2</v>
      </c>
      <c r="Q166" s="231">
        <v>1761.5</v>
      </c>
      <c r="R166" s="231">
        <v>1696.4</v>
      </c>
      <c r="S166" s="228">
        <v>65.099999999999994</v>
      </c>
      <c r="T166" s="229">
        <v>3.8399999999999997E-2</v>
      </c>
      <c r="U166" s="231">
        <v>1768.8</v>
      </c>
      <c r="V166" s="231">
        <v>1706.9</v>
      </c>
      <c r="W166" s="228">
        <v>61.9</v>
      </c>
      <c r="X166" s="229">
        <v>3.6299999999999999E-2</v>
      </c>
      <c r="Y166" s="228">
        <v>2.4</v>
      </c>
      <c r="Z166" s="228">
        <v>1.3</v>
      </c>
      <c r="AA166" s="228">
        <v>1.1000000000000001</v>
      </c>
      <c r="AB166" s="229">
        <v>1.4E-3</v>
      </c>
      <c r="AC166" s="228">
        <v>2.4</v>
      </c>
      <c r="AD166" s="228">
        <v>1.3</v>
      </c>
      <c r="AE166" s="228">
        <v>1.1000000000000001</v>
      </c>
      <c r="AF166" s="229">
        <v>1.4E-3</v>
      </c>
      <c r="AG166" s="228">
        <v>12.1</v>
      </c>
      <c r="AH166" s="228">
        <v>10.7</v>
      </c>
      <c r="AI166" s="228">
        <v>1.4</v>
      </c>
      <c r="AJ166" s="229">
        <v>6.8999999999999999E-3</v>
      </c>
      <c r="AK166" s="228">
        <v>19.399999999999999</v>
      </c>
      <c r="AL166" s="228">
        <v>21.2</v>
      </c>
      <c r="AM166" s="228">
        <v>-1.8</v>
      </c>
      <c r="AN166" s="229">
        <v>1.11E-2</v>
      </c>
      <c r="AO166" s="231">
        <v>1720.79</v>
      </c>
      <c r="AP166" s="231">
        <v>1733.24</v>
      </c>
      <c r="AQ166" s="228">
        <v>0</v>
      </c>
      <c r="AR166" s="230">
        <v>9077600</v>
      </c>
      <c r="AS166" s="230">
        <v>7285250</v>
      </c>
      <c r="AT166" s="230">
        <v>1792350</v>
      </c>
      <c r="AU166" s="229">
        <v>0.246</v>
      </c>
      <c r="AV166" s="230">
        <v>3881850</v>
      </c>
      <c r="AW166" s="230">
        <v>3645600</v>
      </c>
      <c r="AX166" s="230">
        <v>236250</v>
      </c>
      <c r="AY166" s="229">
        <v>6.4799999999999996E-2</v>
      </c>
      <c r="AZ166" s="230">
        <v>5177200</v>
      </c>
      <c r="BA166" s="230">
        <v>3634050</v>
      </c>
      <c r="BB166" s="230">
        <v>1543150</v>
      </c>
      <c r="BC166" s="229">
        <v>0.42459999999999998</v>
      </c>
      <c r="BD166" s="230">
        <v>18550</v>
      </c>
      <c r="BE166" s="230">
        <v>5600</v>
      </c>
      <c r="BF166" s="230">
        <v>12950</v>
      </c>
      <c r="BG166" s="229">
        <v>2.3125</v>
      </c>
      <c r="BH166" s="230">
        <v>7329350</v>
      </c>
      <c r="BI166" s="230">
        <v>4015200</v>
      </c>
      <c r="BJ166" s="230">
        <v>3314150</v>
      </c>
      <c r="BK166" s="229">
        <v>0.82540000000000002</v>
      </c>
      <c r="BL166" s="230">
        <v>1941100</v>
      </c>
      <c r="BM166" s="230">
        <v>1528100</v>
      </c>
      <c r="BN166" s="230">
        <v>413000</v>
      </c>
      <c r="BO166" s="229">
        <v>0.27029999999999998</v>
      </c>
      <c r="BP166" s="230">
        <v>18348050</v>
      </c>
      <c r="BQ166" s="230">
        <v>12828550</v>
      </c>
      <c r="BR166" s="230">
        <v>5519500</v>
      </c>
      <c r="BS166" s="229">
        <v>0.43030000000000002</v>
      </c>
      <c r="BT166" s="230">
        <v>1401878</v>
      </c>
      <c r="BU166" s="230">
        <v>1009642</v>
      </c>
      <c r="BV166" s="230">
        <v>392236</v>
      </c>
      <c r="BW166" s="229">
        <v>0.38850000000000001</v>
      </c>
      <c r="BX166" s="230">
        <v>8793050</v>
      </c>
      <c r="BY166" s="230">
        <v>8888950</v>
      </c>
      <c r="BZ166" s="230">
        <v>-95900</v>
      </c>
      <c r="CA166" s="229">
        <v>-1.0800000000000001E-2</v>
      </c>
      <c r="CB166" s="230">
        <v>1109500</v>
      </c>
      <c r="CC166" s="230">
        <v>4031300</v>
      </c>
      <c r="CD166" s="230">
        <v>-2921800</v>
      </c>
      <c r="CE166" s="229">
        <v>-0.7248</v>
      </c>
      <c r="CF166" s="230">
        <v>7663250</v>
      </c>
      <c r="CG166" s="230">
        <v>4840150</v>
      </c>
      <c r="CH166" s="230">
        <v>2823100</v>
      </c>
      <c r="CI166" s="229">
        <v>0.58330000000000004</v>
      </c>
      <c r="CJ166" s="230">
        <v>20300</v>
      </c>
      <c r="CK166" s="230">
        <v>17500</v>
      </c>
      <c r="CL166" s="230">
        <v>2800</v>
      </c>
      <c r="CM166" s="229">
        <v>0.16</v>
      </c>
      <c r="CN166" s="230">
        <v>1340150</v>
      </c>
      <c r="CO166" s="230">
        <v>1219750</v>
      </c>
      <c r="CP166" s="230">
        <v>120400</v>
      </c>
      <c r="CQ166" s="229">
        <v>9.8699999999999996E-2</v>
      </c>
      <c r="CR166" s="230">
        <v>957600</v>
      </c>
      <c r="CS166" s="230">
        <v>1011500</v>
      </c>
      <c r="CT166" s="230">
        <v>-53900</v>
      </c>
      <c r="CU166" s="229">
        <v>-5.33E-2</v>
      </c>
      <c r="CV166" s="230">
        <v>11090800</v>
      </c>
      <c r="CW166" s="230">
        <v>11120200</v>
      </c>
      <c r="CX166" s="230">
        <v>-29400</v>
      </c>
      <c r="CY166" s="229">
        <v>-2.5999999999999999E-3</v>
      </c>
      <c r="CZ166" s="228">
        <v>35.270000000000003</v>
      </c>
      <c r="DA166" s="228">
        <v>36.89</v>
      </c>
      <c r="DB166" s="228">
        <v>-1.62</v>
      </c>
      <c r="DC166" s="228">
        <v>-1.62</v>
      </c>
      <c r="DD166" s="228">
        <v>47.31</v>
      </c>
      <c r="DE166" s="228">
        <v>47.16</v>
      </c>
      <c r="DF166" s="228">
        <v>-12.04</v>
      </c>
      <c r="DG166" s="228">
        <v>0.15</v>
      </c>
      <c r="DH166" s="228">
        <v>35.22</v>
      </c>
      <c r="DI166" s="228">
        <v>36.75</v>
      </c>
      <c r="DJ166" s="228">
        <v>-1.53</v>
      </c>
      <c r="DK166" s="228">
        <v>-1.53</v>
      </c>
      <c r="DL166" s="228">
        <v>35.42</v>
      </c>
      <c r="DM166" s="228">
        <v>37.14</v>
      </c>
      <c r="DN166" s="228">
        <v>-1.72</v>
      </c>
      <c r="DO166" s="228">
        <v>-1.72</v>
      </c>
      <c r="DP166" s="228">
        <v>0.71</v>
      </c>
      <c r="DQ166" s="228">
        <v>0.83</v>
      </c>
      <c r="DR166" s="228">
        <v>-0.12</v>
      </c>
      <c r="DS166" s="229">
        <v>-0.14460000000000001</v>
      </c>
      <c r="DT166" s="231">
        <v>1800</v>
      </c>
      <c r="DU166" s="231">
        <v>1600</v>
      </c>
      <c r="DV166" s="228">
        <v>0.26</v>
      </c>
      <c r="DW166" s="228">
        <v>0.38</v>
      </c>
      <c r="DX166" s="228">
        <v>-0.12</v>
      </c>
      <c r="DY166" s="229">
        <v>-0.31580000000000003</v>
      </c>
      <c r="DZ166" s="229">
        <v>0.87380000000000002</v>
      </c>
      <c r="EA166" s="230">
        <v>4857650</v>
      </c>
      <c r="EB166" s="229">
        <v>5.4999999999999997E-3</v>
      </c>
      <c r="EC166" s="229">
        <v>0.87380000000000002</v>
      </c>
      <c r="ED166" s="228">
        <v>12.45</v>
      </c>
      <c r="EE166" s="229">
        <v>7.1999999999999998E-3</v>
      </c>
      <c r="EF166" s="230">
        <v>651672</v>
      </c>
      <c r="EG166" s="230">
        <v>551746</v>
      </c>
      <c r="EH166" s="229">
        <v>0.18110000000000001</v>
      </c>
      <c r="EI166" s="229">
        <v>0.46489999999999998</v>
      </c>
      <c r="EJ166" s="231">
        <v>130491.79</v>
      </c>
      <c r="EK166" s="231">
        <v>33034.26</v>
      </c>
      <c r="EL166" s="231">
        <v>156855.35</v>
      </c>
      <c r="EM166" s="231">
        <v>10867</v>
      </c>
      <c r="EN166" s="231">
        <v>320381.40000000002</v>
      </c>
      <c r="EO166" s="231">
        <v>216690.71</v>
      </c>
      <c r="EP166" s="231">
        <v>103690.69</v>
      </c>
      <c r="EQ166" s="229">
        <v>0.47849999999999998</v>
      </c>
      <c r="ER166" s="231">
        <v>24398</v>
      </c>
      <c r="ES166" s="231">
        <v>15820</v>
      </c>
      <c r="ET166" s="231">
        <v>154783</v>
      </c>
      <c r="EU166" s="231">
        <v>51720057</v>
      </c>
      <c r="EV166" s="231">
        <v>195001</v>
      </c>
      <c r="EW166" s="231">
        <v>188874</v>
      </c>
      <c r="EX166" s="231">
        <v>6127</v>
      </c>
      <c r="EY166" s="229">
        <v>3.2399999999999998E-2</v>
      </c>
      <c r="EZ166" s="229">
        <v>0.21440000000000001</v>
      </c>
      <c r="FA166" s="227" t="s">
        <v>556</v>
      </c>
      <c r="FB166" s="161">
        <f t="shared" si="4"/>
        <v>0</v>
      </c>
    </row>
    <row r="167" spans="1:158" ht="17.25" thickBot="1" x14ac:dyDescent="0.3">
      <c r="A167" s="226">
        <v>45957</v>
      </c>
      <c r="B167" s="227" t="s">
        <v>184</v>
      </c>
      <c r="C167" s="227" t="s">
        <v>519</v>
      </c>
      <c r="D167" s="228">
        <v>125</v>
      </c>
      <c r="E167" s="231">
        <v>7664</v>
      </c>
      <c r="F167" s="231">
        <v>7499.5</v>
      </c>
      <c r="G167" s="228">
        <v>164.5</v>
      </c>
      <c r="H167" s="229">
        <v>2.1899999999999999E-2</v>
      </c>
      <c r="I167" s="231">
        <v>7666.5</v>
      </c>
      <c r="J167" s="231">
        <v>7513</v>
      </c>
      <c r="K167" s="228">
        <v>153.5</v>
      </c>
      <c r="L167" s="229">
        <v>2.0400000000000001E-2</v>
      </c>
      <c r="M167" s="231">
        <v>7664</v>
      </c>
      <c r="N167" s="231">
        <v>7499.5</v>
      </c>
      <c r="O167" s="228">
        <v>164.5</v>
      </c>
      <c r="P167" s="229">
        <v>2.1899999999999999E-2</v>
      </c>
      <c r="Q167" s="231">
        <v>7717</v>
      </c>
      <c r="R167" s="231">
        <v>7546</v>
      </c>
      <c r="S167" s="228">
        <v>171</v>
      </c>
      <c r="T167" s="229">
        <v>2.2700000000000001E-2</v>
      </c>
      <c r="U167" s="231">
        <v>7765.5</v>
      </c>
      <c r="V167" s="231">
        <v>7588</v>
      </c>
      <c r="W167" s="228">
        <v>177.5</v>
      </c>
      <c r="X167" s="229">
        <v>2.3400000000000001E-2</v>
      </c>
      <c r="Y167" s="228">
        <v>-2.5</v>
      </c>
      <c r="Z167" s="228">
        <v>-13.5</v>
      </c>
      <c r="AA167" s="228">
        <v>11</v>
      </c>
      <c r="AB167" s="229">
        <v>-2.9999999999999997E-4</v>
      </c>
      <c r="AC167" s="228">
        <v>-2.5</v>
      </c>
      <c r="AD167" s="228">
        <v>-13.5</v>
      </c>
      <c r="AE167" s="228">
        <v>11</v>
      </c>
      <c r="AF167" s="229">
        <v>-2.9999999999999997E-4</v>
      </c>
      <c r="AG167" s="228">
        <v>50.5</v>
      </c>
      <c r="AH167" s="228">
        <v>33</v>
      </c>
      <c r="AI167" s="228">
        <v>17.5</v>
      </c>
      <c r="AJ167" s="229">
        <v>6.6E-3</v>
      </c>
      <c r="AK167" s="228">
        <v>99</v>
      </c>
      <c r="AL167" s="228">
        <v>75</v>
      </c>
      <c r="AM167" s="228">
        <v>24</v>
      </c>
      <c r="AN167" s="229">
        <v>1.29E-2</v>
      </c>
      <c r="AO167" s="231">
        <v>7646.08</v>
      </c>
      <c r="AP167" s="231">
        <v>7695.77</v>
      </c>
      <c r="AQ167" s="228">
        <v>0</v>
      </c>
      <c r="AR167" s="230">
        <v>1266500</v>
      </c>
      <c r="AS167" s="230">
        <v>1777625</v>
      </c>
      <c r="AT167" s="230">
        <v>-511125</v>
      </c>
      <c r="AU167" s="229">
        <v>-0.28749999999999998</v>
      </c>
      <c r="AV167" s="230">
        <v>622000</v>
      </c>
      <c r="AW167" s="230">
        <v>979625</v>
      </c>
      <c r="AX167" s="230">
        <v>-357625</v>
      </c>
      <c r="AY167" s="229">
        <v>-0.36509999999999998</v>
      </c>
      <c r="AZ167" s="230">
        <v>634500</v>
      </c>
      <c r="BA167" s="230">
        <v>794750</v>
      </c>
      <c r="BB167" s="230">
        <v>-160250</v>
      </c>
      <c r="BC167" s="229">
        <v>-0.2016</v>
      </c>
      <c r="BD167" s="230">
        <v>10000</v>
      </c>
      <c r="BE167" s="230">
        <v>3250</v>
      </c>
      <c r="BF167" s="230">
        <v>6750</v>
      </c>
      <c r="BG167" s="229">
        <v>2.0769000000000002</v>
      </c>
      <c r="BH167" s="230">
        <v>2439000</v>
      </c>
      <c r="BI167" s="230">
        <v>2838250</v>
      </c>
      <c r="BJ167" s="230">
        <v>-399250</v>
      </c>
      <c r="BK167" s="229">
        <v>-0.14069999999999999</v>
      </c>
      <c r="BL167" s="230">
        <v>1578000</v>
      </c>
      <c r="BM167" s="230">
        <v>2110375</v>
      </c>
      <c r="BN167" s="230">
        <v>-532375</v>
      </c>
      <c r="BO167" s="229">
        <v>-0.25230000000000002</v>
      </c>
      <c r="BP167" s="230">
        <v>5283500</v>
      </c>
      <c r="BQ167" s="230">
        <v>6726250</v>
      </c>
      <c r="BR167" s="230">
        <v>-1442750</v>
      </c>
      <c r="BS167" s="229">
        <v>-0.2145</v>
      </c>
      <c r="BT167" s="230">
        <v>291416</v>
      </c>
      <c r="BU167" s="230">
        <v>208020</v>
      </c>
      <c r="BV167" s="230">
        <v>83396</v>
      </c>
      <c r="BW167" s="229">
        <v>0.40089999999999998</v>
      </c>
      <c r="BX167" s="230">
        <v>1826500</v>
      </c>
      <c r="BY167" s="230">
        <v>1798500</v>
      </c>
      <c r="BZ167" s="230">
        <v>28000</v>
      </c>
      <c r="CA167" s="229">
        <v>1.5599999999999999E-2</v>
      </c>
      <c r="CB167" s="230">
        <v>457500</v>
      </c>
      <c r="CC167" s="230">
        <v>727250</v>
      </c>
      <c r="CD167" s="230">
        <v>-269750</v>
      </c>
      <c r="CE167" s="229">
        <v>-0.37090000000000001</v>
      </c>
      <c r="CF167" s="230">
        <v>1351750</v>
      </c>
      <c r="CG167" s="230">
        <v>1056500</v>
      </c>
      <c r="CH167" s="230">
        <v>295250</v>
      </c>
      <c r="CI167" s="229">
        <v>0.27950000000000003</v>
      </c>
      <c r="CJ167" s="230">
        <v>17250</v>
      </c>
      <c r="CK167" s="230">
        <v>14750</v>
      </c>
      <c r="CL167" s="230">
        <v>2500</v>
      </c>
      <c r="CM167" s="229">
        <v>0.16950000000000001</v>
      </c>
      <c r="CN167" s="230">
        <v>960875</v>
      </c>
      <c r="CO167" s="230">
        <v>1241375</v>
      </c>
      <c r="CP167" s="230">
        <v>-280500</v>
      </c>
      <c r="CQ167" s="229">
        <v>-0.22600000000000001</v>
      </c>
      <c r="CR167" s="230">
        <v>735625</v>
      </c>
      <c r="CS167" s="230">
        <v>760000</v>
      </c>
      <c r="CT167" s="230">
        <v>-24375</v>
      </c>
      <c r="CU167" s="229">
        <v>-3.2099999999999997E-2</v>
      </c>
      <c r="CV167" s="230">
        <v>3523000</v>
      </c>
      <c r="CW167" s="230">
        <v>3799875</v>
      </c>
      <c r="CX167" s="230">
        <v>-276875</v>
      </c>
      <c r="CY167" s="229">
        <v>-7.2900000000000006E-2</v>
      </c>
      <c r="CZ167" s="228">
        <v>24.58</v>
      </c>
      <c r="DA167" s="228">
        <v>23.73</v>
      </c>
      <c r="DB167" s="228">
        <v>0.85</v>
      </c>
      <c r="DC167" s="228">
        <v>0.85</v>
      </c>
      <c r="DD167" s="228">
        <v>40.619999999999997</v>
      </c>
      <c r="DE167" s="228">
        <v>40.630000000000003</v>
      </c>
      <c r="DF167" s="228">
        <v>-16.04</v>
      </c>
      <c r="DG167" s="228">
        <v>-0.01</v>
      </c>
      <c r="DH167" s="228">
        <v>24.49</v>
      </c>
      <c r="DI167" s="228">
        <v>23.64</v>
      </c>
      <c r="DJ167" s="228">
        <v>0.85</v>
      </c>
      <c r="DK167" s="228">
        <v>0.85</v>
      </c>
      <c r="DL167" s="228">
        <v>24.79</v>
      </c>
      <c r="DM167" s="228">
        <v>23.83</v>
      </c>
      <c r="DN167" s="228">
        <v>0.96</v>
      </c>
      <c r="DO167" s="228">
        <v>0.96</v>
      </c>
      <c r="DP167" s="228">
        <v>0.77</v>
      </c>
      <c r="DQ167" s="228">
        <v>0.61</v>
      </c>
      <c r="DR167" s="228">
        <v>0.16</v>
      </c>
      <c r="DS167" s="229">
        <v>0.26229999999999998</v>
      </c>
      <c r="DT167" s="231">
        <v>8000</v>
      </c>
      <c r="DU167" s="231">
        <v>7200</v>
      </c>
      <c r="DV167" s="228">
        <v>0.65</v>
      </c>
      <c r="DW167" s="228">
        <v>0.74</v>
      </c>
      <c r="DX167" s="228">
        <v>-0.09</v>
      </c>
      <c r="DY167" s="229">
        <v>-0.1216</v>
      </c>
      <c r="DZ167" s="229">
        <v>0.74950000000000006</v>
      </c>
      <c r="EA167" s="230">
        <v>1071250</v>
      </c>
      <c r="EB167" s="229">
        <v>6.8999999999999999E-3</v>
      </c>
      <c r="EC167" s="229">
        <v>0.74950000000000006</v>
      </c>
      <c r="ED167" s="228">
        <v>49.69</v>
      </c>
      <c r="EE167" s="229">
        <v>6.4999999999999997E-3</v>
      </c>
      <c r="EF167" s="230">
        <v>156927</v>
      </c>
      <c r="EG167" s="230">
        <v>102777</v>
      </c>
      <c r="EH167" s="229">
        <v>0.52690000000000003</v>
      </c>
      <c r="EI167" s="229">
        <v>0.53849999999999998</v>
      </c>
      <c r="EJ167" s="231">
        <v>191723.03</v>
      </c>
      <c r="EK167" s="231">
        <v>117088.72</v>
      </c>
      <c r="EL167" s="231">
        <v>97162.57</v>
      </c>
      <c r="EM167" s="231">
        <v>8213</v>
      </c>
      <c r="EN167" s="231">
        <v>405974.32</v>
      </c>
      <c r="EO167" s="231">
        <v>511092.45</v>
      </c>
      <c r="EP167" s="231">
        <v>-105118.13</v>
      </c>
      <c r="EQ167" s="229">
        <v>-0.20569999999999999</v>
      </c>
      <c r="ER167" s="231">
        <v>75520</v>
      </c>
      <c r="ES167" s="231">
        <v>53550</v>
      </c>
      <c r="ET167" s="231">
        <v>140717</v>
      </c>
      <c r="EU167" s="231">
        <v>8350688</v>
      </c>
      <c r="EV167" s="231">
        <v>269787</v>
      </c>
      <c r="EW167" s="231">
        <v>287952</v>
      </c>
      <c r="EX167" s="231">
        <v>-18165</v>
      </c>
      <c r="EY167" s="229">
        <v>-6.3100000000000003E-2</v>
      </c>
      <c r="EZ167" s="229">
        <v>0.4219</v>
      </c>
      <c r="FA167" s="227" t="s">
        <v>555</v>
      </c>
      <c r="FB167" s="161">
        <f t="shared" si="4"/>
        <v>0</v>
      </c>
    </row>
    <row r="168" spans="1:158" ht="17.25" thickBot="1" x14ac:dyDescent="0.3">
      <c r="A168" s="226">
        <v>45957</v>
      </c>
      <c r="B168" s="227" t="s">
        <v>161</v>
      </c>
      <c r="C168" s="227" t="s">
        <v>276</v>
      </c>
      <c r="D168" s="228">
        <v>1900</v>
      </c>
      <c r="E168" s="228">
        <v>291.7</v>
      </c>
      <c r="F168" s="228">
        <v>288.45</v>
      </c>
      <c r="G168" s="228">
        <v>3.25</v>
      </c>
      <c r="H168" s="229">
        <v>1.1299999999999999E-2</v>
      </c>
      <c r="I168" s="228">
        <v>291.05</v>
      </c>
      <c r="J168" s="228">
        <v>288.5</v>
      </c>
      <c r="K168" s="228">
        <v>2.5499999999999998</v>
      </c>
      <c r="L168" s="229">
        <v>8.8000000000000005E-3</v>
      </c>
      <c r="M168" s="228">
        <v>291.7</v>
      </c>
      <c r="N168" s="228">
        <v>288.45</v>
      </c>
      <c r="O168" s="228">
        <v>3.25</v>
      </c>
      <c r="P168" s="229">
        <v>1.1299999999999999E-2</v>
      </c>
      <c r="Q168" s="228">
        <v>289.05</v>
      </c>
      <c r="R168" s="228">
        <v>285.85000000000002</v>
      </c>
      <c r="S168" s="228">
        <v>3.2</v>
      </c>
      <c r="T168" s="229">
        <v>1.12E-2</v>
      </c>
      <c r="U168" s="228">
        <v>290.8</v>
      </c>
      <c r="V168" s="228">
        <v>287.5</v>
      </c>
      <c r="W168" s="228">
        <v>3.3</v>
      </c>
      <c r="X168" s="229">
        <v>1.15E-2</v>
      </c>
      <c r="Y168" s="228">
        <v>0.65</v>
      </c>
      <c r="Z168" s="228">
        <v>-0.05</v>
      </c>
      <c r="AA168" s="228">
        <v>0.7</v>
      </c>
      <c r="AB168" s="229">
        <v>2.2000000000000001E-3</v>
      </c>
      <c r="AC168" s="228">
        <v>0.65</v>
      </c>
      <c r="AD168" s="228">
        <v>-0.05</v>
      </c>
      <c r="AE168" s="228">
        <v>0.7</v>
      </c>
      <c r="AF168" s="229">
        <v>2.2000000000000001E-3</v>
      </c>
      <c r="AG168" s="228">
        <v>-2</v>
      </c>
      <c r="AH168" s="228">
        <v>-2.65</v>
      </c>
      <c r="AI168" s="228">
        <v>0.65</v>
      </c>
      <c r="AJ168" s="229">
        <v>-6.8999999999999999E-3</v>
      </c>
      <c r="AK168" s="228">
        <v>-0.25</v>
      </c>
      <c r="AL168" s="228">
        <v>-1</v>
      </c>
      <c r="AM168" s="228">
        <v>0.75</v>
      </c>
      <c r="AN168" s="229">
        <v>-8.9999999999999998E-4</v>
      </c>
      <c r="AO168" s="228">
        <v>291.58999999999997</v>
      </c>
      <c r="AP168" s="228">
        <v>288.95999999999998</v>
      </c>
      <c r="AQ168" s="228">
        <v>0</v>
      </c>
      <c r="AR168" s="230">
        <v>54110100</v>
      </c>
      <c r="AS168" s="230">
        <v>44467600</v>
      </c>
      <c r="AT168" s="230">
        <v>9642500</v>
      </c>
      <c r="AU168" s="229">
        <v>0.21679999999999999</v>
      </c>
      <c r="AV168" s="230">
        <v>26315000</v>
      </c>
      <c r="AW168" s="230">
        <v>22313600</v>
      </c>
      <c r="AX168" s="230">
        <v>4001400</v>
      </c>
      <c r="AY168" s="229">
        <v>0.17929999999999999</v>
      </c>
      <c r="AZ168" s="230">
        <v>27496800</v>
      </c>
      <c r="BA168" s="230">
        <v>21870900</v>
      </c>
      <c r="BB168" s="230">
        <v>5625900</v>
      </c>
      <c r="BC168" s="229">
        <v>0.25719999999999998</v>
      </c>
      <c r="BD168" s="230">
        <v>298300</v>
      </c>
      <c r="BE168" s="230">
        <v>283100</v>
      </c>
      <c r="BF168" s="230">
        <v>15200</v>
      </c>
      <c r="BG168" s="229">
        <v>5.3699999999999998E-2</v>
      </c>
      <c r="BH168" s="230">
        <v>27964200</v>
      </c>
      <c r="BI168" s="230">
        <v>27918600</v>
      </c>
      <c r="BJ168" s="230">
        <v>45600</v>
      </c>
      <c r="BK168" s="229">
        <v>1.6000000000000001E-3</v>
      </c>
      <c r="BL168" s="230">
        <v>14187300</v>
      </c>
      <c r="BM168" s="230">
        <v>13999200</v>
      </c>
      <c r="BN168" s="230">
        <v>188100</v>
      </c>
      <c r="BO168" s="229">
        <v>1.34E-2</v>
      </c>
      <c r="BP168" s="230">
        <v>96261600</v>
      </c>
      <c r="BQ168" s="230">
        <v>86385400</v>
      </c>
      <c r="BR168" s="230">
        <v>9876200</v>
      </c>
      <c r="BS168" s="229">
        <v>0.1143</v>
      </c>
      <c r="BT168" s="230">
        <v>13673864</v>
      </c>
      <c r="BU168" s="230">
        <v>20947082</v>
      </c>
      <c r="BV168" s="230">
        <v>-7273218</v>
      </c>
      <c r="BW168" s="229">
        <v>-0.34720000000000001</v>
      </c>
      <c r="BX168" s="230">
        <v>83142100</v>
      </c>
      <c r="BY168" s="230">
        <v>80603700</v>
      </c>
      <c r="BZ168" s="230">
        <v>2538400</v>
      </c>
      <c r="CA168" s="229">
        <v>3.15E-2</v>
      </c>
      <c r="CB168" s="230">
        <v>25703200</v>
      </c>
      <c r="CC168" s="230">
        <v>44015400</v>
      </c>
      <c r="CD168" s="230">
        <v>-18312200</v>
      </c>
      <c r="CE168" s="229">
        <v>-0.41599999999999998</v>
      </c>
      <c r="CF168" s="230">
        <v>56882200</v>
      </c>
      <c r="CG168" s="230">
        <v>36073400</v>
      </c>
      <c r="CH168" s="230">
        <v>20808800</v>
      </c>
      <c r="CI168" s="229">
        <v>0.57679999999999998</v>
      </c>
      <c r="CJ168" s="230">
        <v>556700</v>
      </c>
      <c r="CK168" s="230">
        <v>514900</v>
      </c>
      <c r="CL168" s="230">
        <v>41800</v>
      </c>
      <c r="CM168" s="229">
        <v>8.1199999999999994E-2</v>
      </c>
      <c r="CN168" s="230">
        <v>27152900</v>
      </c>
      <c r="CO168" s="230">
        <v>28425900</v>
      </c>
      <c r="CP168" s="230">
        <v>-1273000</v>
      </c>
      <c r="CQ168" s="229">
        <v>-4.48E-2</v>
      </c>
      <c r="CR168" s="230">
        <v>15234200</v>
      </c>
      <c r="CS168" s="230">
        <v>15105000</v>
      </c>
      <c r="CT168" s="230">
        <v>129200</v>
      </c>
      <c r="CU168" s="229">
        <v>8.6E-3</v>
      </c>
      <c r="CV168" s="230">
        <v>125529200</v>
      </c>
      <c r="CW168" s="230">
        <v>124134600</v>
      </c>
      <c r="CX168" s="230">
        <v>1394600</v>
      </c>
      <c r="CY168" s="229">
        <v>1.12E-2</v>
      </c>
      <c r="CZ168" s="228">
        <v>21.3</v>
      </c>
      <c r="DA168" s="228">
        <v>20.350000000000001</v>
      </c>
      <c r="DB168" s="228">
        <v>0.95</v>
      </c>
      <c r="DC168" s="228">
        <v>0.95</v>
      </c>
      <c r="DD168" s="228">
        <v>29.01</v>
      </c>
      <c r="DE168" s="228">
        <v>29.06</v>
      </c>
      <c r="DF168" s="228">
        <v>-7.71</v>
      </c>
      <c r="DG168" s="228">
        <v>-0.05</v>
      </c>
      <c r="DH168" s="228">
        <v>21.58</v>
      </c>
      <c r="DI168" s="228">
        <v>20.55</v>
      </c>
      <c r="DJ168" s="228">
        <v>1.03</v>
      </c>
      <c r="DK168" s="228">
        <v>1.03</v>
      </c>
      <c r="DL168" s="228">
        <v>20.84</v>
      </c>
      <c r="DM168" s="228">
        <v>20</v>
      </c>
      <c r="DN168" s="228">
        <v>0.84</v>
      </c>
      <c r="DO168" s="228">
        <v>0.84</v>
      </c>
      <c r="DP168" s="228">
        <v>0.56000000000000005</v>
      </c>
      <c r="DQ168" s="228">
        <v>0.53</v>
      </c>
      <c r="DR168" s="228">
        <v>0.03</v>
      </c>
      <c r="DS168" s="229">
        <v>5.6599999999999998E-2</v>
      </c>
      <c r="DT168" s="228">
        <v>300</v>
      </c>
      <c r="DU168" s="228">
        <v>290</v>
      </c>
      <c r="DV168" s="228">
        <v>0.51</v>
      </c>
      <c r="DW168" s="228">
        <v>0.5</v>
      </c>
      <c r="DX168" s="228">
        <v>0.01</v>
      </c>
      <c r="DY168" s="229">
        <v>0.02</v>
      </c>
      <c r="DZ168" s="229">
        <v>0.69089999999999996</v>
      </c>
      <c r="EA168" s="230">
        <v>36588300</v>
      </c>
      <c r="EB168" s="229">
        <v>-9.1000000000000004E-3</v>
      </c>
      <c r="EC168" s="229">
        <v>0.69089999999999996</v>
      </c>
      <c r="ED168" s="228">
        <v>-2.63</v>
      </c>
      <c r="EE168" s="229">
        <v>-8.9999999999999993E-3</v>
      </c>
      <c r="EF168" s="230">
        <v>9905658</v>
      </c>
      <c r="EG168" s="230">
        <v>16972219</v>
      </c>
      <c r="EH168" s="229">
        <v>-0.41639999999999999</v>
      </c>
      <c r="EI168" s="229">
        <v>0.72440000000000004</v>
      </c>
      <c r="EJ168" s="231">
        <v>82819.929999999993</v>
      </c>
      <c r="EK168" s="231">
        <v>41268.49</v>
      </c>
      <c r="EL168" s="231">
        <v>157053.85999999999</v>
      </c>
      <c r="EM168" s="231">
        <v>12069</v>
      </c>
      <c r="EN168" s="231">
        <v>281142.28000000003</v>
      </c>
      <c r="EO168" s="231">
        <v>251011.98</v>
      </c>
      <c r="EP168" s="231">
        <v>30130.3</v>
      </c>
      <c r="EQ168" s="229">
        <v>0.12</v>
      </c>
      <c r="ER168" s="231">
        <v>81578</v>
      </c>
      <c r="ES168" s="231">
        <v>43568</v>
      </c>
      <c r="ET168" s="231">
        <v>241013</v>
      </c>
      <c r="EU168" s="231">
        <v>488832949</v>
      </c>
      <c r="EV168" s="231">
        <v>366159</v>
      </c>
      <c r="EW168" s="231">
        <v>359927</v>
      </c>
      <c r="EX168" s="231">
        <v>6232</v>
      </c>
      <c r="EY168" s="229">
        <v>1.7299999999999999E-2</v>
      </c>
      <c r="EZ168" s="229">
        <v>0.25679999999999997</v>
      </c>
      <c r="FA168" s="227" t="s">
        <v>555</v>
      </c>
      <c r="FB168" s="161">
        <f t="shared" si="4"/>
        <v>0</v>
      </c>
    </row>
    <row r="169" spans="1:158" ht="17.25" thickBot="1" x14ac:dyDescent="0.3">
      <c r="A169" s="226">
        <v>45957</v>
      </c>
      <c r="B169" s="227" t="s">
        <v>184</v>
      </c>
      <c r="C169" s="227" t="s">
        <v>688</v>
      </c>
      <c r="D169" s="228">
        <v>50</v>
      </c>
      <c r="E169" s="231">
        <v>16686</v>
      </c>
      <c r="F169" s="231">
        <v>16780</v>
      </c>
      <c r="G169" s="228">
        <v>-94</v>
      </c>
      <c r="H169" s="229">
        <v>-5.5999999999999999E-3</v>
      </c>
      <c r="I169" s="231">
        <v>16655</v>
      </c>
      <c r="J169" s="231">
        <v>16767</v>
      </c>
      <c r="K169" s="228">
        <v>-112</v>
      </c>
      <c r="L169" s="229">
        <v>-6.7000000000000002E-3</v>
      </c>
      <c r="M169" s="231">
        <v>16686</v>
      </c>
      <c r="N169" s="231">
        <v>16780</v>
      </c>
      <c r="O169" s="228">
        <v>-94</v>
      </c>
      <c r="P169" s="229">
        <v>-5.5999999999999999E-3</v>
      </c>
      <c r="Q169" s="231">
        <v>16768</v>
      </c>
      <c r="R169" s="231">
        <v>16884</v>
      </c>
      <c r="S169" s="228">
        <v>-116</v>
      </c>
      <c r="T169" s="229">
        <v>-6.8999999999999999E-3</v>
      </c>
      <c r="U169" s="231">
        <v>16906</v>
      </c>
      <c r="V169" s="231">
        <v>17308</v>
      </c>
      <c r="W169" s="228">
        <v>-402</v>
      </c>
      <c r="X169" s="229">
        <v>-2.3199999999999998E-2</v>
      </c>
      <c r="Y169" s="228">
        <v>31</v>
      </c>
      <c r="Z169" s="228">
        <v>13</v>
      </c>
      <c r="AA169" s="228">
        <v>18</v>
      </c>
      <c r="AB169" s="229">
        <v>1.9E-3</v>
      </c>
      <c r="AC169" s="228">
        <v>31</v>
      </c>
      <c r="AD169" s="228">
        <v>13</v>
      </c>
      <c r="AE169" s="228">
        <v>18</v>
      </c>
      <c r="AF169" s="229">
        <v>1.9E-3</v>
      </c>
      <c r="AG169" s="228">
        <v>113</v>
      </c>
      <c r="AH169" s="228">
        <v>117</v>
      </c>
      <c r="AI169" s="228">
        <v>-4</v>
      </c>
      <c r="AJ169" s="229">
        <v>6.7999999999999996E-3</v>
      </c>
      <c r="AK169" s="228">
        <v>251</v>
      </c>
      <c r="AL169" s="228">
        <v>541</v>
      </c>
      <c r="AM169" s="228">
        <v>-290</v>
      </c>
      <c r="AN169" s="229">
        <v>1.5100000000000001E-2</v>
      </c>
      <c r="AO169" s="231">
        <v>16803.97</v>
      </c>
      <c r="AP169" s="231">
        <v>16887.689999999999</v>
      </c>
      <c r="AQ169" s="228">
        <v>0</v>
      </c>
      <c r="AR169" s="230">
        <v>145400</v>
      </c>
      <c r="AS169" s="230">
        <v>140800</v>
      </c>
      <c r="AT169" s="230">
        <v>4600</v>
      </c>
      <c r="AU169" s="229">
        <v>3.27E-2</v>
      </c>
      <c r="AV169" s="230">
        <v>45850</v>
      </c>
      <c r="AW169" s="230">
        <v>71750</v>
      </c>
      <c r="AX169" s="230">
        <v>-25900</v>
      </c>
      <c r="AY169" s="229">
        <v>-0.36099999999999999</v>
      </c>
      <c r="AZ169" s="230">
        <v>98800</v>
      </c>
      <c r="BA169" s="230">
        <v>69050</v>
      </c>
      <c r="BB169" s="230">
        <v>29750</v>
      </c>
      <c r="BC169" s="229">
        <v>0.43080000000000002</v>
      </c>
      <c r="BD169" s="228">
        <v>750</v>
      </c>
      <c r="BE169" s="228">
        <v>0</v>
      </c>
      <c r="BF169" s="228">
        <v>750</v>
      </c>
      <c r="BG169" s="229">
        <v>0</v>
      </c>
      <c r="BH169" s="230">
        <v>177750</v>
      </c>
      <c r="BI169" s="230">
        <v>120900</v>
      </c>
      <c r="BJ169" s="230">
        <v>56850</v>
      </c>
      <c r="BK169" s="229">
        <v>0.47020000000000001</v>
      </c>
      <c r="BL169" s="230">
        <v>182300</v>
      </c>
      <c r="BM169" s="230">
        <v>22000</v>
      </c>
      <c r="BN169" s="230">
        <v>160300</v>
      </c>
      <c r="BO169" s="229">
        <v>7.2864000000000004</v>
      </c>
      <c r="BP169" s="230">
        <v>505450</v>
      </c>
      <c r="BQ169" s="230">
        <v>283700</v>
      </c>
      <c r="BR169" s="230">
        <v>221750</v>
      </c>
      <c r="BS169" s="229">
        <v>0.78159999999999996</v>
      </c>
      <c r="BT169" s="230">
        <v>116475</v>
      </c>
      <c r="BU169" s="230">
        <v>73320</v>
      </c>
      <c r="BV169" s="230">
        <v>43155</v>
      </c>
      <c r="BW169" s="229">
        <v>0.58860000000000001</v>
      </c>
      <c r="BX169" s="230">
        <v>150550</v>
      </c>
      <c r="BY169" s="230">
        <v>124500</v>
      </c>
      <c r="BZ169" s="230">
        <v>26050</v>
      </c>
      <c r="CA169" s="229">
        <v>0.2092</v>
      </c>
      <c r="CB169" s="230">
        <v>22750</v>
      </c>
      <c r="CC169" s="230">
        <v>53600</v>
      </c>
      <c r="CD169" s="230">
        <v>-30850</v>
      </c>
      <c r="CE169" s="229">
        <v>-0.5756</v>
      </c>
      <c r="CF169" s="230">
        <v>126750</v>
      </c>
      <c r="CG169" s="230">
        <v>70600</v>
      </c>
      <c r="CH169" s="230">
        <v>56150</v>
      </c>
      <c r="CI169" s="229">
        <v>0.79530000000000001</v>
      </c>
      <c r="CJ169" s="230">
        <v>1050</v>
      </c>
      <c r="CK169" s="228">
        <v>300</v>
      </c>
      <c r="CL169" s="228">
        <v>750</v>
      </c>
      <c r="CM169" s="229">
        <v>2.5</v>
      </c>
      <c r="CN169" s="230">
        <v>83700</v>
      </c>
      <c r="CO169" s="230">
        <v>94100</v>
      </c>
      <c r="CP169" s="230">
        <v>-10400</v>
      </c>
      <c r="CQ169" s="229">
        <v>-0.1105</v>
      </c>
      <c r="CR169" s="230">
        <v>20800</v>
      </c>
      <c r="CS169" s="230">
        <v>19300</v>
      </c>
      <c r="CT169" s="230">
        <v>1500</v>
      </c>
      <c r="CU169" s="229">
        <v>7.7700000000000005E-2</v>
      </c>
      <c r="CV169" s="230">
        <v>255050</v>
      </c>
      <c r="CW169" s="230">
        <v>237900</v>
      </c>
      <c r="CX169" s="230">
        <v>17150</v>
      </c>
      <c r="CY169" s="229">
        <v>7.2099999999999997E-2</v>
      </c>
      <c r="CZ169" s="228">
        <v>41.1</v>
      </c>
      <c r="DA169" s="228">
        <v>40.130000000000003</v>
      </c>
      <c r="DB169" s="228">
        <v>0.97</v>
      </c>
      <c r="DC169" s="228">
        <v>0.97</v>
      </c>
      <c r="DD169" s="228">
        <v>57.28</v>
      </c>
      <c r="DE169" s="228">
        <v>57.42</v>
      </c>
      <c r="DF169" s="228">
        <v>-16.18</v>
      </c>
      <c r="DG169" s="228">
        <v>-0.14000000000000001</v>
      </c>
      <c r="DH169" s="228">
        <v>41.54</v>
      </c>
      <c r="DI169" s="228">
        <v>40.18</v>
      </c>
      <c r="DJ169" s="228">
        <v>1.36</v>
      </c>
      <c r="DK169" s="228">
        <v>1.36</v>
      </c>
      <c r="DL169" s="228">
        <v>39.409999999999997</v>
      </c>
      <c r="DM169" s="228">
        <v>40.08</v>
      </c>
      <c r="DN169" s="228">
        <v>-0.67</v>
      </c>
      <c r="DO169" s="228">
        <v>-0.67</v>
      </c>
      <c r="DP169" s="228">
        <v>0.25</v>
      </c>
      <c r="DQ169" s="228">
        <v>0.21</v>
      </c>
      <c r="DR169" s="228">
        <v>0.04</v>
      </c>
      <c r="DS169" s="229">
        <v>0.1905</v>
      </c>
      <c r="DT169" s="231">
        <v>18000</v>
      </c>
      <c r="DU169" s="231">
        <v>16500</v>
      </c>
      <c r="DV169" s="228">
        <v>1.03</v>
      </c>
      <c r="DW169" s="228">
        <v>0.18</v>
      </c>
      <c r="DX169" s="228">
        <v>0.85</v>
      </c>
      <c r="DY169" s="229">
        <v>4.7222</v>
      </c>
      <c r="DZ169" s="229">
        <v>0.84889999999999999</v>
      </c>
      <c r="EA169" s="230">
        <v>70900</v>
      </c>
      <c r="EB169" s="229">
        <v>4.8999999999999998E-3</v>
      </c>
      <c r="EC169" s="229">
        <v>0.84889999999999999</v>
      </c>
      <c r="ED169" s="228">
        <v>83.72</v>
      </c>
      <c r="EE169" s="229">
        <v>5.0000000000000001E-3</v>
      </c>
      <c r="EF169" s="230">
        <v>75683</v>
      </c>
      <c r="EG169" s="230">
        <v>32759</v>
      </c>
      <c r="EH169" s="229">
        <v>1.3103</v>
      </c>
      <c r="EI169" s="229">
        <v>0.64980000000000004</v>
      </c>
      <c r="EJ169" s="231">
        <v>32265.1</v>
      </c>
      <c r="EK169" s="231">
        <v>29062.080000000002</v>
      </c>
      <c r="EL169" s="231">
        <v>24517.13</v>
      </c>
      <c r="EM169" s="231">
        <v>1295</v>
      </c>
      <c r="EN169" s="231">
        <v>85844.31</v>
      </c>
      <c r="EO169" s="231">
        <v>49492.160000000003</v>
      </c>
      <c r="EP169" s="231">
        <v>36352.15</v>
      </c>
      <c r="EQ169" s="229">
        <v>0.73450000000000004</v>
      </c>
      <c r="ER169" s="231">
        <v>15430</v>
      </c>
      <c r="ES169" s="231">
        <v>3530</v>
      </c>
      <c r="ET169" s="231">
        <v>25227</v>
      </c>
      <c r="EU169" s="231">
        <v>1917916</v>
      </c>
      <c r="EV169" s="231">
        <v>44187</v>
      </c>
      <c r="EW169" s="231">
        <v>41604</v>
      </c>
      <c r="EX169" s="231">
        <v>2583</v>
      </c>
      <c r="EY169" s="229">
        <v>6.2100000000000002E-2</v>
      </c>
      <c r="EZ169" s="229">
        <v>0.13300000000000001</v>
      </c>
      <c r="FA169" s="227" t="s">
        <v>567</v>
      </c>
      <c r="FB169" s="161">
        <f t="shared" si="4"/>
        <v>0</v>
      </c>
    </row>
    <row r="170" spans="1:158" ht="17.25" thickBot="1" x14ac:dyDescent="0.3">
      <c r="A170" s="226">
        <v>45957</v>
      </c>
      <c r="B170" s="227" t="s">
        <v>170</v>
      </c>
      <c r="C170" s="227" t="s">
        <v>679</v>
      </c>
      <c r="D170" s="228">
        <v>2500</v>
      </c>
      <c r="E170" s="228">
        <v>203.52</v>
      </c>
      <c r="F170" s="228">
        <v>202.61</v>
      </c>
      <c r="G170" s="228">
        <v>0.91</v>
      </c>
      <c r="H170" s="229">
        <v>4.4999999999999997E-3</v>
      </c>
      <c r="I170" s="228">
        <v>203.14</v>
      </c>
      <c r="J170" s="228">
        <v>202.37</v>
      </c>
      <c r="K170" s="228">
        <v>0.77</v>
      </c>
      <c r="L170" s="229">
        <v>3.8E-3</v>
      </c>
      <c r="M170" s="228">
        <v>203.52</v>
      </c>
      <c r="N170" s="228">
        <v>202.61</v>
      </c>
      <c r="O170" s="228">
        <v>0.91</v>
      </c>
      <c r="P170" s="229">
        <v>4.4999999999999997E-3</v>
      </c>
      <c r="Q170" s="228">
        <v>204.3</v>
      </c>
      <c r="R170" s="228">
        <v>203.17</v>
      </c>
      <c r="S170" s="228">
        <v>1.1299999999999999</v>
      </c>
      <c r="T170" s="229">
        <v>5.5999999999999999E-3</v>
      </c>
      <c r="U170" s="228">
        <v>204.84</v>
      </c>
      <c r="V170" s="228">
        <v>204.15</v>
      </c>
      <c r="W170" s="228">
        <v>0.69</v>
      </c>
      <c r="X170" s="229">
        <v>3.3999999999999998E-3</v>
      </c>
      <c r="Y170" s="228">
        <v>0.38</v>
      </c>
      <c r="Z170" s="228">
        <v>0.24</v>
      </c>
      <c r="AA170" s="228">
        <v>0.14000000000000001</v>
      </c>
      <c r="AB170" s="229">
        <v>1.9E-3</v>
      </c>
      <c r="AC170" s="228">
        <v>0.38</v>
      </c>
      <c r="AD170" s="228">
        <v>0.24</v>
      </c>
      <c r="AE170" s="228">
        <v>0.14000000000000001</v>
      </c>
      <c r="AF170" s="229">
        <v>1.9E-3</v>
      </c>
      <c r="AG170" s="228">
        <v>1.1599999999999999</v>
      </c>
      <c r="AH170" s="228">
        <v>0.8</v>
      </c>
      <c r="AI170" s="228">
        <v>0.36</v>
      </c>
      <c r="AJ170" s="229">
        <v>5.7000000000000002E-3</v>
      </c>
      <c r="AK170" s="228">
        <v>1.7</v>
      </c>
      <c r="AL170" s="228">
        <v>1.78</v>
      </c>
      <c r="AM170" s="228">
        <v>-0.08</v>
      </c>
      <c r="AN170" s="229">
        <v>8.3999999999999995E-3</v>
      </c>
      <c r="AO170" s="228">
        <v>204.08</v>
      </c>
      <c r="AP170" s="228">
        <v>204.79</v>
      </c>
      <c r="AQ170" s="228">
        <v>0</v>
      </c>
      <c r="AR170" s="230">
        <v>18332500</v>
      </c>
      <c r="AS170" s="230">
        <v>22115000</v>
      </c>
      <c r="AT170" s="230">
        <v>-3782500</v>
      </c>
      <c r="AU170" s="229">
        <v>-0.17100000000000001</v>
      </c>
      <c r="AV170" s="230">
        <v>9117500</v>
      </c>
      <c r="AW170" s="230">
        <v>10792500</v>
      </c>
      <c r="AX170" s="230">
        <v>-1675000</v>
      </c>
      <c r="AY170" s="229">
        <v>-0.1552</v>
      </c>
      <c r="AZ170" s="230">
        <v>9157500</v>
      </c>
      <c r="BA170" s="230">
        <v>11237500</v>
      </c>
      <c r="BB170" s="230">
        <v>-2080000</v>
      </c>
      <c r="BC170" s="229">
        <v>-0.18509999999999999</v>
      </c>
      <c r="BD170" s="230">
        <v>57500</v>
      </c>
      <c r="BE170" s="230">
        <v>85000</v>
      </c>
      <c r="BF170" s="230">
        <v>-27500</v>
      </c>
      <c r="BG170" s="229">
        <v>-0.32350000000000001</v>
      </c>
      <c r="BH170" s="230">
        <v>11637500</v>
      </c>
      <c r="BI170" s="230">
        <v>22962500</v>
      </c>
      <c r="BJ170" s="230">
        <v>-11325000</v>
      </c>
      <c r="BK170" s="229">
        <v>-0.49320000000000003</v>
      </c>
      <c r="BL170" s="230">
        <v>6535000</v>
      </c>
      <c r="BM170" s="230">
        <v>10822500</v>
      </c>
      <c r="BN170" s="230">
        <v>-4287500</v>
      </c>
      <c r="BO170" s="229">
        <v>-0.3962</v>
      </c>
      <c r="BP170" s="230">
        <v>36505000</v>
      </c>
      <c r="BQ170" s="230">
        <v>55900000</v>
      </c>
      <c r="BR170" s="230">
        <v>-19395000</v>
      </c>
      <c r="BS170" s="229">
        <v>-0.34699999999999998</v>
      </c>
      <c r="BT170" s="230">
        <v>2021434</v>
      </c>
      <c r="BU170" s="230">
        <v>3369319</v>
      </c>
      <c r="BV170" s="230">
        <v>-1347885</v>
      </c>
      <c r="BW170" s="229">
        <v>-0.4</v>
      </c>
      <c r="BX170" s="230">
        <v>22352500</v>
      </c>
      <c r="BY170" s="230">
        <v>23437500</v>
      </c>
      <c r="BZ170" s="230">
        <v>-1085000</v>
      </c>
      <c r="CA170" s="229">
        <v>-4.6300000000000001E-2</v>
      </c>
      <c r="CB170" s="230">
        <v>3990000</v>
      </c>
      <c r="CC170" s="230">
        <v>8960000</v>
      </c>
      <c r="CD170" s="230">
        <v>-4970000</v>
      </c>
      <c r="CE170" s="229">
        <v>-0.55469999999999997</v>
      </c>
      <c r="CF170" s="230">
        <v>18070000</v>
      </c>
      <c r="CG170" s="230">
        <v>14187500</v>
      </c>
      <c r="CH170" s="230">
        <v>3882500</v>
      </c>
      <c r="CI170" s="229">
        <v>0.2737</v>
      </c>
      <c r="CJ170" s="230">
        <v>292500</v>
      </c>
      <c r="CK170" s="230">
        <v>290000</v>
      </c>
      <c r="CL170" s="230">
        <v>2500</v>
      </c>
      <c r="CM170" s="229">
        <v>8.6E-3</v>
      </c>
      <c r="CN170" s="230">
        <v>11457500</v>
      </c>
      <c r="CO170" s="230">
        <v>13312500</v>
      </c>
      <c r="CP170" s="230">
        <v>-1855000</v>
      </c>
      <c r="CQ170" s="229">
        <v>-0.13930000000000001</v>
      </c>
      <c r="CR170" s="230">
        <v>9567500</v>
      </c>
      <c r="CS170" s="230">
        <v>9852500</v>
      </c>
      <c r="CT170" s="230">
        <v>-285000</v>
      </c>
      <c r="CU170" s="229">
        <v>-2.8899999999999999E-2</v>
      </c>
      <c r="CV170" s="230">
        <v>43377500</v>
      </c>
      <c r="CW170" s="230">
        <v>46602500</v>
      </c>
      <c r="CX170" s="230">
        <v>-3225000</v>
      </c>
      <c r="CY170" s="229">
        <v>-6.9199999999999998E-2</v>
      </c>
      <c r="CZ170" s="228">
        <v>35.07</v>
      </c>
      <c r="DA170" s="228">
        <v>35.24</v>
      </c>
      <c r="DB170" s="228">
        <v>-0.17</v>
      </c>
      <c r="DC170" s="228">
        <v>-0.17</v>
      </c>
      <c r="DD170" s="228">
        <v>46.74</v>
      </c>
      <c r="DE170" s="228">
        <v>46.86</v>
      </c>
      <c r="DF170" s="228">
        <v>-11.67</v>
      </c>
      <c r="DG170" s="228">
        <v>-0.12</v>
      </c>
      <c r="DH170" s="228">
        <v>35.32</v>
      </c>
      <c r="DI170" s="228">
        <v>35.46</v>
      </c>
      <c r="DJ170" s="228">
        <v>-0.14000000000000001</v>
      </c>
      <c r="DK170" s="228">
        <v>-0.14000000000000001</v>
      </c>
      <c r="DL170" s="228">
        <v>34.46</v>
      </c>
      <c r="DM170" s="228">
        <v>34.270000000000003</v>
      </c>
      <c r="DN170" s="228">
        <v>0.19</v>
      </c>
      <c r="DO170" s="228">
        <v>0.19</v>
      </c>
      <c r="DP170" s="228">
        <v>0.84</v>
      </c>
      <c r="DQ170" s="228">
        <v>0.74</v>
      </c>
      <c r="DR170" s="228">
        <v>0.1</v>
      </c>
      <c r="DS170" s="229">
        <v>0.1351</v>
      </c>
      <c r="DT170" s="228">
        <v>210</v>
      </c>
      <c r="DU170" s="228">
        <v>180</v>
      </c>
      <c r="DV170" s="228">
        <v>0.56000000000000005</v>
      </c>
      <c r="DW170" s="228">
        <v>0.47</v>
      </c>
      <c r="DX170" s="228">
        <v>0.09</v>
      </c>
      <c r="DY170" s="229">
        <v>0.1915</v>
      </c>
      <c r="DZ170" s="229">
        <v>0.82150000000000001</v>
      </c>
      <c r="EA170" s="230">
        <v>14477500</v>
      </c>
      <c r="EB170" s="229">
        <v>3.8E-3</v>
      </c>
      <c r="EC170" s="229">
        <v>0.82150000000000001</v>
      </c>
      <c r="ED170" s="228">
        <v>0.71</v>
      </c>
      <c r="EE170" s="229">
        <v>3.5000000000000001E-3</v>
      </c>
      <c r="EF170" s="230">
        <v>721239</v>
      </c>
      <c r="EG170" s="230">
        <v>912715</v>
      </c>
      <c r="EH170" s="229">
        <v>-0.20979999999999999</v>
      </c>
      <c r="EI170" s="229">
        <v>0.35680000000000001</v>
      </c>
      <c r="EJ170" s="231">
        <v>24339.58</v>
      </c>
      <c r="EK170" s="231">
        <v>13289.16</v>
      </c>
      <c r="EL170" s="231">
        <v>37478.620000000003</v>
      </c>
      <c r="EM170" s="231">
        <v>6825</v>
      </c>
      <c r="EN170" s="231">
        <v>75107.360000000001</v>
      </c>
      <c r="EO170" s="231">
        <v>115290.46</v>
      </c>
      <c r="EP170" s="231">
        <v>-40183.1</v>
      </c>
      <c r="EQ170" s="229">
        <v>-0.34849999999999998</v>
      </c>
      <c r="ER170" s="231">
        <v>23904</v>
      </c>
      <c r="ES170" s="231">
        <v>18660</v>
      </c>
      <c r="ET170" s="231">
        <v>45637</v>
      </c>
      <c r="EU170" s="231">
        <v>120138597</v>
      </c>
      <c r="EV170" s="231">
        <v>88200</v>
      </c>
      <c r="EW170" s="231">
        <v>94485</v>
      </c>
      <c r="EX170" s="231">
        <v>-6285</v>
      </c>
      <c r="EY170" s="229">
        <v>-6.6500000000000004E-2</v>
      </c>
      <c r="EZ170" s="229">
        <v>0.36109999999999998</v>
      </c>
      <c r="FA170" s="227" t="s">
        <v>556</v>
      </c>
      <c r="FB170" s="161">
        <f t="shared" si="4"/>
        <v>0</v>
      </c>
    </row>
    <row r="171" spans="1:158" ht="17.25" thickBot="1" x14ac:dyDescent="0.3">
      <c r="A171" s="226">
        <v>45957</v>
      </c>
      <c r="B171" s="227" t="s">
        <v>206</v>
      </c>
      <c r="C171" s="227" t="s">
        <v>605</v>
      </c>
      <c r="D171" s="228">
        <v>450</v>
      </c>
      <c r="E171" s="231">
        <v>1785.2</v>
      </c>
      <c r="F171" s="231">
        <v>1752.8</v>
      </c>
      <c r="G171" s="228">
        <v>32.4</v>
      </c>
      <c r="H171" s="229">
        <v>1.8499999999999999E-2</v>
      </c>
      <c r="I171" s="231">
        <v>1784.8</v>
      </c>
      <c r="J171" s="231">
        <v>1754.1</v>
      </c>
      <c r="K171" s="228">
        <v>30.7</v>
      </c>
      <c r="L171" s="229">
        <v>1.7500000000000002E-2</v>
      </c>
      <c r="M171" s="231">
        <v>1785.2</v>
      </c>
      <c r="N171" s="231">
        <v>1752.8</v>
      </c>
      <c r="O171" s="228">
        <v>32.4</v>
      </c>
      <c r="P171" s="229">
        <v>1.8499999999999999E-2</v>
      </c>
      <c r="Q171" s="231">
        <v>1794.8</v>
      </c>
      <c r="R171" s="231">
        <v>1762.7</v>
      </c>
      <c r="S171" s="228">
        <v>32.1</v>
      </c>
      <c r="T171" s="229">
        <v>1.8200000000000001E-2</v>
      </c>
      <c r="U171" s="231">
        <v>1804.4</v>
      </c>
      <c r="V171" s="231">
        <v>1769.2</v>
      </c>
      <c r="W171" s="228">
        <v>35.200000000000003</v>
      </c>
      <c r="X171" s="229">
        <v>1.9900000000000001E-2</v>
      </c>
      <c r="Y171" s="228">
        <v>0.4</v>
      </c>
      <c r="Z171" s="228">
        <v>-1.3</v>
      </c>
      <c r="AA171" s="228">
        <v>1.7</v>
      </c>
      <c r="AB171" s="229">
        <v>2.0000000000000001E-4</v>
      </c>
      <c r="AC171" s="228">
        <v>0.4</v>
      </c>
      <c r="AD171" s="228">
        <v>-1.3</v>
      </c>
      <c r="AE171" s="228">
        <v>1.7</v>
      </c>
      <c r="AF171" s="229">
        <v>2.0000000000000001E-4</v>
      </c>
      <c r="AG171" s="228">
        <v>10</v>
      </c>
      <c r="AH171" s="228">
        <v>8.6</v>
      </c>
      <c r="AI171" s="228">
        <v>1.4</v>
      </c>
      <c r="AJ171" s="229">
        <v>5.5999999999999999E-3</v>
      </c>
      <c r="AK171" s="228">
        <v>19.600000000000001</v>
      </c>
      <c r="AL171" s="228">
        <v>15.1</v>
      </c>
      <c r="AM171" s="228">
        <v>4.5</v>
      </c>
      <c r="AN171" s="229">
        <v>1.0999999999999999E-2</v>
      </c>
      <c r="AO171" s="231">
        <v>1785.74</v>
      </c>
      <c r="AP171" s="231">
        <v>1796.01</v>
      </c>
      <c r="AQ171" s="228">
        <v>0</v>
      </c>
      <c r="AR171" s="230">
        <v>3842100</v>
      </c>
      <c r="AS171" s="230">
        <v>3402450</v>
      </c>
      <c r="AT171" s="230">
        <v>439650</v>
      </c>
      <c r="AU171" s="229">
        <v>0.12920000000000001</v>
      </c>
      <c r="AV171" s="230">
        <v>1904400</v>
      </c>
      <c r="AW171" s="230">
        <v>1756800</v>
      </c>
      <c r="AX171" s="230">
        <v>147600</v>
      </c>
      <c r="AY171" s="229">
        <v>8.4000000000000005E-2</v>
      </c>
      <c r="AZ171" s="230">
        <v>1928250</v>
      </c>
      <c r="BA171" s="230">
        <v>1638900</v>
      </c>
      <c r="BB171" s="230">
        <v>289350</v>
      </c>
      <c r="BC171" s="229">
        <v>0.17660000000000001</v>
      </c>
      <c r="BD171" s="230">
        <v>9450</v>
      </c>
      <c r="BE171" s="230">
        <v>6750</v>
      </c>
      <c r="BF171" s="230">
        <v>2700</v>
      </c>
      <c r="BG171" s="229">
        <v>0.4</v>
      </c>
      <c r="BH171" s="230">
        <v>6241050</v>
      </c>
      <c r="BI171" s="230">
        <v>4229100</v>
      </c>
      <c r="BJ171" s="230">
        <v>2011950</v>
      </c>
      <c r="BK171" s="229">
        <v>0.47570000000000001</v>
      </c>
      <c r="BL171" s="230">
        <v>1719900</v>
      </c>
      <c r="BM171" s="230">
        <v>1560150</v>
      </c>
      <c r="BN171" s="230">
        <v>159750</v>
      </c>
      <c r="BO171" s="229">
        <v>0.1024</v>
      </c>
      <c r="BP171" s="230">
        <v>11803050</v>
      </c>
      <c r="BQ171" s="230">
        <v>9191700</v>
      </c>
      <c r="BR171" s="230">
        <v>2611350</v>
      </c>
      <c r="BS171" s="229">
        <v>0.28410000000000002</v>
      </c>
      <c r="BT171" s="230">
        <v>1276256</v>
      </c>
      <c r="BU171" s="230">
        <v>688307</v>
      </c>
      <c r="BV171" s="230">
        <v>587949</v>
      </c>
      <c r="BW171" s="229">
        <v>0.85419999999999996</v>
      </c>
      <c r="BX171" s="230">
        <v>4327200</v>
      </c>
      <c r="BY171" s="230">
        <v>4358250</v>
      </c>
      <c r="BZ171" s="230">
        <v>-31050</v>
      </c>
      <c r="CA171" s="229">
        <v>-7.1000000000000004E-3</v>
      </c>
      <c r="CB171" s="230">
        <v>1008000</v>
      </c>
      <c r="CC171" s="230">
        <v>2343600</v>
      </c>
      <c r="CD171" s="230">
        <v>-1335600</v>
      </c>
      <c r="CE171" s="229">
        <v>-0.56989999999999996</v>
      </c>
      <c r="CF171" s="230">
        <v>3295350</v>
      </c>
      <c r="CG171" s="230">
        <v>1993050</v>
      </c>
      <c r="CH171" s="230">
        <v>1302300</v>
      </c>
      <c r="CI171" s="229">
        <v>0.65339999999999998</v>
      </c>
      <c r="CJ171" s="230">
        <v>23850</v>
      </c>
      <c r="CK171" s="230">
        <v>21600</v>
      </c>
      <c r="CL171" s="230">
        <v>2250</v>
      </c>
      <c r="CM171" s="229">
        <v>0.1042</v>
      </c>
      <c r="CN171" s="230">
        <v>1522800</v>
      </c>
      <c r="CO171" s="230">
        <v>1552950</v>
      </c>
      <c r="CP171" s="230">
        <v>-30150</v>
      </c>
      <c r="CQ171" s="229">
        <v>-1.9400000000000001E-2</v>
      </c>
      <c r="CR171" s="230">
        <v>1325700</v>
      </c>
      <c r="CS171" s="230">
        <v>1430100</v>
      </c>
      <c r="CT171" s="230">
        <v>-104400</v>
      </c>
      <c r="CU171" s="229">
        <v>-7.2999999999999995E-2</v>
      </c>
      <c r="CV171" s="230">
        <v>7175700</v>
      </c>
      <c r="CW171" s="230">
        <v>7341300</v>
      </c>
      <c r="CX171" s="230">
        <v>-165600</v>
      </c>
      <c r="CY171" s="229">
        <v>-2.2599999999999999E-2</v>
      </c>
      <c r="CZ171" s="228">
        <v>33.729999999999997</v>
      </c>
      <c r="DA171" s="228">
        <v>32.840000000000003</v>
      </c>
      <c r="DB171" s="228">
        <v>0.89</v>
      </c>
      <c r="DC171" s="228">
        <v>0.89</v>
      </c>
      <c r="DD171" s="228">
        <v>46.88</v>
      </c>
      <c r="DE171" s="228">
        <v>46.94</v>
      </c>
      <c r="DF171" s="228">
        <v>-13.15</v>
      </c>
      <c r="DG171" s="228">
        <v>-0.06</v>
      </c>
      <c r="DH171" s="228">
        <v>33.450000000000003</v>
      </c>
      <c r="DI171" s="228">
        <v>32.450000000000003</v>
      </c>
      <c r="DJ171" s="228">
        <v>1</v>
      </c>
      <c r="DK171" s="228">
        <v>1</v>
      </c>
      <c r="DL171" s="228">
        <v>34.97</v>
      </c>
      <c r="DM171" s="228">
        <v>33.770000000000003</v>
      </c>
      <c r="DN171" s="228">
        <v>1.2</v>
      </c>
      <c r="DO171" s="228">
        <v>1.2</v>
      </c>
      <c r="DP171" s="228">
        <v>0.87</v>
      </c>
      <c r="DQ171" s="228">
        <v>0.92</v>
      </c>
      <c r="DR171" s="228">
        <v>-0.05</v>
      </c>
      <c r="DS171" s="229">
        <v>-5.4300000000000001E-2</v>
      </c>
      <c r="DT171" s="231">
        <v>1700</v>
      </c>
      <c r="DU171" s="231">
        <v>1640</v>
      </c>
      <c r="DV171" s="228">
        <v>0.28000000000000003</v>
      </c>
      <c r="DW171" s="228">
        <v>0.37</v>
      </c>
      <c r="DX171" s="228">
        <v>-0.09</v>
      </c>
      <c r="DY171" s="229">
        <v>-0.2432</v>
      </c>
      <c r="DZ171" s="229">
        <v>0.7671</v>
      </c>
      <c r="EA171" s="230">
        <v>2014650</v>
      </c>
      <c r="EB171" s="229">
        <v>5.4000000000000003E-3</v>
      </c>
      <c r="EC171" s="229">
        <v>0.7671</v>
      </c>
      <c r="ED171" s="228">
        <v>10.27</v>
      </c>
      <c r="EE171" s="229">
        <v>5.7999999999999996E-3</v>
      </c>
      <c r="EF171" s="230">
        <v>834966</v>
      </c>
      <c r="EG171" s="230">
        <v>395835</v>
      </c>
      <c r="EH171" s="229">
        <v>1.1093999999999999</v>
      </c>
      <c r="EI171" s="229">
        <v>0.6542</v>
      </c>
      <c r="EJ171" s="231">
        <v>113391.97</v>
      </c>
      <c r="EK171" s="231">
        <v>29634.1</v>
      </c>
      <c r="EL171" s="231">
        <v>68809.55</v>
      </c>
      <c r="EM171" s="231">
        <v>3597</v>
      </c>
      <c r="EN171" s="231">
        <v>211835.62</v>
      </c>
      <c r="EO171" s="231">
        <v>161776.98000000001</v>
      </c>
      <c r="EP171" s="231">
        <v>50058.64</v>
      </c>
      <c r="EQ171" s="229">
        <v>0.30940000000000001</v>
      </c>
      <c r="ER171" s="231">
        <v>26113</v>
      </c>
      <c r="ES171" s="231">
        <v>21474</v>
      </c>
      <c r="ET171" s="231">
        <v>77570</v>
      </c>
      <c r="EU171" s="231">
        <v>25234534</v>
      </c>
      <c r="EV171" s="231">
        <v>125157</v>
      </c>
      <c r="EW171" s="231">
        <v>126385</v>
      </c>
      <c r="EX171" s="231">
        <v>-1228</v>
      </c>
      <c r="EY171" s="229">
        <v>-9.7000000000000003E-3</v>
      </c>
      <c r="EZ171" s="229">
        <v>0.28439999999999999</v>
      </c>
      <c r="FA171" s="227" t="s">
        <v>556</v>
      </c>
      <c r="FB171" s="161">
        <f t="shared" si="4"/>
        <v>0</v>
      </c>
    </row>
    <row r="172" spans="1:158" ht="17.25" thickBot="1" x14ac:dyDescent="0.3">
      <c r="A172" s="226">
        <v>45957</v>
      </c>
      <c r="B172" s="227" t="s">
        <v>172</v>
      </c>
      <c r="C172" s="227" t="s">
        <v>279</v>
      </c>
      <c r="D172" s="228">
        <v>3175</v>
      </c>
      <c r="E172" s="228">
        <v>322.3</v>
      </c>
      <c r="F172" s="228">
        <v>316.64999999999998</v>
      </c>
      <c r="G172" s="228">
        <v>5.65</v>
      </c>
      <c r="H172" s="229">
        <v>1.78E-2</v>
      </c>
      <c r="I172" s="228">
        <v>322.05</v>
      </c>
      <c r="J172" s="228">
        <v>315.95</v>
      </c>
      <c r="K172" s="228">
        <v>6.1</v>
      </c>
      <c r="L172" s="229">
        <v>1.9300000000000001E-2</v>
      </c>
      <c r="M172" s="228">
        <v>322.3</v>
      </c>
      <c r="N172" s="228">
        <v>316.64999999999998</v>
      </c>
      <c r="O172" s="228">
        <v>5.65</v>
      </c>
      <c r="P172" s="229">
        <v>1.78E-2</v>
      </c>
      <c r="Q172" s="228">
        <v>324.3</v>
      </c>
      <c r="R172" s="228">
        <v>318.39999999999998</v>
      </c>
      <c r="S172" s="228">
        <v>5.9</v>
      </c>
      <c r="T172" s="229">
        <v>1.8499999999999999E-2</v>
      </c>
      <c r="U172" s="228">
        <v>326.39999999999998</v>
      </c>
      <c r="V172" s="228">
        <v>320.2</v>
      </c>
      <c r="W172" s="228">
        <v>6.2</v>
      </c>
      <c r="X172" s="229">
        <v>1.9400000000000001E-2</v>
      </c>
      <c r="Y172" s="228">
        <v>0.25</v>
      </c>
      <c r="Z172" s="228">
        <v>0.7</v>
      </c>
      <c r="AA172" s="228">
        <v>-0.45</v>
      </c>
      <c r="AB172" s="229">
        <v>8.0000000000000004E-4</v>
      </c>
      <c r="AC172" s="228">
        <v>0.25</v>
      </c>
      <c r="AD172" s="228">
        <v>0.7</v>
      </c>
      <c r="AE172" s="228">
        <v>-0.45</v>
      </c>
      <c r="AF172" s="229">
        <v>8.0000000000000004E-4</v>
      </c>
      <c r="AG172" s="228">
        <v>2.25</v>
      </c>
      <c r="AH172" s="228">
        <v>2.4500000000000002</v>
      </c>
      <c r="AI172" s="228">
        <v>-0.2</v>
      </c>
      <c r="AJ172" s="229">
        <v>7.0000000000000001E-3</v>
      </c>
      <c r="AK172" s="228">
        <v>4.3499999999999996</v>
      </c>
      <c r="AL172" s="228">
        <v>4.25</v>
      </c>
      <c r="AM172" s="228">
        <v>0.1</v>
      </c>
      <c r="AN172" s="229">
        <v>1.35E-2</v>
      </c>
      <c r="AO172" s="228">
        <v>323.7</v>
      </c>
      <c r="AP172" s="228">
        <v>325.63</v>
      </c>
      <c r="AQ172" s="228">
        <v>0</v>
      </c>
      <c r="AR172" s="230">
        <v>42332275</v>
      </c>
      <c r="AS172" s="230">
        <v>40001825</v>
      </c>
      <c r="AT172" s="230">
        <v>2330450</v>
      </c>
      <c r="AU172" s="229">
        <v>5.8299999999999998E-2</v>
      </c>
      <c r="AV172" s="230">
        <v>18135600</v>
      </c>
      <c r="AW172" s="230">
        <v>17802225</v>
      </c>
      <c r="AX172" s="230">
        <v>333375</v>
      </c>
      <c r="AY172" s="229">
        <v>1.8700000000000001E-2</v>
      </c>
      <c r="AZ172" s="230">
        <v>24066500</v>
      </c>
      <c r="BA172" s="230">
        <v>22078950</v>
      </c>
      <c r="BB172" s="230">
        <v>1987550</v>
      </c>
      <c r="BC172" s="229">
        <v>0.09</v>
      </c>
      <c r="BD172" s="230">
        <v>130175</v>
      </c>
      <c r="BE172" s="230">
        <v>120650</v>
      </c>
      <c r="BF172" s="230">
        <v>9525</v>
      </c>
      <c r="BG172" s="229">
        <v>7.8899999999999998E-2</v>
      </c>
      <c r="BH172" s="230">
        <v>58473975</v>
      </c>
      <c r="BI172" s="230">
        <v>23618825</v>
      </c>
      <c r="BJ172" s="230">
        <v>34855150</v>
      </c>
      <c r="BK172" s="229">
        <v>1.4757</v>
      </c>
      <c r="BL172" s="230">
        <v>20462875</v>
      </c>
      <c r="BM172" s="230">
        <v>13750925</v>
      </c>
      <c r="BN172" s="230">
        <v>6711950</v>
      </c>
      <c r="BO172" s="229">
        <v>0.48809999999999998</v>
      </c>
      <c r="BP172" s="230">
        <v>121269125</v>
      </c>
      <c r="BQ172" s="230">
        <v>77371575</v>
      </c>
      <c r="BR172" s="230">
        <v>43897550</v>
      </c>
      <c r="BS172" s="229">
        <v>0.56740000000000002</v>
      </c>
      <c r="BT172" s="230">
        <v>19616450</v>
      </c>
      <c r="BU172" s="230">
        <v>12219229</v>
      </c>
      <c r="BV172" s="230">
        <v>7397221</v>
      </c>
      <c r="BW172" s="229">
        <v>0.60540000000000005</v>
      </c>
      <c r="BX172" s="230">
        <v>70650100</v>
      </c>
      <c r="BY172" s="230">
        <v>68027550</v>
      </c>
      <c r="BZ172" s="230">
        <v>2622550</v>
      </c>
      <c r="CA172" s="229">
        <v>3.8600000000000002E-2</v>
      </c>
      <c r="CB172" s="230">
        <v>8591550</v>
      </c>
      <c r="CC172" s="230">
        <v>18214975</v>
      </c>
      <c r="CD172" s="230">
        <v>-9623425</v>
      </c>
      <c r="CE172" s="229">
        <v>-0.52829999999999999</v>
      </c>
      <c r="CF172" s="230">
        <v>61696600</v>
      </c>
      <c r="CG172" s="230">
        <v>49530000</v>
      </c>
      <c r="CH172" s="230">
        <v>12166600</v>
      </c>
      <c r="CI172" s="229">
        <v>0.24560000000000001</v>
      </c>
      <c r="CJ172" s="230">
        <v>361950</v>
      </c>
      <c r="CK172" s="230">
        <v>282575</v>
      </c>
      <c r="CL172" s="230">
        <v>79375</v>
      </c>
      <c r="CM172" s="229">
        <v>0.28089999999999998</v>
      </c>
      <c r="CN172" s="230">
        <v>24352250</v>
      </c>
      <c r="CO172" s="230">
        <v>21980525</v>
      </c>
      <c r="CP172" s="230">
        <v>2371725</v>
      </c>
      <c r="CQ172" s="229">
        <v>0.1079</v>
      </c>
      <c r="CR172" s="230">
        <v>19558000</v>
      </c>
      <c r="CS172" s="230">
        <v>17348200</v>
      </c>
      <c r="CT172" s="230">
        <v>2209800</v>
      </c>
      <c r="CU172" s="229">
        <v>0.12740000000000001</v>
      </c>
      <c r="CV172" s="230">
        <v>114560350</v>
      </c>
      <c r="CW172" s="230">
        <v>107356275</v>
      </c>
      <c r="CX172" s="230">
        <v>7204075</v>
      </c>
      <c r="CY172" s="229">
        <v>6.7100000000000007E-2</v>
      </c>
      <c r="CZ172" s="228">
        <v>29.25</v>
      </c>
      <c r="DA172" s="228">
        <v>26.02</v>
      </c>
      <c r="DB172" s="228">
        <v>3.23</v>
      </c>
      <c r="DC172" s="228">
        <v>3.23</v>
      </c>
      <c r="DD172" s="228">
        <v>47.57</v>
      </c>
      <c r="DE172" s="228">
        <v>47.62</v>
      </c>
      <c r="DF172" s="228">
        <v>-18.32</v>
      </c>
      <c r="DG172" s="228">
        <v>-0.05</v>
      </c>
      <c r="DH172" s="228">
        <v>29.53</v>
      </c>
      <c r="DI172" s="228">
        <v>25.91</v>
      </c>
      <c r="DJ172" s="228">
        <v>3.62</v>
      </c>
      <c r="DK172" s="228">
        <v>3.62</v>
      </c>
      <c r="DL172" s="228">
        <v>28.33</v>
      </c>
      <c r="DM172" s="228">
        <v>26.2</v>
      </c>
      <c r="DN172" s="228">
        <v>2.13</v>
      </c>
      <c r="DO172" s="228">
        <v>2.13</v>
      </c>
      <c r="DP172" s="228">
        <v>0.8</v>
      </c>
      <c r="DQ172" s="228">
        <v>0.79</v>
      </c>
      <c r="DR172" s="228">
        <v>0.01</v>
      </c>
      <c r="DS172" s="229">
        <v>1.2699999999999999E-2</v>
      </c>
      <c r="DT172" s="228">
        <v>325</v>
      </c>
      <c r="DU172" s="228">
        <v>300</v>
      </c>
      <c r="DV172" s="228">
        <v>0.35</v>
      </c>
      <c r="DW172" s="228">
        <v>0.57999999999999996</v>
      </c>
      <c r="DX172" s="228">
        <v>-0.23</v>
      </c>
      <c r="DY172" s="229">
        <v>-0.39660000000000001</v>
      </c>
      <c r="DZ172" s="229">
        <v>0.87839999999999996</v>
      </c>
      <c r="EA172" s="230">
        <v>49812575</v>
      </c>
      <c r="EB172" s="229">
        <v>6.1999999999999998E-3</v>
      </c>
      <c r="EC172" s="229">
        <v>0.87839999999999996</v>
      </c>
      <c r="ED172" s="228">
        <v>1.93</v>
      </c>
      <c r="EE172" s="229">
        <v>6.0000000000000001E-3</v>
      </c>
      <c r="EF172" s="230">
        <v>8515408</v>
      </c>
      <c r="EG172" s="230">
        <v>5739919</v>
      </c>
      <c r="EH172" s="229">
        <v>0.48349999999999999</v>
      </c>
      <c r="EI172" s="229">
        <v>0.43409999999999999</v>
      </c>
      <c r="EJ172" s="231">
        <v>195224.15</v>
      </c>
      <c r="EK172" s="231">
        <v>64426.27</v>
      </c>
      <c r="EL172" s="231">
        <v>137499.79</v>
      </c>
      <c r="EM172" s="231">
        <v>9475</v>
      </c>
      <c r="EN172" s="231">
        <v>397150.21</v>
      </c>
      <c r="EO172" s="231">
        <v>248685.19</v>
      </c>
      <c r="EP172" s="231">
        <v>148465.01999999999</v>
      </c>
      <c r="EQ172" s="229">
        <v>0.59699999999999998</v>
      </c>
      <c r="ER172" s="231">
        <v>76412</v>
      </c>
      <c r="ES172" s="231">
        <v>57537</v>
      </c>
      <c r="ET172" s="231">
        <v>228954</v>
      </c>
      <c r="EU172" s="231">
        <v>91351468</v>
      </c>
      <c r="EV172" s="231">
        <v>362904</v>
      </c>
      <c r="EW172" s="231">
        <v>334016</v>
      </c>
      <c r="EX172" s="231">
        <v>28888</v>
      </c>
      <c r="EY172" s="229">
        <v>8.6499999999999994E-2</v>
      </c>
      <c r="EZ172" s="229">
        <v>1.2541</v>
      </c>
      <c r="FA172" s="227" t="s">
        <v>555</v>
      </c>
      <c r="FB172" s="161">
        <f t="shared" si="4"/>
        <v>0</v>
      </c>
    </row>
    <row r="173" spans="1:158" ht="17.25" thickBot="1" x14ac:dyDescent="0.3">
      <c r="A173" s="226">
        <v>45957</v>
      </c>
      <c r="B173" s="227" t="s">
        <v>175</v>
      </c>
      <c r="C173" s="227" t="s">
        <v>280</v>
      </c>
      <c r="D173" s="228">
        <v>1275</v>
      </c>
      <c r="E173" s="228">
        <v>373.8</v>
      </c>
      <c r="F173" s="228">
        <v>367.5</v>
      </c>
      <c r="G173" s="228">
        <v>6.3</v>
      </c>
      <c r="H173" s="229">
        <v>1.7100000000000001E-2</v>
      </c>
      <c r="I173" s="228">
        <v>373.7</v>
      </c>
      <c r="J173" s="228">
        <v>372.6</v>
      </c>
      <c r="K173" s="228">
        <v>1.1000000000000001</v>
      </c>
      <c r="L173" s="229">
        <v>3.0000000000000001E-3</v>
      </c>
      <c r="M173" s="228">
        <v>373.8</v>
      </c>
      <c r="N173" s="228">
        <v>367.5</v>
      </c>
      <c r="O173" s="228">
        <v>6.3</v>
      </c>
      <c r="P173" s="229">
        <v>1.7100000000000001E-2</v>
      </c>
      <c r="Q173" s="228">
        <v>376.15</v>
      </c>
      <c r="R173" s="228">
        <v>369.5</v>
      </c>
      <c r="S173" s="228">
        <v>6.65</v>
      </c>
      <c r="T173" s="229">
        <v>1.7999999999999999E-2</v>
      </c>
      <c r="U173" s="228">
        <v>379.05</v>
      </c>
      <c r="V173" s="228">
        <v>372</v>
      </c>
      <c r="W173" s="228">
        <v>7.05</v>
      </c>
      <c r="X173" s="229">
        <v>1.9E-2</v>
      </c>
      <c r="Y173" s="228">
        <v>0.1</v>
      </c>
      <c r="Z173" s="228">
        <v>-5.0999999999999996</v>
      </c>
      <c r="AA173" s="228">
        <v>5.2</v>
      </c>
      <c r="AB173" s="229">
        <v>2.9999999999999997E-4</v>
      </c>
      <c r="AC173" s="228">
        <v>0.1</v>
      </c>
      <c r="AD173" s="228">
        <v>-5.0999999999999996</v>
      </c>
      <c r="AE173" s="228">
        <v>5.2</v>
      </c>
      <c r="AF173" s="229">
        <v>2.9999999999999997E-4</v>
      </c>
      <c r="AG173" s="228">
        <v>2.4500000000000002</v>
      </c>
      <c r="AH173" s="228">
        <v>-3.1</v>
      </c>
      <c r="AI173" s="228">
        <v>5.55</v>
      </c>
      <c r="AJ173" s="229">
        <v>6.6E-3</v>
      </c>
      <c r="AK173" s="228">
        <v>5.35</v>
      </c>
      <c r="AL173" s="228">
        <v>-0.6</v>
      </c>
      <c r="AM173" s="228">
        <v>5.95</v>
      </c>
      <c r="AN173" s="229">
        <v>1.43E-2</v>
      </c>
      <c r="AO173" s="228">
        <v>370.7</v>
      </c>
      <c r="AP173" s="228">
        <v>372.9</v>
      </c>
      <c r="AQ173" s="228">
        <v>0</v>
      </c>
      <c r="AR173" s="230">
        <v>56289975</v>
      </c>
      <c r="AS173" s="230">
        <v>40741350</v>
      </c>
      <c r="AT173" s="230">
        <v>15548625</v>
      </c>
      <c r="AU173" s="229">
        <v>0.38159999999999999</v>
      </c>
      <c r="AV173" s="230">
        <v>27018525</v>
      </c>
      <c r="AW173" s="230">
        <v>20014950</v>
      </c>
      <c r="AX173" s="230">
        <v>7003575</v>
      </c>
      <c r="AY173" s="229">
        <v>0.34989999999999999</v>
      </c>
      <c r="AZ173" s="230">
        <v>28556175</v>
      </c>
      <c r="BA173" s="230">
        <v>20275050</v>
      </c>
      <c r="BB173" s="230">
        <v>8281125</v>
      </c>
      <c r="BC173" s="229">
        <v>0.40839999999999999</v>
      </c>
      <c r="BD173" s="230">
        <v>715275</v>
      </c>
      <c r="BE173" s="230">
        <v>451350</v>
      </c>
      <c r="BF173" s="230">
        <v>263925</v>
      </c>
      <c r="BG173" s="229">
        <v>0.5847</v>
      </c>
      <c r="BH173" s="230">
        <v>39198600</v>
      </c>
      <c r="BI173" s="230">
        <v>36109275</v>
      </c>
      <c r="BJ173" s="230">
        <v>3089325</v>
      </c>
      <c r="BK173" s="229">
        <v>8.5599999999999996E-2</v>
      </c>
      <c r="BL173" s="230">
        <v>29161800</v>
      </c>
      <c r="BM173" s="230">
        <v>21272100</v>
      </c>
      <c r="BN173" s="230">
        <v>7889700</v>
      </c>
      <c r="BO173" s="229">
        <v>0.37090000000000001</v>
      </c>
      <c r="BP173" s="230">
        <v>124650375</v>
      </c>
      <c r="BQ173" s="230">
        <v>98122725</v>
      </c>
      <c r="BR173" s="230">
        <v>26527650</v>
      </c>
      <c r="BS173" s="229">
        <v>0.27039999999999997</v>
      </c>
      <c r="BT173" s="230">
        <v>5445504</v>
      </c>
      <c r="BU173" s="230">
        <v>7909852</v>
      </c>
      <c r="BV173" s="230">
        <v>-2464348</v>
      </c>
      <c r="BW173" s="229">
        <v>-0.31159999999999999</v>
      </c>
      <c r="BX173" s="230">
        <v>87054450</v>
      </c>
      <c r="BY173" s="230">
        <v>86886150</v>
      </c>
      <c r="BZ173" s="230">
        <v>168300</v>
      </c>
      <c r="CA173" s="229">
        <v>1.9E-3</v>
      </c>
      <c r="CB173" s="230">
        <v>16274100</v>
      </c>
      <c r="CC173" s="230">
        <v>37310325</v>
      </c>
      <c r="CD173" s="230">
        <v>-21036225</v>
      </c>
      <c r="CE173" s="229">
        <v>-0.56379999999999997</v>
      </c>
      <c r="CF173" s="230">
        <v>69075675</v>
      </c>
      <c r="CG173" s="230">
        <v>48135075</v>
      </c>
      <c r="CH173" s="230">
        <v>20940600</v>
      </c>
      <c r="CI173" s="229">
        <v>0.435</v>
      </c>
      <c r="CJ173" s="230">
        <v>1704675</v>
      </c>
      <c r="CK173" s="230">
        <v>1440750</v>
      </c>
      <c r="CL173" s="230">
        <v>263925</v>
      </c>
      <c r="CM173" s="229">
        <v>0.1832</v>
      </c>
      <c r="CN173" s="230">
        <v>33362925</v>
      </c>
      <c r="CO173" s="230">
        <v>33834675</v>
      </c>
      <c r="CP173" s="230">
        <v>-471750</v>
      </c>
      <c r="CQ173" s="229">
        <v>-1.3899999999999999E-2</v>
      </c>
      <c r="CR173" s="230">
        <v>28123950</v>
      </c>
      <c r="CS173" s="230">
        <v>29044500</v>
      </c>
      <c r="CT173" s="230">
        <v>-920550</v>
      </c>
      <c r="CU173" s="229">
        <v>-3.1699999999999999E-2</v>
      </c>
      <c r="CV173" s="230">
        <v>148541325</v>
      </c>
      <c r="CW173" s="230">
        <v>149765325</v>
      </c>
      <c r="CX173" s="230">
        <v>-1224000</v>
      </c>
      <c r="CY173" s="229">
        <v>-8.2000000000000007E-3</v>
      </c>
      <c r="CZ173" s="228">
        <v>24.97</v>
      </c>
      <c r="DA173" s="228">
        <v>26.17</v>
      </c>
      <c r="DB173" s="228">
        <v>-1.2</v>
      </c>
      <c r="DC173" s="228">
        <v>-1.2</v>
      </c>
      <c r="DD173" s="228">
        <v>44.45</v>
      </c>
      <c r="DE173" s="228">
        <v>44.5</v>
      </c>
      <c r="DF173" s="228">
        <v>-19.48</v>
      </c>
      <c r="DG173" s="228">
        <v>-0.05</v>
      </c>
      <c r="DH173" s="228">
        <v>24.73</v>
      </c>
      <c r="DI173" s="228">
        <v>26.29</v>
      </c>
      <c r="DJ173" s="228">
        <v>-1.56</v>
      </c>
      <c r="DK173" s="228">
        <v>-1.56</v>
      </c>
      <c r="DL173" s="228">
        <v>25.27</v>
      </c>
      <c r="DM173" s="228">
        <v>25.95</v>
      </c>
      <c r="DN173" s="228">
        <v>-0.68</v>
      </c>
      <c r="DO173" s="228">
        <v>-0.68</v>
      </c>
      <c r="DP173" s="228">
        <v>0.84</v>
      </c>
      <c r="DQ173" s="228">
        <v>0.86</v>
      </c>
      <c r="DR173" s="228">
        <v>-0.02</v>
      </c>
      <c r="DS173" s="229">
        <v>-2.3300000000000001E-2</v>
      </c>
      <c r="DT173" s="228">
        <v>370</v>
      </c>
      <c r="DU173" s="228">
        <v>370</v>
      </c>
      <c r="DV173" s="228">
        <v>0.74</v>
      </c>
      <c r="DW173" s="228">
        <v>0.59</v>
      </c>
      <c r="DX173" s="228">
        <v>0.15</v>
      </c>
      <c r="DY173" s="229">
        <v>0.25419999999999998</v>
      </c>
      <c r="DZ173" s="229">
        <v>0.81310000000000004</v>
      </c>
      <c r="EA173" s="230">
        <v>49575825</v>
      </c>
      <c r="EB173" s="229">
        <v>6.3E-3</v>
      </c>
      <c r="EC173" s="229">
        <v>0.81310000000000004</v>
      </c>
      <c r="ED173" s="228">
        <v>2.2000000000000002</v>
      </c>
      <c r="EE173" s="229">
        <v>5.8999999999999999E-3</v>
      </c>
      <c r="EF173" s="230">
        <v>2800755</v>
      </c>
      <c r="EG173" s="230">
        <v>5010657</v>
      </c>
      <c r="EH173" s="229">
        <v>-0.441</v>
      </c>
      <c r="EI173" s="229">
        <v>0.51429999999999998</v>
      </c>
      <c r="EJ173" s="231">
        <v>151154.92000000001</v>
      </c>
      <c r="EK173" s="231">
        <v>110267.45</v>
      </c>
      <c r="EL173" s="231">
        <v>209328.85</v>
      </c>
      <c r="EM173" s="231">
        <v>20641</v>
      </c>
      <c r="EN173" s="231">
        <v>470751.22</v>
      </c>
      <c r="EO173" s="231">
        <v>369744.25</v>
      </c>
      <c r="EP173" s="231">
        <v>101006.97</v>
      </c>
      <c r="EQ173" s="229">
        <v>0.2732</v>
      </c>
      <c r="ER173" s="231">
        <v>129943</v>
      </c>
      <c r="ES173" s="231">
        <v>103066</v>
      </c>
      <c r="ET173" s="231">
        <v>327122</v>
      </c>
      <c r="EU173" s="231">
        <v>187084550</v>
      </c>
      <c r="EV173" s="231">
        <v>560131</v>
      </c>
      <c r="EW173" s="231">
        <v>558312</v>
      </c>
      <c r="EX173" s="231">
        <v>1819</v>
      </c>
      <c r="EY173" s="229">
        <v>3.3E-3</v>
      </c>
      <c r="EZ173" s="229">
        <v>0.79400000000000004</v>
      </c>
      <c r="FA173" s="227" t="s">
        <v>555</v>
      </c>
      <c r="FB173" s="161">
        <f t="shared" si="4"/>
        <v>0</v>
      </c>
    </row>
    <row r="174" spans="1:158" ht="17.25" thickBot="1" x14ac:dyDescent="0.3">
      <c r="A174" s="226">
        <v>45957</v>
      </c>
      <c r="B174" s="227" t="s">
        <v>193</v>
      </c>
      <c r="C174" s="227" t="s">
        <v>281</v>
      </c>
      <c r="D174" s="228">
        <v>500</v>
      </c>
      <c r="E174" s="231">
        <v>1482.3</v>
      </c>
      <c r="F174" s="231">
        <v>1450.5</v>
      </c>
      <c r="G174" s="228">
        <v>31.8</v>
      </c>
      <c r="H174" s="229">
        <v>2.1899999999999999E-2</v>
      </c>
      <c r="I174" s="231">
        <v>1484.1</v>
      </c>
      <c r="J174" s="231">
        <v>1451.6</v>
      </c>
      <c r="K174" s="228">
        <v>32.5</v>
      </c>
      <c r="L174" s="229">
        <v>2.24E-2</v>
      </c>
      <c r="M174" s="231">
        <v>1482.3</v>
      </c>
      <c r="N174" s="231">
        <v>1450.5</v>
      </c>
      <c r="O174" s="228">
        <v>31.8</v>
      </c>
      <c r="P174" s="229">
        <v>2.1899999999999999E-2</v>
      </c>
      <c r="Q174" s="231">
        <v>1490.6</v>
      </c>
      <c r="R174" s="231">
        <v>1458.9</v>
      </c>
      <c r="S174" s="228">
        <v>31.7</v>
      </c>
      <c r="T174" s="229">
        <v>2.1700000000000001E-2</v>
      </c>
      <c r="U174" s="231">
        <v>1500.4</v>
      </c>
      <c r="V174" s="231">
        <v>1467.6</v>
      </c>
      <c r="W174" s="228">
        <v>32.799999999999997</v>
      </c>
      <c r="X174" s="229">
        <v>2.23E-2</v>
      </c>
      <c r="Y174" s="228">
        <v>-1.8</v>
      </c>
      <c r="Z174" s="228">
        <v>-1.1000000000000001</v>
      </c>
      <c r="AA174" s="228">
        <v>-0.7</v>
      </c>
      <c r="AB174" s="229">
        <v>-1.1999999999999999E-3</v>
      </c>
      <c r="AC174" s="228">
        <v>-1.8</v>
      </c>
      <c r="AD174" s="228">
        <v>-1.1000000000000001</v>
      </c>
      <c r="AE174" s="228">
        <v>-0.7</v>
      </c>
      <c r="AF174" s="229">
        <v>-1.1999999999999999E-3</v>
      </c>
      <c r="AG174" s="228">
        <v>6.5</v>
      </c>
      <c r="AH174" s="228">
        <v>7.3</v>
      </c>
      <c r="AI174" s="228">
        <v>-0.8</v>
      </c>
      <c r="AJ174" s="229">
        <v>4.4000000000000003E-3</v>
      </c>
      <c r="AK174" s="228">
        <v>16.3</v>
      </c>
      <c r="AL174" s="228">
        <v>16</v>
      </c>
      <c r="AM174" s="228">
        <v>0.3</v>
      </c>
      <c r="AN174" s="229">
        <v>1.0999999999999999E-2</v>
      </c>
      <c r="AO174" s="231">
        <v>1478.67</v>
      </c>
      <c r="AP174" s="231">
        <v>1487.17</v>
      </c>
      <c r="AQ174" s="228">
        <v>0</v>
      </c>
      <c r="AR174" s="230">
        <v>74255000</v>
      </c>
      <c r="AS174" s="230">
        <v>65463000</v>
      </c>
      <c r="AT174" s="230">
        <v>8792000</v>
      </c>
      <c r="AU174" s="229">
        <v>0.1343</v>
      </c>
      <c r="AV174" s="230">
        <v>35464000</v>
      </c>
      <c r="AW174" s="230">
        <v>33731500</v>
      </c>
      <c r="AX174" s="230">
        <v>1732500</v>
      </c>
      <c r="AY174" s="229">
        <v>5.1400000000000001E-2</v>
      </c>
      <c r="AZ174" s="230">
        <v>37955500</v>
      </c>
      <c r="BA174" s="230">
        <v>31262500</v>
      </c>
      <c r="BB174" s="230">
        <v>6693000</v>
      </c>
      <c r="BC174" s="229">
        <v>0.21410000000000001</v>
      </c>
      <c r="BD174" s="230">
        <v>835500</v>
      </c>
      <c r="BE174" s="230">
        <v>469000</v>
      </c>
      <c r="BF174" s="230">
        <v>366500</v>
      </c>
      <c r="BG174" s="229">
        <v>0.78139999999999998</v>
      </c>
      <c r="BH174" s="230">
        <v>162972000</v>
      </c>
      <c r="BI174" s="230">
        <v>117767500</v>
      </c>
      <c r="BJ174" s="230">
        <v>45204500</v>
      </c>
      <c r="BK174" s="229">
        <v>0.38379999999999997</v>
      </c>
      <c r="BL174" s="230">
        <v>91693500</v>
      </c>
      <c r="BM174" s="230">
        <v>79337500</v>
      </c>
      <c r="BN174" s="230">
        <v>12356000</v>
      </c>
      <c r="BO174" s="229">
        <v>0.15570000000000001</v>
      </c>
      <c r="BP174" s="230">
        <v>328920500</v>
      </c>
      <c r="BQ174" s="230">
        <v>262568000</v>
      </c>
      <c r="BR174" s="230">
        <v>66352500</v>
      </c>
      <c r="BS174" s="229">
        <v>0.25269999999999998</v>
      </c>
      <c r="BT174" s="230">
        <v>14506890</v>
      </c>
      <c r="BU174" s="230">
        <v>10032428</v>
      </c>
      <c r="BV174" s="230">
        <v>4474462</v>
      </c>
      <c r="BW174" s="229">
        <v>0.44600000000000001</v>
      </c>
      <c r="BX174" s="230">
        <v>126326500</v>
      </c>
      <c r="BY174" s="230">
        <v>125749500</v>
      </c>
      <c r="BZ174" s="230">
        <v>577000</v>
      </c>
      <c r="CA174" s="229">
        <v>4.5999999999999999E-3</v>
      </c>
      <c r="CB174" s="230">
        <v>24736500</v>
      </c>
      <c r="CC174" s="230">
        <v>52576000</v>
      </c>
      <c r="CD174" s="230">
        <v>-27839500</v>
      </c>
      <c r="CE174" s="229">
        <v>-0.52949999999999997</v>
      </c>
      <c r="CF174" s="230">
        <v>98367000</v>
      </c>
      <c r="CG174" s="230">
        <v>70149500</v>
      </c>
      <c r="CH174" s="230">
        <v>28217500</v>
      </c>
      <c r="CI174" s="229">
        <v>0.4022</v>
      </c>
      <c r="CJ174" s="230">
        <v>3223000</v>
      </c>
      <c r="CK174" s="230">
        <v>3024000</v>
      </c>
      <c r="CL174" s="230">
        <v>199000</v>
      </c>
      <c r="CM174" s="229">
        <v>6.5799999999999997E-2</v>
      </c>
      <c r="CN174" s="230">
        <v>46793500</v>
      </c>
      <c r="CO174" s="230">
        <v>49302000</v>
      </c>
      <c r="CP174" s="230">
        <v>-2508500</v>
      </c>
      <c r="CQ174" s="229">
        <v>-5.0900000000000001E-2</v>
      </c>
      <c r="CR174" s="230">
        <v>38078000</v>
      </c>
      <c r="CS174" s="230">
        <v>35961500</v>
      </c>
      <c r="CT174" s="230">
        <v>2116500</v>
      </c>
      <c r="CU174" s="229">
        <v>5.8900000000000001E-2</v>
      </c>
      <c r="CV174" s="230">
        <v>211198000</v>
      </c>
      <c r="CW174" s="230">
        <v>211013000</v>
      </c>
      <c r="CX174" s="230">
        <v>185000</v>
      </c>
      <c r="CY174" s="229">
        <v>8.9999999999999998E-4</v>
      </c>
      <c r="CZ174" s="228">
        <v>18.670000000000002</v>
      </c>
      <c r="DA174" s="228">
        <v>18.28</v>
      </c>
      <c r="DB174" s="228">
        <v>0.39</v>
      </c>
      <c r="DC174" s="228">
        <v>0.39</v>
      </c>
      <c r="DD174" s="228">
        <v>24.65</v>
      </c>
      <c r="DE174" s="228">
        <v>24.53</v>
      </c>
      <c r="DF174" s="228">
        <v>-5.98</v>
      </c>
      <c r="DG174" s="228">
        <v>0.12</v>
      </c>
      <c r="DH174" s="228">
        <v>18.28</v>
      </c>
      <c r="DI174" s="228">
        <v>18.13</v>
      </c>
      <c r="DJ174" s="228">
        <v>0.15</v>
      </c>
      <c r="DK174" s="228">
        <v>0.15</v>
      </c>
      <c r="DL174" s="228">
        <v>19.399999999999999</v>
      </c>
      <c r="DM174" s="228">
        <v>18.53</v>
      </c>
      <c r="DN174" s="228">
        <v>0.87</v>
      </c>
      <c r="DO174" s="228">
        <v>0.87</v>
      </c>
      <c r="DP174" s="228">
        <v>0.81</v>
      </c>
      <c r="DQ174" s="228">
        <v>0.73</v>
      </c>
      <c r="DR174" s="228">
        <v>0.08</v>
      </c>
      <c r="DS174" s="229">
        <v>0.1096</v>
      </c>
      <c r="DT174" s="231">
        <v>1500</v>
      </c>
      <c r="DU174" s="231">
        <v>1400</v>
      </c>
      <c r="DV174" s="228">
        <v>0.56000000000000005</v>
      </c>
      <c r="DW174" s="228">
        <v>0.67</v>
      </c>
      <c r="DX174" s="228">
        <v>-0.11</v>
      </c>
      <c r="DY174" s="229">
        <v>-0.16420000000000001</v>
      </c>
      <c r="DZ174" s="229">
        <v>0.80420000000000003</v>
      </c>
      <c r="EA174" s="230">
        <v>73173500</v>
      </c>
      <c r="EB174" s="229">
        <v>5.5999999999999999E-3</v>
      </c>
      <c r="EC174" s="229">
        <v>0.80420000000000003</v>
      </c>
      <c r="ED174" s="228">
        <v>8.5</v>
      </c>
      <c r="EE174" s="229">
        <v>5.7000000000000002E-3</v>
      </c>
      <c r="EF174" s="230">
        <v>9862291</v>
      </c>
      <c r="EG174" s="230">
        <v>5147302</v>
      </c>
      <c r="EH174" s="229">
        <v>0.91600000000000004</v>
      </c>
      <c r="EI174" s="229">
        <v>0.67979999999999996</v>
      </c>
      <c r="EJ174" s="231">
        <v>2448030.58</v>
      </c>
      <c r="EK174" s="231">
        <v>1339653.6100000001</v>
      </c>
      <c r="EL174" s="231">
        <v>1101346.57</v>
      </c>
      <c r="EM174" s="231">
        <v>87790</v>
      </c>
      <c r="EN174" s="231">
        <v>4889030.76</v>
      </c>
      <c r="EO174" s="231">
        <v>3843153.94</v>
      </c>
      <c r="EP174" s="231">
        <v>1045876.82</v>
      </c>
      <c r="EQ174" s="229">
        <v>0.27210000000000001</v>
      </c>
      <c r="ER174" s="231">
        <v>688555</v>
      </c>
      <c r="ES174" s="231">
        <v>542232</v>
      </c>
      <c r="ET174" s="231">
        <v>1881286</v>
      </c>
      <c r="EU174" s="231">
        <v>662701060</v>
      </c>
      <c r="EV174" s="231">
        <v>3112072</v>
      </c>
      <c r="EW174" s="231">
        <v>3061180</v>
      </c>
      <c r="EX174" s="231">
        <v>50892</v>
      </c>
      <c r="EY174" s="229">
        <v>1.66E-2</v>
      </c>
      <c r="EZ174" s="229">
        <v>0.31869999999999998</v>
      </c>
      <c r="FA174" s="227" t="s">
        <v>555</v>
      </c>
      <c r="FB174" s="161">
        <f t="shared" si="4"/>
        <v>0</v>
      </c>
    </row>
    <row r="175" spans="1:158" ht="17.25" thickBot="1" x14ac:dyDescent="0.3">
      <c r="A175" s="226">
        <v>45957</v>
      </c>
      <c r="B175" s="227" t="s">
        <v>215</v>
      </c>
      <c r="C175" s="227" t="s">
        <v>676</v>
      </c>
      <c r="D175" s="228">
        <v>1375</v>
      </c>
      <c r="E175" s="228">
        <v>330.7</v>
      </c>
      <c r="F175" s="228">
        <v>329</v>
      </c>
      <c r="G175" s="228">
        <v>1.7</v>
      </c>
      <c r="H175" s="229">
        <v>5.1999999999999998E-3</v>
      </c>
      <c r="I175" s="228">
        <v>330</v>
      </c>
      <c r="J175" s="228">
        <v>329.45</v>
      </c>
      <c r="K175" s="228">
        <v>0.55000000000000004</v>
      </c>
      <c r="L175" s="229">
        <v>1.6999999999999999E-3</v>
      </c>
      <c r="M175" s="228">
        <v>330.7</v>
      </c>
      <c r="N175" s="228">
        <v>329</v>
      </c>
      <c r="O175" s="228">
        <v>1.7</v>
      </c>
      <c r="P175" s="229">
        <v>5.1999999999999998E-3</v>
      </c>
      <c r="Q175" s="228">
        <v>324.5</v>
      </c>
      <c r="R175" s="228">
        <v>321.85000000000002</v>
      </c>
      <c r="S175" s="228">
        <v>2.65</v>
      </c>
      <c r="T175" s="229">
        <v>8.2000000000000007E-3</v>
      </c>
      <c r="U175" s="228">
        <v>320.95</v>
      </c>
      <c r="V175" s="228">
        <v>317.75</v>
      </c>
      <c r="W175" s="228">
        <v>3.2</v>
      </c>
      <c r="X175" s="229">
        <v>1.01E-2</v>
      </c>
      <c r="Y175" s="228">
        <v>0.7</v>
      </c>
      <c r="Z175" s="228">
        <v>-0.45</v>
      </c>
      <c r="AA175" s="228">
        <v>1.1499999999999999</v>
      </c>
      <c r="AB175" s="229">
        <v>2.0999999999999999E-3</v>
      </c>
      <c r="AC175" s="228">
        <v>0.7</v>
      </c>
      <c r="AD175" s="228">
        <v>-0.45</v>
      </c>
      <c r="AE175" s="228">
        <v>1.1499999999999999</v>
      </c>
      <c r="AF175" s="229">
        <v>2.0999999999999999E-3</v>
      </c>
      <c r="AG175" s="228">
        <v>-5.5</v>
      </c>
      <c r="AH175" s="228">
        <v>-7.6</v>
      </c>
      <c r="AI175" s="228">
        <v>2.1</v>
      </c>
      <c r="AJ175" s="229">
        <v>-1.67E-2</v>
      </c>
      <c r="AK175" s="228">
        <v>-9.0500000000000007</v>
      </c>
      <c r="AL175" s="228">
        <v>-11.7</v>
      </c>
      <c r="AM175" s="228">
        <v>2.65</v>
      </c>
      <c r="AN175" s="229">
        <v>-2.7400000000000001E-2</v>
      </c>
      <c r="AO175" s="228">
        <v>330.19</v>
      </c>
      <c r="AP175" s="228">
        <v>324.16000000000003</v>
      </c>
      <c r="AQ175" s="228">
        <v>0</v>
      </c>
      <c r="AR175" s="230">
        <v>24301750</v>
      </c>
      <c r="AS175" s="230">
        <v>27948250</v>
      </c>
      <c r="AT175" s="230">
        <v>-3646500</v>
      </c>
      <c r="AU175" s="229">
        <v>-0.1305</v>
      </c>
      <c r="AV175" s="230">
        <v>11866250</v>
      </c>
      <c r="AW175" s="230">
        <v>13898500</v>
      </c>
      <c r="AX175" s="230">
        <v>-2032250</v>
      </c>
      <c r="AY175" s="229">
        <v>-0.1462</v>
      </c>
      <c r="AZ175" s="230">
        <v>12108250</v>
      </c>
      <c r="BA175" s="230">
        <v>13631750</v>
      </c>
      <c r="BB175" s="230">
        <v>-1523500</v>
      </c>
      <c r="BC175" s="229">
        <v>-0.1118</v>
      </c>
      <c r="BD175" s="230">
        <v>327250</v>
      </c>
      <c r="BE175" s="230">
        <v>418000</v>
      </c>
      <c r="BF175" s="230">
        <v>-90750</v>
      </c>
      <c r="BG175" s="229">
        <v>-0.21709999999999999</v>
      </c>
      <c r="BH175" s="230">
        <v>15775375</v>
      </c>
      <c r="BI175" s="230">
        <v>14181750</v>
      </c>
      <c r="BJ175" s="230">
        <v>1593625</v>
      </c>
      <c r="BK175" s="229">
        <v>0.1124</v>
      </c>
      <c r="BL175" s="230">
        <v>4463250</v>
      </c>
      <c r="BM175" s="230">
        <v>4268000</v>
      </c>
      <c r="BN175" s="230">
        <v>195250</v>
      </c>
      <c r="BO175" s="229">
        <v>4.5699999999999998E-2</v>
      </c>
      <c r="BP175" s="230">
        <v>44540375</v>
      </c>
      <c r="BQ175" s="230">
        <v>46398000</v>
      </c>
      <c r="BR175" s="230">
        <v>-1857625</v>
      </c>
      <c r="BS175" s="229">
        <v>-0.04</v>
      </c>
      <c r="BT175" s="230">
        <v>2593277</v>
      </c>
      <c r="BU175" s="230">
        <v>2655611</v>
      </c>
      <c r="BV175" s="230">
        <v>-62334</v>
      </c>
      <c r="BW175" s="229">
        <v>-2.35E-2</v>
      </c>
      <c r="BX175" s="230">
        <v>39381375</v>
      </c>
      <c r="BY175" s="230">
        <v>37779500</v>
      </c>
      <c r="BZ175" s="230">
        <v>1601875</v>
      </c>
      <c r="CA175" s="229">
        <v>4.24E-2</v>
      </c>
      <c r="CB175" s="230">
        <v>6378625</v>
      </c>
      <c r="CC175" s="230">
        <v>12226500</v>
      </c>
      <c r="CD175" s="230">
        <v>-5847875</v>
      </c>
      <c r="CE175" s="229">
        <v>-0.4783</v>
      </c>
      <c r="CF175" s="230">
        <v>31106625</v>
      </c>
      <c r="CG175" s="230">
        <v>23765500</v>
      </c>
      <c r="CH175" s="230">
        <v>7341125</v>
      </c>
      <c r="CI175" s="229">
        <v>0.30890000000000001</v>
      </c>
      <c r="CJ175" s="230">
        <v>1896125</v>
      </c>
      <c r="CK175" s="230">
        <v>1787500</v>
      </c>
      <c r="CL175" s="230">
        <v>108625</v>
      </c>
      <c r="CM175" s="229">
        <v>6.08E-2</v>
      </c>
      <c r="CN175" s="230">
        <v>18621625</v>
      </c>
      <c r="CO175" s="230">
        <v>19247250</v>
      </c>
      <c r="CP175" s="230">
        <v>-625625</v>
      </c>
      <c r="CQ175" s="229">
        <v>-3.2500000000000001E-2</v>
      </c>
      <c r="CR175" s="230">
        <v>7852625</v>
      </c>
      <c r="CS175" s="230">
        <v>8118000</v>
      </c>
      <c r="CT175" s="230">
        <v>-265375</v>
      </c>
      <c r="CU175" s="229">
        <v>-3.27E-2</v>
      </c>
      <c r="CV175" s="230">
        <v>65855625</v>
      </c>
      <c r="CW175" s="230">
        <v>65144750</v>
      </c>
      <c r="CX175" s="230">
        <v>710875</v>
      </c>
      <c r="CY175" s="229">
        <v>1.09E-2</v>
      </c>
      <c r="CZ175" s="228">
        <v>36.43</v>
      </c>
      <c r="DA175" s="228">
        <v>36.700000000000003</v>
      </c>
      <c r="DB175" s="228">
        <v>-0.27</v>
      </c>
      <c r="DC175" s="228">
        <v>-0.27</v>
      </c>
      <c r="DD175" s="228">
        <v>57.05</v>
      </c>
      <c r="DE175" s="228">
        <v>57.19</v>
      </c>
      <c r="DF175" s="228">
        <v>-20.62</v>
      </c>
      <c r="DG175" s="228">
        <v>-0.14000000000000001</v>
      </c>
      <c r="DH175" s="228">
        <v>37.299999999999997</v>
      </c>
      <c r="DI175" s="228">
        <v>37.61</v>
      </c>
      <c r="DJ175" s="228">
        <v>-0.31</v>
      </c>
      <c r="DK175" s="228">
        <v>-0.31</v>
      </c>
      <c r="DL175" s="228">
        <v>34.49</v>
      </c>
      <c r="DM175" s="228">
        <v>34.68</v>
      </c>
      <c r="DN175" s="228">
        <v>-0.19</v>
      </c>
      <c r="DO175" s="228">
        <v>-0.19</v>
      </c>
      <c r="DP175" s="228">
        <v>0.42</v>
      </c>
      <c r="DQ175" s="228">
        <v>0.42</v>
      </c>
      <c r="DR175" s="228">
        <v>0</v>
      </c>
      <c r="DS175" s="229">
        <v>0</v>
      </c>
      <c r="DT175" s="228">
        <v>350</v>
      </c>
      <c r="DU175" s="228">
        <v>310</v>
      </c>
      <c r="DV175" s="228">
        <v>0.28000000000000003</v>
      </c>
      <c r="DW175" s="228">
        <v>0.3</v>
      </c>
      <c r="DX175" s="228">
        <v>-0.02</v>
      </c>
      <c r="DY175" s="229">
        <v>-6.6699999999999995E-2</v>
      </c>
      <c r="DZ175" s="229">
        <v>0.83799999999999997</v>
      </c>
      <c r="EA175" s="230">
        <v>25553000</v>
      </c>
      <c r="EB175" s="229">
        <v>-1.8700000000000001E-2</v>
      </c>
      <c r="EC175" s="229">
        <v>0.83799999999999997</v>
      </c>
      <c r="ED175" s="228">
        <v>-6.03</v>
      </c>
      <c r="EE175" s="229">
        <v>-1.83E-2</v>
      </c>
      <c r="EF175" s="230">
        <v>923590</v>
      </c>
      <c r="EG175" s="230">
        <v>967408</v>
      </c>
      <c r="EH175" s="229">
        <v>-4.53E-2</v>
      </c>
      <c r="EI175" s="229">
        <v>0.35610000000000003</v>
      </c>
      <c r="EJ175" s="231">
        <v>55112.69</v>
      </c>
      <c r="EK175" s="231">
        <v>14832.32</v>
      </c>
      <c r="EL175" s="231">
        <v>79478.64</v>
      </c>
      <c r="EM175" s="231">
        <v>11802</v>
      </c>
      <c r="EN175" s="231">
        <v>149423.65</v>
      </c>
      <c r="EO175" s="231">
        <v>155296.44</v>
      </c>
      <c r="EP175" s="231">
        <v>-5872.79</v>
      </c>
      <c r="EQ175" s="229">
        <v>-3.78E-2</v>
      </c>
      <c r="ER175" s="231">
        <v>66373</v>
      </c>
      <c r="ES175" s="231">
        <v>25288</v>
      </c>
      <c r="ET175" s="231">
        <v>128121</v>
      </c>
      <c r="EU175" s="231">
        <v>84941460</v>
      </c>
      <c r="EV175" s="231">
        <v>219782</v>
      </c>
      <c r="EW175" s="231">
        <v>217528</v>
      </c>
      <c r="EX175" s="231">
        <v>2254</v>
      </c>
      <c r="EY175" s="229">
        <v>1.04E-2</v>
      </c>
      <c r="EZ175" s="229">
        <v>0.77529999999999999</v>
      </c>
      <c r="FA175" s="227" t="s">
        <v>555</v>
      </c>
      <c r="FB175" s="161">
        <f t="shared" si="4"/>
        <v>0</v>
      </c>
    </row>
    <row r="176" spans="1:158" ht="17.25" thickBot="1" x14ac:dyDescent="0.3">
      <c r="A176" s="226">
        <v>45957</v>
      </c>
      <c r="B176" s="227" t="s">
        <v>227</v>
      </c>
      <c r="C176" s="227" t="s">
        <v>282</v>
      </c>
      <c r="D176" s="228">
        <v>4700</v>
      </c>
      <c r="E176" s="228">
        <v>130.44999999999999</v>
      </c>
      <c r="F176" s="228">
        <v>129.54</v>
      </c>
      <c r="G176" s="228">
        <v>0.91</v>
      </c>
      <c r="H176" s="229">
        <v>7.0000000000000001E-3</v>
      </c>
      <c r="I176" s="228">
        <v>129.9</v>
      </c>
      <c r="J176" s="228">
        <v>129.46</v>
      </c>
      <c r="K176" s="228">
        <v>0.44</v>
      </c>
      <c r="L176" s="229">
        <v>3.3999999999999998E-3</v>
      </c>
      <c r="M176" s="228">
        <v>130.44999999999999</v>
      </c>
      <c r="N176" s="228">
        <v>129.54</v>
      </c>
      <c r="O176" s="228">
        <v>0.91</v>
      </c>
      <c r="P176" s="229">
        <v>7.0000000000000001E-3</v>
      </c>
      <c r="Q176" s="228">
        <v>131.15</v>
      </c>
      <c r="R176" s="228">
        <v>130.27000000000001</v>
      </c>
      <c r="S176" s="228">
        <v>0.88</v>
      </c>
      <c r="T176" s="229">
        <v>6.7999999999999996E-3</v>
      </c>
      <c r="U176" s="228">
        <v>131.94999999999999</v>
      </c>
      <c r="V176" s="228">
        <v>131.19</v>
      </c>
      <c r="W176" s="228">
        <v>0.76</v>
      </c>
      <c r="X176" s="229">
        <v>5.7999999999999996E-3</v>
      </c>
      <c r="Y176" s="228">
        <v>0.55000000000000004</v>
      </c>
      <c r="Z176" s="228">
        <v>0.08</v>
      </c>
      <c r="AA176" s="228">
        <v>0.47</v>
      </c>
      <c r="AB176" s="229">
        <v>4.1999999999999997E-3</v>
      </c>
      <c r="AC176" s="228">
        <v>0.55000000000000004</v>
      </c>
      <c r="AD176" s="228">
        <v>0.08</v>
      </c>
      <c r="AE176" s="228">
        <v>0.47</v>
      </c>
      <c r="AF176" s="229">
        <v>4.1999999999999997E-3</v>
      </c>
      <c r="AG176" s="228">
        <v>1.25</v>
      </c>
      <c r="AH176" s="228">
        <v>0.81</v>
      </c>
      <c r="AI176" s="228">
        <v>0.44</v>
      </c>
      <c r="AJ176" s="229">
        <v>9.5999999999999992E-3</v>
      </c>
      <c r="AK176" s="228">
        <v>2.0499999999999998</v>
      </c>
      <c r="AL176" s="228">
        <v>1.73</v>
      </c>
      <c r="AM176" s="228">
        <v>0.32</v>
      </c>
      <c r="AN176" s="229">
        <v>1.5800000000000002E-2</v>
      </c>
      <c r="AO176" s="228">
        <v>130.15</v>
      </c>
      <c r="AP176" s="228">
        <v>130.66999999999999</v>
      </c>
      <c r="AQ176" s="228">
        <v>0</v>
      </c>
      <c r="AR176" s="230">
        <v>22137000</v>
      </c>
      <c r="AS176" s="230">
        <v>188122200</v>
      </c>
      <c r="AT176" s="230">
        <v>-165985200</v>
      </c>
      <c r="AU176" s="229">
        <v>-0.88229999999999997</v>
      </c>
      <c r="AV176" s="230">
        <v>12802800</v>
      </c>
      <c r="AW176" s="230">
        <v>91673500</v>
      </c>
      <c r="AX176" s="230">
        <v>-78870700</v>
      </c>
      <c r="AY176" s="229">
        <v>-0.86029999999999995</v>
      </c>
      <c r="AZ176" s="230">
        <v>9315400</v>
      </c>
      <c r="BA176" s="230">
        <v>95762500</v>
      </c>
      <c r="BB176" s="230">
        <v>-86447100</v>
      </c>
      <c r="BC176" s="229">
        <v>-0.90269999999999995</v>
      </c>
      <c r="BD176" s="230">
        <v>18800</v>
      </c>
      <c r="BE176" s="230">
        <v>686200</v>
      </c>
      <c r="BF176" s="230">
        <v>-667400</v>
      </c>
      <c r="BG176" s="229">
        <v>-0.97260000000000002</v>
      </c>
      <c r="BH176" s="230">
        <v>10203700</v>
      </c>
      <c r="BI176" s="230">
        <v>66937400</v>
      </c>
      <c r="BJ176" s="230">
        <v>-56733700</v>
      </c>
      <c r="BK176" s="229">
        <v>-0.84760000000000002</v>
      </c>
      <c r="BL176" s="230">
        <v>2711900</v>
      </c>
      <c r="BM176" s="230">
        <v>35715300</v>
      </c>
      <c r="BN176" s="230">
        <v>-33003400</v>
      </c>
      <c r="BO176" s="229">
        <v>-0.92410000000000003</v>
      </c>
      <c r="BP176" s="230">
        <v>35052600</v>
      </c>
      <c r="BQ176" s="230">
        <v>290774900</v>
      </c>
      <c r="BR176" s="230">
        <v>-255722300</v>
      </c>
      <c r="BS176" s="229">
        <v>-0.87949999999999995</v>
      </c>
      <c r="BT176" s="230">
        <v>12937530</v>
      </c>
      <c r="BU176" s="230">
        <v>15688342</v>
      </c>
      <c r="BV176" s="230">
        <v>-2750812</v>
      </c>
      <c r="BW176" s="229">
        <v>-0.17530000000000001</v>
      </c>
      <c r="BX176" s="230">
        <v>201047200</v>
      </c>
      <c r="BY176" s="230">
        <v>212388300</v>
      </c>
      <c r="BZ176" s="230">
        <v>-11341100</v>
      </c>
      <c r="CA176" s="229">
        <v>-5.3400000000000003E-2</v>
      </c>
      <c r="CB176" s="230">
        <v>74490300</v>
      </c>
      <c r="CC176" s="230">
        <v>85803200</v>
      </c>
      <c r="CD176" s="230">
        <v>-11312900</v>
      </c>
      <c r="CE176" s="229">
        <v>-0.1318</v>
      </c>
      <c r="CF176" s="230">
        <v>123929600</v>
      </c>
      <c r="CG176" s="230">
        <v>123939000</v>
      </c>
      <c r="CH176" s="230">
        <v>-9400</v>
      </c>
      <c r="CI176" s="229">
        <v>-1E-4</v>
      </c>
      <c r="CJ176" s="230">
        <v>2627300</v>
      </c>
      <c r="CK176" s="230">
        <v>2646100</v>
      </c>
      <c r="CL176" s="230">
        <v>-18800</v>
      </c>
      <c r="CM176" s="229">
        <v>-7.1000000000000004E-3</v>
      </c>
      <c r="CN176" s="230">
        <v>57100300</v>
      </c>
      <c r="CO176" s="230">
        <v>64794200</v>
      </c>
      <c r="CP176" s="230">
        <v>-7693900</v>
      </c>
      <c r="CQ176" s="229">
        <v>-0.1187</v>
      </c>
      <c r="CR176" s="230">
        <v>35856300</v>
      </c>
      <c r="CS176" s="230">
        <v>37811500</v>
      </c>
      <c r="CT176" s="230">
        <v>-1955200</v>
      </c>
      <c r="CU176" s="229">
        <v>-5.1700000000000003E-2</v>
      </c>
      <c r="CV176" s="230">
        <v>294003800</v>
      </c>
      <c r="CW176" s="230">
        <v>314994000</v>
      </c>
      <c r="CX176" s="230">
        <v>-20990200</v>
      </c>
      <c r="CY176" s="229">
        <v>-6.6600000000000006E-2</v>
      </c>
      <c r="CZ176" s="228">
        <v>33.19</v>
      </c>
      <c r="DA176" s="228">
        <v>35.83</v>
      </c>
      <c r="DB176" s="228">
        <v>-2.64</v>
      </c>
      <c r="DC176" s="228">
        <v>-2.64</v>
      </c>
      <c r="DD176" s="228">
        <v>44.86</v>
      </c>
      <c r="DE176" s="228">
        <v>44.96</v>
      </c>
      <c r="DF176" s="228">
        <v>-11.67</v>
      </c>
      <c r="DG176" s="228">
        <v>-0.1</v>
      </c>
      <c r="DH176" s="228">
        <v>33.39</v>
      </c>
      <c r="DI176" s="228">
        <v>36.340000000000003</v>
      </c>
      <c r="DJ176" s="228">
        <v>-2.95</v>
      </c>
      <c r="DK176" s="228">
        <v>-2.95</v>
      </c>
      <c r="DL176" s="228">
        <v>32.549999999999997</v>
      </c>
      <c r="DM176" s="228">
        <v>35.03</v>
      </c>
      <c r="DN176" s="228">
        <v>-2.48</v>
      </c>
      <c r="DO176" s="228">
        <v>-2.48</v>
      </c>
      <c r="DP176" s="228">
        <v>0.63</v>
      </c>
      <c r="DQ176" s="228">
        <v>0.57999999999999996</v>
      </c>
      <c r="DR176" s="228">
        <v>0.05</v>
      </c>
      <c r="DS176" s="229">
        <v>8.6199999999999999E-2</v>
      </c>
      <c r="DT176" s="228">
        <v>140</v>
      </c>
      <c r="DU176" s="228">
        <v>125</v>
      </c>
      <c r="DV176" s="228">
        <v>0.27</v>
      </c>
      <c r="DW176" s="228">
        <v>0.53</v>
      </c>
      <c r="DX176" s="228">
        <v>-0.26</v>
      </c>
      <c r="DY176" s="229">
        <v>-0.49059999999999998</v>
      </c>
      <c r="DZ176" s="229">
        <v>0.62949999999999995</v>
      </c>
      <c r="EA176" s="230">
        <v>126585100</v>
      </c>
      <c r="EB176" s="229">
        <v>5.4000000000000003E-3</v>
      </c>
      <c r="EC176" s="229">
        <v>0.62949999999999995</v>
      </c>
      <c r="ED176" s="228">
        <v>0.52</v>
      </c>
      <c r="EE176" s="229">
        <v>4.0000000000000001E-3</v>
      </c>
      <c r="EF176" s="230">
        <v>6880947</v>
      </c>
      <c r="EG176" s="230">
        <v>7862598</v>
      </c>
      <c r="EH176" s="229">
        <v>-0.1249</v>
      </c>
      <c r="EI176" s="229">
        <v>0.53190000000000004</v>
      </c>
      <c r="EJ176" s="231">
        <v>13785.56</v>
      </c>
      <c r="EK176" s="231">
        <v>3539.71</v>
      </c>
      <c r="EL176" s="231">
        <v>28859.02</v>
      </c>
      <c r="EM176" s="231">
        <v>15034</v>
      </c>
      <c r="EN176" s="231">
        <v>46184.29</v>
      </c>
      <c r="EO176" s="231">
        <v>383450.57</v>
      </c>
      <c r="EP176" s="231">
        <v>-337266.28</v>
      </c>
      <c r="EQ176" s="229">
        <v>-0.87960000000000005</v>
      </c>
      <c r="ER176" s="231">
        <v>78395</v>
      </c>
      <c r="ES176" s="231">
        <v>46180</v>
      </c>
      <c r="ET176" s="231">
        <v>263173</v>
      </c>
      <c r="EU176" s="231">
        <v>216861410</v>
      </c>
      <c r="EV176" s="231">
        <v>387748</v>
      </c>
      <c r="EW176" s="231">
        <v>413573</v>
      </c>
      <c r="EX176" s="231">
        <v>-25825</v>
      </c>
      <c r="EY176" s="229">
        <v>-6.2399999999999997E-2</v>
      </c>
      <c r="EZ176" s="229">
        <v>1.3556999999999999</v>
      </c>
      <c r="FA176" s="227" t="s">
        <v>556</v>
      </c>
      <c r="FB176" s="161">
        <f t="shared" si="4"/>
        <v>0</v>
      </c>
    </row>
    <row r="177" spans="1:158" ht="17.25" thickBot="1" x14ac:dyDescent="0.3">
      <c r="A177" s="226">
        <v>45957</v>
      </c>
      <c r="B177" s="227" t="s">
        <v>175</v>
      </c>
      <c r="C177" s="227" t="s">
        <v>687</v>
      </c>
      <c r="D177" s="228">
        <v>4300</v>
      </c>
      <c r="E177" s="228">
        <v>189.13</v>
      </c>
      <c r="F177" s="228">
        <v>188.67</v>
      </c>
      <c r="G177" s="228">
        <v>0.46</v>
      </c>
      <c r="H177" s="229">
        <v>2.3999999999999998E-3</v>
      </c>
      <c r="I177" s="228">
        <v>188.63</v>
      </c>
      <c r="J177" s="228">
        <v>188.25</v>
      </c>
      <c r="K177" s="228">
        <v>0.38</v>
      </c>
      <c r="L177" s="229">
        <v>2E-3</v>
      </c>
      <c r="M177" s="228">
        <v>189.13</v>
      </c>
      <c r="N177" s="228">
        <v>188.67</v>
      </c>
      <c r="O177" s="228">
        <v>0.46</v>
      </c>
      <c r="P177" s="229">
        <v>2.3999999999999998E-3</v>
      </c>
      <c r="Q177" s="228">
        <v>189.75</v>
      </c>
      <c r="R177" s="228">
        <v>189.79</v>
      </c>
      <c r="S177" s="228">
        <v>-0.04</v>
      </c>
      <c r="T177" s="229">
        <v>-2.0000000000000001E-4</v>
      </c>
      <c r="U177" s="228">
        <v>191.95</v>
      </c>
      <c r="V177" s="228">
        <v>190.92</v>
      </c>
      <c r="W177" s="228">
        <v>1.03</v>
      </c>
      <c r="X177" s="229">
        <v>5.4000000000000003E-3</v>
      </c>
      <c r="Y177" s="228">
        <v>0.5</v>
      </c>
      <c r="Z177" s="228">
        <v>0.42</v>
      </c>
      <c r="AA177" s="228">
        <v>0.08</v>
      </c>
      <c r="AB177" s="229">
        <v>2.7000000000000001E-3</v>
      </c>
      <c r="AC177" s="228">
        <v>0.5</v>
      </c>
      <c r="AD177" s="228">
        <v>0.42</v>
      </c>
      <c r="AE177" s="228">
        <v>0.08</v>
      </c>
      <c r="AF177" s="229">
        <v>2.7000000000000001E-3</v>
      </c>
      <c r="AG177" s="228">
        <v>1.1200000000000001</v>
      </c>
      <c r="AH177" s="228">
        <v>1.54</v>
      </c>
      <c r="AI177" s="228">
        <v>-0.42</v>
      </c>
      <c r="AJ177" s="229">
        <v>5.8999999999999999E-3</v>
      </c>
      <c r="AK177" s="228">
        <v>3.32</v>
      </c>
      <c r="AL177" s="228">
        <v>2.67</v>
      </c>
      <c r="AM177" s="228">
        <v>0.65</v>
      </c>
      <c r="AN177" s="229">
        <v>1.7600000000000001E-2</v>
      </c>
      <c r="AO177" s="228">
        <v>188.3</v>
      </c>
      <c r="AP177" s="228">
        <v>189.09</v>
      </c>
      <c r="AQ177" s="228">
        <v>0</v>
      </c>
      <c r="AR177" s="230">
        <v>10272700</v>
      </c>
      <c r="AS177" s="230">
        <v>234006000</v>
      </c>
      <c r="AT177" s="230">
        <v>-223733300</v>
      </c>
      <c r="AU177" s="229">
        <v>-0.95609999999999995</v>
      </c>
      <c r="AV177" s="230">
        <v>7417500</v>
      </c>
      <c r="AW177" s="230">
        <v>106050900</v>
      </c>
      <c r="AX177" s="230">
        <v>-98633400</v>
      </c>
      <c r="AY177" s="229">
        <v>-0.93010000000000004</v>
      </c>
      <c r="AZ177" s="230">
        <v>2829400</v>
      </c>
      <c r="BA177" s="230">
        <v>126389900</v>
      </c>
      <c r="BB177" s="230">
        <v>-123560500</v>
      </c>
      <c r="BC177" s="229">
        <v>-0.97760000000000002</v>
      </c>
      <c r="BD177" s="230">
        <v>25800</v>
      </c>
      <c r="BE177" s="230">
        <v>1565200</v>
      </c>
      <c r="BF177" s="230">
        <v>-1539400</v>
      </c>
      <c r="BG177" s="229">
        <v>-0.98350000000000004</v>
      </c>
      <c r="BH177" s="230">
        <v>7138000</v>
      </c>
      <c r="BI177" s="230">
        <v>239264900</v>
      </c>
      <c r="BJ177" s="230">
        <v>-232126900</v>
      </c>
      <c r="BK177" s="229">
        <v>-0.97019999999999995</v>
      </c>
      <c r="BL177" s="230">
        <v>5194400</v>
      </c>
      <c r="BM177" s="230">
        <v>95924400</v>
      </c>
      <c r="BN177" s="230">
        <v>-90730000</v>
      </c>
      <c r="BO177" s="229">
        <v>-0.94579999999999997</v>
      </c>
      <c r="BP177" s="230">
        <v>22605100</v>
      </c>
      <c r="BQ177" s="230">
        <v>569195300</v>
      </c>
      <c r="BR177" s="230">
        <v>-546590200</v>
      </c>
      <c r="BS177" s="229">
        <v>-0.96030000000000004</v>
      </c>
      <c r="BT177" s="230">
        <v>25369302</v>
      </c>
      <c r="BU177" s="230">
        <v>79912031</v>
      </c>
      <c r="BV177" s="230">
        <v>-54542729</v>
      </c>
      <c r="BW177" s="229">
        <v>-0.6825</v>
      </c>
      <c r="BX177" s="230">
        <v>110901300</v>
      </c>
      <c r="BY177" s="230">
        <v>117966200</v>
      </c>
      <c r="BZ177" s="230">
        <v>-7064900</v>
      </c>
      <c r="CA177" s="229">
        <v>-5.9900000000000002E-2</v>
      </c>
      <c r="CB177" s="230">
        <v>15583200</v>
      </c>
      <c r="CC177" s="230">
        <v>20425000</v>
      </c>
      <c r="CD177" s="230">
        <v>-4841800</v>
      </c>
      <c r="CE177" s="229">
        <v>-0.23710000000000001</v>
      </c>
      <c r="CF177" s="230">
        <v>94385000</v>
      </c>
      <c r="CG177" s="230">
        <v>96586600</v>
      </c>
      <c r="CH177" s="230">
        <v>-2201600</v>
      </c>
      <c r="CI177" s="229">
        <v>-2.2800000000000001E-2</v>
      </c>
      <c r="CJ177" s="230">
        <v>933100</v>
      </c>
      <c r="CK177" s="230">
        <v>954600</v>
      </c>
      <c r="CL177" s="230">
        <v>-21500</v>
      </c>
      <c r="CM177" s="229">
        <v>-2.2499999999999999E-2</v>
      </c>
      <c r="CN177" s="230">
        <v>31712500</v>
      </c>
      <c r="CO177" s="230">
        <v>36472600</v>
      </c>
      <c r="CP177" s="230">
        <v>-4760100</v>
      </c>
      <c r="CQ177" s="229">
        <v>-0.1305</v>
      </c>
      <c r="CR177" s="230">
        <v>37048800</v>
      </c>
      <c r="CS177" s="230">
        <v>40093200</v>
      </c>
      <c r="CT177" s="230">
        <v>-3044400</v>
      </c>
      <c r="CU177" s="229">
        <v>-7.5899999999999995E-2</v>
      </c>
      <c r="CV177" s="230">
        <v>179662600</v>
      </c>
      <c r="CW177" s="230">
        <v>194532000</v>
      </c>
      <c r="CX177" s="230">
        <v>-14869400</v>
      </c>
      <c r="CY177" s="229">
        <v>-7.6399999999999996E-2</v>
      </c>
      <c r="CZ177" s="228">
        <v>40.880000000000003</v>
      </c>
      <c r="DA177" s="228">
        <v>42.72</v>
      </c>
      <c r="DB177" s="228">
        <v>-1.84</v>
      </c>
      <c r="DC177" s="228">
        <v>-1.84</v>
      </c>
      <c r="DD177" s="228">
        <v>57.6</v>
      </c>
      <c r="DE177" s="228">
        <v>57.74</v>
      </c>
      <c r="DF177" s="228">
        <v>-16.72</v>
      </c>
      <c r="DG177" s="228">
        <v>-0.14000000000000001</v>
      </c>
      <c r="DH177" s="228">
        <v>40.130000000000003</v>
      </c>
      <c r="DI177" s="228">
        <v>42.28</v>
      </c>
      <c r="DJ177" s="228">
        <v>-2.15</v>
      </c>
      <c r="DK177" s="228">
        <v>-2.15</v>
      </c>
      <c r="DL177" s="228">
        <v>42.56</v>
      </c>
      <c r="DM177" s="228">
        <v>43.6</v>
      </c>
      <c r="DN177" s="228">
        <v>-1.04</v>
      </c>
      <c r="DO177" s="228">
        <v>-1.04</v>
      </c>
      <c r="DP177" s="228">
        <v>1.17</v>
      </c>
      <c r="DQ177" s="228">
        <v>1.1000000000000001</v>
      </c>
      <c r="DR177" s="228">
        <v>7.0000000000000007E-2</v>
      </c>
      <c r="DS177" s="229">
        <v>6.3600000000000004E-2</v>
      </c>
      <c r="DT177" s="228">
        <v>190</v>
      </c>
      <c r="DU177" s="228">
        <v>190</v>
      </c>
      <c r="DV177" s="228">
        <v>0.73</v>
      </c>
      <c r="DW177" s="228">
        <v>0.4</v>
      </c>
      <c r="DX177" s="228">
        <v>0.33</v>
      </c>
      <c r="DY177" s="229">
        <v>0.82499999999999996</v>
      </c>
      <c r="DZ177" s="229">
        <v>0.85950000000000004</v>
      </c>
      <c r="EA177" s="230">
        <v>97541200</v>
      </c>
      <c r="EB177" s="229">
        <v>3.3E-3</v>
      </c>
      <c r="EC177" s="229">
        <v>0.85950000000000004</v>
      </c>
      <c r="ED177" s="228">
        <v>0.79</v>
      </c>
      <c r="EE177" s="229">
        <v>4.1999999999999997E-3</v>
      </c>
      <c r="EF177" s="230">
        <v>9823510</v>
      </c>
      <c r="EG177" s="230">
        <v>24824172</v>
      </c>
      <c r="EH177" s="229">
        <v>-0.60429999999999995</v>
      </c>
      <c r="EI177" s="229">
        <v>0.38719999999999999</v>
      </c>
      <c r="EJ177" s="231">
        <v>13770.72</v>
      </c>
      <c r="EK177" s="231">
        <v>9388.14</v>
      </c>
      <c r="EL177" s="231">
        <v>19366.919999999998</v>
      </c>
      <c r="EM177" s="231">
        <v>14453</v>
      </c>
      <c r="EN177" s="231">
        <v>42525.78</v>
      </c>
      <c r="EO177" s="231">
        <v>1062059.08</v>
      </c>
      <c r="EP177" s="231">
        <v>-1019533.3</v>
      </c>
      <c r="EQ177" s="229">
        <v>-0.96</v>
      </c>
      <c r="ER177" s="231">
        <v>56613</v>
      </c>
      <c r="ES177" s="231">
        <v>59870</v>
      </c>
      <c r="ET177" s="231">
        <v>210359</v>
      </c>
      <c r="EU177" s="231">
        <v>122326971</v>
      </c>
      <c r="EV177" s="231">
        <v>326842</v>
      </c>
      <c r="EW177" s="231">
        <v>354613</v>
      </c>
      <c r="EX177" s="231">
        <v>-27771</v>
      </c>
      <c r="EY177" s="229">
        <v>-7.8299999999999995E-2</v>
      </c>
      <c r="EZ177" s="229">
        <v>1.4686999999999999</v>
      </c>
      <c r="FA177" s="227" t="s">
        <v>556</v>
      </c>
      <c r="FB177" s="161">
        <f t="shared" si="4"/>
        <v>0</v>
      </c>
    </row>
    <row r="178" spans="1:158" ht="17.25" thickBot="1" x14ac:dyDescent="0.3">
      <c r="A178" s="226">
        <v>45957</v>
      </c>
      <c r="B178" s="227" t="s">
        <v>175</v>
      </c>
      <c r="C178" s="227" t="s">
        <v>536</v>
      </c>
      <c r="D178" s="228">
        <v>800</v>
      </c>
      <c r="E178" s="228">
        <v>900.6</v>
      </c>
      <c r="F178" s="228">
        <v>931.1</v>
      </c>
      <c r="G178" s="228">
        <v>-30.5</v>
      </c>
      <c r="H178" s="229">
        <v>-3.2800000000000003E-2</v>
      </c>
      <c r="I178" s="228">
        <v>900.8</v>
      </c>
      <c r="J178" s="228">
        <v>928.95</v>
      </c>
      <c r="K178" s="228">
        <v>-28.15</v>
      </c>
      <c r="L178" s="229">
        <v>-3.0300000000000001E-2</v>
      </c>
      <c r="M178" s="228">
        <v>900.6</v>
      </c>
      <c r="N178" s="228">
        <v>931.1</v>
      </c>
      <c r="O178" s="228">
        <v>-30.5</v>
      </c>
      <c r="P178" s="229">
        <v>-3.2800000000000003E-2</v>
      </c>
      <c r="Q178" s="228">
        <v>888.2</v>
      </c>
      <c r="R178" s="228">
        <v>914.45</v>
      </c>
      <c r="S178" s="228">
        <v>-26.25</v>
      </c>
      <c r="T178" s="229">
        <v>-2.87E-2</v>
      </c>
      <c r="U178" s="228">
        <v>877.35</v>
      </c>
      <c r="V178" s="228">
        <v>903.3</v>
      </c>
      <c r="W178" s="228">
        <v>-25.95</v>
      </c>
      <c r="X178" s="229">
        <v>-2.87E-2</v>
      </c>
      <c r="Y178" s="228">
        <v>-0.2</v>
      </c>
      <c r="Z178" s="228">
        <v>2.15</v>
      </c>
      <c r="AA178" s="228">
        <v>-2.35</v>
      </c>
      <c r="AB178" s="229">
        <v>-2.0000000000000001E-4</v>
      </c>
      <c r="AC178" s="228">
        <v>-0.2</v>
      </c>
      <c r="AD178" s="228">
        <v>2.15</v>
      </c>
      <c r="AE178" s="228">
        <v>-2.35</v>
      </c>
      <c r="AF178" s="229">
        <v>-2.0000000000000001E-4</v>
      </c>
      <c r="AG178" s="228">
        <v>-12.6</v>
      </c>
      <c r="AH178" s="228">
        <v>-14.5</v>
      </c>
      <c r="AI178" s="228">
        <v>1.9</v>
      </c>
      <c r="AJ178" s="229">
        <v>-1.4E-2</v>
      </c>
      <c r="AK178" s="228">
        <v>-23.45</v>
      </c>
      <c r="AL178" s="228">
        <v>-25.65</v>
      </c>
      <c r="AM178" s="228">
        <v>2.2000000000000002</v>
      </c>
      <c r="AN178" s="229">
        <v>-2.5999999999999999E-2</v>
      </c>
      <c r="AO178" s="228">
        <v>903.78</v>
      </c>
      <c r="AP178" s="228">
        <v>886.35</v>
      </c>
      <c r="AQ178" s="228">
        <v>0</v>
      </c>
      <c r="AR178" s="230">
        <v>26104800</v>
      </c>
      <c r="AS178" s="230">
        <v>27888800</v>
      </c>
      <c r="AT178" s="230">
        <v>-1784000</v>
      </c>
      <c r="AU178" s="229">
        <v>-6.4000000000000001E-2</v>
      </c>
      <c r="AV178" s="230">
        <v>11299200</v>
      </c>
      <c r="AW178" s="230">
        <v>13402400</v>
      </c>
      <c r="AX178" s="230">
        <v>-2103200</v>
      </c>
      <c r="AY178" s="229">
        <v>-0.15690000000000001</v>
      </c>
      <c r="AZ178" s="230">
        <v>14458400</v>
      </c>
      <c r="BA178" s="230">
        <v>14249600</v>
      </c>
      <c r="BB178" s="230">
        <v>208800</v>
      </c>
      <c r="BC178" s="229">
        <v>1.47E-2</v>
      </c>
      <c r="BD178" s="230">
        <v>347200</v>
      </c>
      <c r="BE178" s="230">
        <v>236800</v>
      </c>
      <c r="BF178" s="230">
        <v>110400</v>
      </c>
      <c r="BG178" s="229">
        <v>0.4662</v>
      </c>
      <c r="BH178" s="230">
        <v>47384000</v>
      </c>
      <c r="BI178" s="230">
        <v>43593600</v>
      </c>
      <c r="BJ178" s="230">
        <v>3790400</v>
      </c>
      <c r="BK178" s="229">
        <v>8.6900000000000005E-2</v>
      </c>
      <c r="BL178" s="230">
        <v>26245600</v>
      </c>
      <c r="BM178" s="230">
        <v>25677600</v>
      </c>
      <c r="BN178" s="230">
        <v>568000</v>
      </c>
      <c r="BO178" s="229">
        <v>2.2100000000000002E-2</v>
      </c>
      <c r="BP178" s="230">
        <v>99734400</v>
      </c>
      <c r="BQ178" s="230">
        <v>97160000</v>
      </c>
      <c r="BR178" s="230">
        <v>2574400</v>
      </c>
      <c r="BS178" s="229">
        <v>2.6499999999999999E-2</v>
      </c>
      <c r="BT178" s="230">
        <v>3408818</v>
      </c>
      <c r="BU178" s="230">
        <v>2481656</v>
      </c>
      <c r="BV178" s="230">
        <v>927162</v>
      </c>
      <c r="BW178" s="229">
        <v>0.37359999999999999</v>
      </c>
      <c r="BX178" s="230">
        <v>21226400</v>
      </c>
      <c r="BY178" s="230">
        <v>21412000</v>
      </c>
      <c r="BZ178" s="230">
        <v>-185600</v>
      </c>
      <c r="CA178" s="229">
        <v>-8.6999999999999994E-3</v>
      </c>
      <c r="CB178" s="230">
        <v>2303200</v>
      </c>
      <c r="CC178" s="230">
        <v>8494400</v>
      </c>
      <c r="CD178" s="230">
        <v>-6191200</v>
      </c>
      <c r="CE178" s="229">
        <v>-0.72889999999999999</v>
      </c>
      <c r="CF178" s="230">
        <v>17991200</v>
      </c>
      <c r="CG178" s="230">
        <v>12096000</v>
      </c>
      <c r="CH178" s="230">
        <v>5895200</v>
      </c>
      <c r="CI178" s="229">
        <v>0.4874</v>
      </c>
      <c r="CJ178" s="230">
        <v>932000</v>
      </c>
      <c r="CK178" s="230">
        <v>821600</v>
      </c>
      <c r="CL178" s="230">
        <v>110400</v>
      </c>
      <c r="CM178" s="229">
        <v>0.13439999999999999</v>
      </c>
      <c r="CN178" s="230">
        <v>10960800</v>
      </c>
      <c r="CO178" s="230">
        <v>9556800</v>
      </c>
      <c r="CP178" s="230">
        <v>1404000</v>
      </c>
      <c r="CQ178" s="229">
        <v>0.1469</v>
      </c>
      <c r="CR178" s="230">
        <v>5604000</v>
      </c>
      <c r="CS178" s="230">
        <v>7014400</v>
      </c>
      <c r="CT178" s="230">
        <v>-1410400</v>
      </c>
      <c r="CU178" s="229">
        <v>-0.2011</v>
      </c>
      <c r="CV178" s="230">
        <v>37791200</v>
      </c>
      <c r="CW178" s="230">
        <v>37983200</v>
      </c>
      <c r="CX178" s="230">
        <v>-192000</v>
      </c>
      <c r="CY178" s="229">
        <v>-5.1000000000000004E-3</v>
      </c>
      <c r="CZ178" s="228">
        <v>25.25</v>
      </c>
      <c r="DA178" s="228">
        <v>30.65</v>
      </c>
      <c r="DB178" s="228">
        <v>-5.4</v>
      </c>
      <c r="DC178" s="228">
        <v>-5.4</v>
      </c>
      <c r="DD178" s="228">
        <v>30.17</v>
      </c>
      <c r="DE178" s="228">
        <v>29.96</v>
      </c>
      <c r="DF178" s="228">
        <v>-4.92</v>
      </c>
      <c r="DG178" s="228">
        <v>0.21</v>
      </c>
      <c r="DH178" s="228">
        <v>25.64</v>
      </c>
      <c r="DI178" s="228">
        <v>30.81</v>
      </c>
      <c r="DJ178" s="228">
        <v>-5.17</v>
      </c>
      <c r="DK178" s="228">
        <v>-5.17</v>
      </c>
      <c r="DL178" s="228">
        <v>24.2</v>
      </c>
      <c r="DM178" s="228">
        <v>30.18</v>
      </c>
      <c r="DN178" s="228">
        <v>-5.98</v>
      </c>
      <c r="DO178" s="228">
        <v>-5.98</v>
      </c>
      <c r="DP178" s="228">
        <v>0.51</v>
      </c>
      <c r="DQ178" s="228">
        <v>0.73</v>
      </c>
      <c r="DR178" s="228">
        <v>-0.22</v>
      </c>
      <c r="DS178" s="229">
        <v>-0.3014</v>
      </c>
      <c r="DT178" s="231">
        <v>1000</v>
      </c>
      <c r="DU178" s="228">
        <v>900</v>
      </c>
      <c r="DV178" s="228">
        <v>0.55000000000000004</v>
      </c>
      <c r="DW178" s="228">
        <v>0.59</v>
      </c>
      <c r="DX178" s="228">
        <v>-0.04</v>
      </c>
      <c r="DY178" s="229">
        <v>-6.7799999999999999E-2</v>
      </c>
      <c r="DZ178" s="229">
        <v>0.89149999999999996</v>
      </c>
      <c r="EA178" s="230">
        <v>12917600</v>
      </c>
      <c r="EB178" s="229">
        <v>-1.38E-2</v>
      </c>
      <c r="EC178" s="229">
        <v>0.89149999999999996</v>
      </c>
      <c r="ED178" s="228">
        <v>-17.43</v>
      </c>
      <c r="EE178" s="229">
        <v>-1.9300000000000001E-2</v>
      </c>
      <c r="EF178" s="230">
        <v>780149</v>
      </c>
      <c r="EG178" s="230">
        <v>994416</v>
      </c>
      <c r="EH178" s="229">
        <v>-0.2155</v>
      </c>
      <c r="EI178" s="229">
        <v>0.22889999999999999</v>
      </c>
      <c r="EJ178" s="231">
        <v>445920.68</v>
      </c>
      <c r="EK178" s="231">
        <v>235371.55</v>
      </c>
      <c r="EL178" s="231">
        <v>233311.84</v>
      </c>
      <c r="EM178" s="231">
        <v>17374</v>
      </c>
      <c r="EN178" s="231">
        <v>914604.07</v>
      </c>
      <c r="EO178" s="231">
        <v>910210.13</v>
      </c>
      <c r="EP178" s="231">
        <v>4393.9399999999996</v>
      </c>
      <c r="EQ178" s="229">
        <v>4.7999999999999996E-3</v>
      </c>
      <c r="ER178" s="231">
        <v>104223</v>
      </c>
      <c r="ES178" s="231">
        <v>48672</v>
      </c>
      <c r="ET178" s="231">
        <v>188717</v>
      </c>
      <c r="EU178" s="231">
        <v>39583537</v>
      </c>
      <c r="EV178" s="231">
        <v>341612</v>
      </c>
      <c r="EW178" s="231">
        <v>350874</v>
      </c>
      <c r="EX178" s="231">
        <v>-9262</v>
      </c>
      <c r="EY178" s="229">
        <v>-2.64E-2</v>
      </c>
      <c r="EZ178" s="229">
        <v>0.95469999999999999</v>
      </c>
      <c r="FA178" s="227" t="s">
        <v>568</v>
      </c>
      <c r="FB178" s="161">
        <f t="shared" si="4"/>
        <v>0</v>
      </c>
    </row>
    <row r="179" spans="1:158" ht="17.25" thickBot="1" x14ac:dyDescent="0.3">
      <c r="A179" s="226">
        <v>45957</v>
      </c>
      <c r="B179" s="227" t="s">
        <v>175</v>
      </c>
      <c r="C179" s="227" t="s">
        <v>462</v>
      </c>
      <c r="D179" s="228">
        <v>375</v>
      </c>
      <c r="E179" s="231">
        <v>1899.9</v>
      </c>
      <c r="F179" s="231">
        <v>1839.2</v>
      </c>
      <c r="G179" s="228">
        <v>60.7</v>
      </c>
      <c r="H179" s="229">
        <v>3.3000000000000002E-2</v>
      </c>
      <c r="I179" s="231">
        <v>1903.1</v>
      </c>
      <c r="J179" s="231">
        <v>1839.8</v>
      </c>
      <c r="K179" s="228">
        <v>63.3</v>
      </c>
      <c r="L179" s="229">
        <v>3.44E-2</v>
      </c>
      <c r="M179" s="231">
        <v>1899.9</v>
      </c>
      <c r="N179" s="231">
        <v>1839.2</v>
      </c>
      <c r="O179" s="228">
        <v>60.7</v>
      </c>
      <c r="P179" s="229">
        <v>3.3000000000000002E-2</v>
      </c>
      <c r="Q179" s="231">
        <v>1912.4</v>
      </c>
      <c r="R179" s="231">
        <v>1849.5</v>
      </c>
      <c r="S179" s="228">
        <v>62.9</v>
      </c>
      <c r="T179" s="229">
        <v>3.4000000000000002E-2</v>
      </c>
      <c r="U179" s="231">
        <v>1924.1</v>
      </c>
      <c r="V179" s="231">
        <v>1861.9</v>
      </c>
      <c r="W179" s="228">
        <v>62.2</v>
      </c>
      <c r="X179" s="229">
        <v>3.3399999999999999E-2</v>
      </c>
      <c r="Y179" s="228">
        <v>-3.2</v>
      </c>
      <c r="Z179" s="228">
        <v>-0.6</v>
      </c>
      <c r="AA179" s="228">
        <v>-2.6</v>
      </c>
      <c r="AB179" s="229">
        <v>-1.6999999999999999E-3</v>
      </c>
      <c r="AC179" s="228">
        <v>-3.2</v>
      </c>
      <c r="AD179" s="228">
        <v>-0.6</v>
      </c>
      <c r="AE179" s="228">
        <v>-2.6</v>
      </c>
      <c r="AF179" s="229">
        <v>-1.6999999999999999E-3</v>
      </c>
      <c r="AG179" s="228">
        <v>9.3000000000000007</v>
      </c>
      <c r="AH179" s="228">
        <v>9.6999999999999993</v>
      </c>
      <c r="AI179" s="228">
        <v>-0.4</v>
      </c>
      <c r="AJ179" s="229">
        <v>4.8999999999999998E-3</v>
      </c>
      <c r="AK179" s="228">
        <v>21</v>
      </c>
      <c r="AL179" s="228">
        <v>22.1</v>
      </c>
      <c r="AM179" s="228">
        <v>-1.1000000000000001</v>
      </c>
      <c r="AN179" s="229">
        <v>1.0999999999999999E-2</v>
      </c>
      <c r="AO179" s="231">
        <v>1900.12</v>
      </c>
      <c r="AP179" s="231">
        <v>1911.67</v>
      </c>
      <c r="AQ179" s="228">
        <v>0</v>
      </c>
      <c r="AR179" s="230">
        <v>9081000</v>
      </c>
      <c r="AS179" s="230">
        <v>6957000</v>
      </c>
      <c r="AT179" s="230">
        <v>2124000</v>
      </c>
      <c r="AU179" s="229">
        <v>0.30530000000000002</v>
      </c>
      <c r="AV179" s="230">
        <v>3692625</v>
      </c>
      <c r="AW179" s="230">
        <v>3506625</v>
      </c>
      <c r="AX179" s="230">
        <v>186000</v>
      </c>
      <c r="AY179" s="229">
        <v>5.2999999999999999E-2</v>
      </c>
      <c r="AZ179" s="230">
        <v>5297250</v>
      </c>
      <c r="BA179" s="230">
        <v>3442500</v>
      </c>
      <c r="BB179" s="230">
        <v>1854750</v>
      </c>
      <c r="BC179" s="229">
        <v>0.53879999999999995</v>
      </c>
      <c r="BD179" s="230">
        <v>91125</v>
      </c>
      <c r="BE179" s="230">
        <v>7875</v>
      </c>
      <c r="BF179" s="230">
        <v>83250</v>
      </c>
      <c r="BG179" s="229">
        <v>10.571400000000001</v>
      </c>
      <c r="BH179" s="230">
        <v>43192125</v>
      </c>
      <c r="BI179" s="230">
        <v>10271250</v>
      </c>
      <c r="BJ179" s="230">
        <v>32920875</v>
      </c>
      <c r="BK179" s="229">
        <v>3.2050999999999998</v>
      </c>
      <c r="BL179" s="230">
        <v>20690250</v>
      </c>
      <c r="BM179" s="230">
        <v>7527375</v>
      </c>
      <c r="BN179" s="230">
        <v>13162875</v>
      </c>
      <c r="BO179" s="229">
        <v>1.7486999999999999</v>
      </c>
      <c r="BP179" s="230">
        <v>72963375</v>
      </c>
      <c r="BQ179" s="230">
        <v>24755625</v>
      </c>
      <c r="BR179" s="230">
        <v>48207750</v>
      </c>
      <c r="BS179" s="229">
        <v>1.9473</v>
      </c>
      <c r="BT179" s="230">
        <v>3001432</v>
      </c>
      <c r="BU179" s="230">
        <v>581292</v>
      </c>
      <c r="BV179" s="230">
        <v>2420140</v>
      </c>
      <c r="BW179" s="229">
        <v>4.1634000000000002</v>
      </c>
      <c r="BX179" s="230">
        <v>7510125</v>
      </c>
      <c r="BY179" s="230">
        <v>7267500</v>
      </c>
      <c r="BZ179" s="230">
        <v>242625</v>
      </c>
      <c r="CA179" s="229">
        <v>3.3399999999999999E-2</v>
      </c>
      <c r="CB179" s="230">
        <v>1035000</v>
      </c>
      <c r="CC179" s="230">
        <v>2659500</v>
      </c>
      <c r="CD179" s="230">
        <v>-1624500</v>
      </c>
      <c r="CE179" s="229">
        <v>-0.61080000000000001</v>
      </c>
      <c r="CF179" s="230">
        <v>6403500</v>
      </c>
      <c r="CG179" s="230">
        <v>4569000</v>
      </c>
      <c r="CH179" s="230">
        <v>1834500</v>
      </c>
      <c r="CI179" s="229">
        <v>0.40150000000000002</v>
      </c>
      <c r="CJ179" s="230">
        <v>71625</v>
      </c>
      <c r="CK179" s="230">
        <v>39000</v>
      </c>
      <c r="CL179" s="230">
        <v>32625</v>
      </c>
      <c r="CM179" s="229">
        <v>0.83650000000000002</v>
      </c>
      <c r="CN179" s="230">
        <v>4043625</v>
      </c>
      <c r="CO179" s="230">
        <v>3602625</v>
      </c>
      <c r="CP179" s="230">
        <v>441000</v>
      </c>
      <c r="CQ179" s="229">
        <v>0.12239999999999999</v>
      </c>
      <c r="CR179" s="230">
        <v>2850000</v>
      </c>
      <c r="CS179" s="230">
        <v>2016375</v>
      </c>
      <c r="CT179" s="230">
        <v>833625</v>
      </c>
      <c r="CU179" s="229">
        <v>0.41339999999999999</v>
      </c>
      <c r="CV179" s="230">
        <v>14403750</v>
      </c>
      <c r="CW179" s="230">
        <v>12886500</v>
      </c>
      <c r="CX179" s="230">
        <v>1517250</v>
      </c>
      <c r="CY179" s="229">
        <v>0.1177</v>
      </c>
      <c r="CZ179" s="228">
        <v>20.67</v>
      </c>
      <c r="DA179" s="228">
        <v>22.68</v>
      </c>
      <c r="DB179" s="228">
        <v>-2.0099999999999998</v>
      </c>
      <c r="DC179" s="228">
        <v>-2.0099999999999998</v>
      </c>
      <c r="DD179" s="228">
        <v>25.73</v>
      </c>
      <c r="DE179" s="228">
        <v>25.38</v>
      </c>
      <c r="DF179" s="228">
        <v>-5.0599999999999996</v>
      </c>
      <c r="DG179" s="228">
        <v>0.35</v>
      </c>
      <c r="DH179" s="228">
        <v>20.32</v>
      </c>
      <c r="DI179" s="228">
        <v>22.64</v>
      </c>
      <c r="DJ179" s="228">
        <v>-2.3199999999999998</v>
      </c>
      <c r="DK179" s="228">
        <v>-2.3199999999999998</v>
      </c>
      <c r="DL179" s="228">
        <v>21.33</v>
      </c>
      <c r="DM179" s="228">
        <v>22.76</v>
      </c>
      <c r="DN179" s="228">
        <v>-1.43</v>
      </c>
      <c r="DO179" s="228">
        <v>-1.43</v>
      </c>
      <c r="DP179" s="228">
        <v>0.7</v>
      </c>
      <c r="DQ179" s="228">
        <v>0.56000000000000005</v>
      </c>
      <c r="DR179" s="228">
        <v>0.14000000000000001</v>
      </c>
      <c r="DS179" s="229">
        <v>0.25</v>
      </c>
      <c r="DT179" s="231">
        <v>1800</v>
      </c>
      <c r="DU179" s="231">
        <v>1880</v>
      </c>
      <c r="DV179" s="228">
        <v>0.48</v>
      </c>
      <c r="DW179" s="228">
        <v>0.73</v>
      </c>
      <c r="DX179" s="228">
        <v>-0.25</v>
      </c>
      <c r="DY179" s="229">
        <v>-0.34250000000000003</v>
      </c>
      <c r="DZ179" s="229">
        <v>0.86219999999999997</v>
      </c>
      <c r="EA179" s="230">
        <v>4608000</v>
      </c>
      <c r="EB179" s="229">
        <v>6.6E-3</v>
      </c>
      <c r="EC179" s="229">
        <v>0.86219999999999997</v>
      </c>
      <c r="ED179" s="228">
        <v>11.55</v>
      </c>
      <c r="EE179" s="229">
        <v>6.1000000000000004E-3</v>
      </c>
      <c r="EF179" s="230">
        <v>1054097</v>
      </c>
      <c r="EG179" s="230">
        <v>293429</v>
      </c>
      <c r="EH179" s="229">
        <v>2.5922999999999998</v>
      </c>
      <c r="EI179" s="229">
        <v>0.35120000000000001</v>
      </c>
      <c r="EJ179" s="231">
        <v>837333.08</v>
      </c>
      <c r="EK179" s="231">
        <v>387337.29</v>
      </c>
      <c r="EL179" s="231">
        <v>173182.05</v>
      </c>
      <c r="EM179" s="231">
        <v>8741</v>
      </c>
      <c r="EN179" s="231">
        <v>1397852.42</v>
      </c>
      <c r="EO179" s="231">
        <v>462250.03</v>
      </c>
      <c r="EP179" s="231">
        <v>935602.39</v>
      </c>
      <c r="EQ179" s="229">
        <v>2.024</v>
      </c>
      <c r="ER179" s="231">
        <v>77246</v>
      </c>
      <c r="ES179" s="231">
        <v>51828</v>
      </c>
      <c r="ET179" s="231">
        <v>143503</v>
      </c>
      <c r="EU179" s="231">
        <v>44735132</v>
      </c>
      <c r="EV179" s="231">
        <v>272577</v>
      </c>
      <c r="EW179" s="231">
        <v>238008</v>
      </c>
      <c r="EX179" s="231">
        <v>34569</v>
      </c>
      <c r="EY179" s="229">
        <v>0.1452</v>
      </c>
      <c r="EZ179" s="229">
        <v>0.32200000000000001</v>
      </c>
      <c r="FA179" s="227" t="s">
        <v>555</v>
      </c>
      <c r="FB179" s="161">
        <f t="shared" si="4"/>
        <v>0</v>
      </c>
    </row>
    <row r="180" spans="1:158" ht="17.25" thickBot="1" x14ac:dyDescent="0.3">
      <c r="A180" s="226">
        <v>45957</v>
      </c>
      <c r="B180" s="227" t="s">
        <v>172</v>
      </c>
      <c r="C180" s="227" t="s">
        <v>283</v>
      </c>
      <c r="D180" s="228">
        <v>750</v>
      </c>
      <c r="E180" s="228">
        <v>921.5</v>
      </c>
      <c r="F180" s="228">
        <v>904</v>
      </c>
      <c r="G180" s="228">
        <v>17.5</v>
      </c>
      <c r="H180" s="229">
        <v>1.9400000000000001E-2</v>
      </c>
      <c r="I180" s="228">
        <v>922.75</v>
      </c>
      <c r="J180" s="228">
        <v>904.5</v>
      </c>
      <c r="K180" s="228">
        <v>18.25</v>
      </c>
      <c r="L180" s="229">
        <v>2.0199999999999999E-2</v>
      </c>
      <c r="M180" s="228">
        <v>921.5</v>
      </c>
      <c r="N180" s="228">
        <v>904</v>
      </c>
      <c r="O180" s="228">
        <v>17.5</v>
      </c>
      <c r="P180" s="229">
        <v>1.9400000000000001E-2</v>
      </c>
      <c r="Q180" s="228">
        <v>929.2</v>
      </c>
      <c r="R180" s="228">
        <v>909.35</v>
      </c>
      <c r="S180" s="228">
        <v>19.850000000000001</v>
      </c>
      <c r="T180" s="229">
        <v>2.18E-2</v>
      </c>
      <c r="U180" s="228">
        <v>935.65</v>
      </c>
      <c r="V180" s="228">
        <v>914.9</v>
      </c>
      <c r="W180" s="228">
        <v>20.75</v>
      </c>
      <c r="X180" s="229">
        <v>2.2700000000000001E-2</v>
      </c>
      <c r="Y180" s="228">
        <v>-1.25</v>
      </c>
      <c r="Z180" s="228">
        <v>-0.5</v>
      </c>
      <c r="AA180" s="228">
        <v>-0.75</v>
      </c>
      <c r="AB180" s="229">
        <v>-1.4E-3</v>
      </c>
      <c r="AC180" s="228">
        <v>-1.25</v>
      </c>
      <c r="AD180" s="228">
        <v>-0.5</v>
      </c>
      <c r="AE180" s="228">
        <v>-0.75</v>
      </c>
      <c r="AF180" s="229">
        <v>-1.4E-3</v>
      </c>
      <c r="AG180" s="228">
        <v>6.45</v>
      </c>
      <c r="AH180" s="228">
        <v>4.8499999999999996</v>
      </c>
      <c r="AI180" s="228">
        <v>1.6</v>
      </c>
      <c r="AJ180" s="229">
        <v>7.0000000000000001E-3</v>
      </c>
      <c r="AK180" s="228">
        <v>12.9</v>
      </c>
      <c r="AL180" s="228">
        <v>10.4</v>
      </c>
      <c r="AM180" s="228">
        <v>2.5</v>
      </c>
      <c r="AN180" s="229">
        <v>1.4E-2</v>
      </c>
      <c r="AO180" s="228">
        <v>916.57</v>
      </c>
      <c r="AP180" s="228">
        <v>922.87</v>
      </c>
      <c r="AQ180" s="228">
        <v>0</v>
      </c>
      <c r="AR180" s="230">
        <v>58330500</v>
      </c>
      <c r="AS180" s="230">
        <v>63541500</v>
      </c>
      <c r="AT180" s="230">
        <v>-5211000</v>
      </c>
      <c r="AU180" s="229">
        <v>-8.2000000000000003E-2</v>
      </c>
      <c r="AV180" s="230">
        <v>28035750</v>
      </c>
      <c r="AW180" s="230">
        <v>32655000</v>
      </c>
      <c r="AX180" s="230">
        <v>-4619250</v>
      </c>
      <c r="AY180" s="229">
        <v>-0.14149999999999999</v>
      </c>
      <c r="AZ180" s="230">
        <v>29742750</v>
      </c>
      <c r="BA180" s="230">
        <v>30664500</v>
      </c>
      <c r="BB180" s="230">
        <v>-921750</v>
      </c>
      <c r="BC180" s="229">
        <v>-3.0099999999999998E-2</v>
      </c>
      <c r="BD180" s="230">
        <v>552000</v>
      </c>
      <c r="BE180" s="230">
        <v>222000</v>
      </c>
      <c r="BF180" s="230">
        <v>330000</v>
      </c>
      <c r="BG180" s="229">
        <v>1.4864999999999999</v>
      </c>
      <c r="BH180" s="230">
        <v>143250750</v>
      </c>
      <c r="BI180" s="230">
        <v>85410750</v>
      </c>
      <c r="BJ180" s="230">
        <v>57840000</v>
      </c>
      <c r="BK180" s="229">
        <v>0.67720000000000002</v>
      </c>
      <c r="BL180" s="230">
        <v>68944500</v>
      </c>
      <c r="BM180" s="230">
        <v>61938750</v>
      </c>
      <c r="BN180" s="230">
        <v>7005750</v>
      </c>
      <c r="BO180" s="229">
        <v>0.11310000000000001</v>
      </c>
      <c r="BP180" s="230">
        <v>270525750</v>
      </c>
      <c r="BQ180" s="230">
        <v>210891000</v>
      </c>
      <c r="BR180" s="230">
        <v>59634750</v>
      </c>
      <c r="BS180" s="229">
        <v>0.2828</v>
      </c>
      <c r="BT180" s="230">
        <v>9543010</v>
      </c>
      <c r="BU180" s="230">
        <v>5489658</v>
      </c>
      <c r="BV180" s="230">
        <v>4053352</v>
      </c>
      <c r="BW180" s="229">
        <v>0.73839999999999995</v>
      </c>
      <c r="BX180" s="230">
        <v>92676750</v>
      </c>
      <c r="BY180" s="230">
        <v>91217250</v>
      </c>
      <c r="BZ180" s="230">
        <v>1459500</v>
      </c>
      <c r="CA180" s="229">
        <v>1.6E-2</v>
      </c>
      <c r="CB180" s="230">
        <v>20087250</v>
      </c>
      <c r="CC180" s="230">
        <v>37202250</v>
      </c>
      <c r="CD180" s="230">
        <v>-17115000</v>
      </c>
      <c r="CE180" s="229">
        <v>-0.46010000000000001</v>
      </c>
      <c r="CF180" s="230">
        <v>71608500</v>
      </c>
      <c r="CG180" s="230">
        <v>53189250</v>
      </c>
      <c r="CH180" s="230">
        <v>18419250</v>
      </c>
      <c r="CI180" s="229">
        <v>0.3463</v>
      </c>
      <c r="CJ180" s="230">
        <v>981000</v>
      </c>
      <c r="CK180" s="230">
        <v>825750</v>
      </c>
      <c r="CL180" s="230">
        <v>155250</v>
      </c>
      <c r="CM180" s="229">
        <v>0.188</v>
      </c>
      <c r="CN180" s="230">
        <v>52255500</v>
      </c>
      <c r="CO180" s="230">
        <v>54118500</v>
      </c>
      <c r="CP180" s="230">
        <v>-1863000</v>
      </c>
      <c r="CQ180" s="229">
        <v>-3.44E-2</v>
      </c>
      <c r="CR180" s="230">
        <v>45009750</v>
      </c>
      <c r="CS180" s="230">
        <v>42260250</v>
      </c>
      <c r="CT180" s="230">
        <v>2749500</v>
      </c>
      <c r="CU180" s="229">
        <v>6.5100000000000005E-2</v>
      </c>
      <c r="CV180" s="230">
        <v>189942000</v>
      </c>
      <c r="CW180" s="230">
        <v>187596000</v>
      </c>
      <c r="CX180" s="230">
        <v>2346000</v>
      </c>
      <c r="CY180" s="229">
        <v>1.2500000000000001E-2</v>
      </c>
      <c r="CZ180" s="228">
        <v>23.18</v>
      </c>
      <c r="DA180" s="228">
        <v>21.58</v>
      </c>
      <c r="DB180" s="228">
        <v>1.6</v>
      </c>
      <c r="DC180" s="228">
        <v>1.6</v>
      </c>
      <c r="DD180" s="228">
        <v>26.14</v>
      </c>
      <c r="DE180" s="228">
        <v>26.08</v>
      </c>
      <c r="DF180" s="228">
        <v>-2.96</v>
      </c>
      <c r="DG180" s="228">
        <v>0.06</v>
      </c>
      <c r="DH180" s="228">
        <v>23.32</v>
      </c>
      <c r="DI180" s="228">
        <v>21.8</v>
      </c>
      <c r="DJ180" s="228">
        <v>1.52</v>
      </c>
      <c r="DK180" s="228">
        <v>1.52</v>
      </c>
      <c r="DL180" s="228">
        <v>22.92</v>
      </c>
      <c r="DM180" s="228">
        <v>21.26</v>
      </c>
      <c r="DN180" s="228">
        <v>1.66</v>
      </c>
      <c r="DO180" s="228">
        <v>1.66</v>
      </c>
      <c r="DP180" s="228">
        <v>0.86</v>
      </c>
      <c r="DQ180" s="228">
        <v>0.78</v>
      </c>
      <c r="DR180" s="228">
        <v>0.08</v>
      </c>
      <c r="DS180" s="229">
        <v>0.1026</v>
      </c>
      <c r="DT180" s="228">
        <v>880</v>
      </c>
      <c r="DU180" s="228">
        <v>890</v>
      </c>
      <c r="DV180" s="228">
        <v>0.48</v>
      </c>
      <c r="DW180" s="228">
        <v>0.73</v>
      </c>
      <c r="DX180" s="228">
        <v>-0.25</v>
      </c>
      <c r="DY180" s="229">
        <v>-0.34250000000000003</v>
      </c>
      <c r="DZ180" s="229">
        <v>0.7833</v>
      </c>
      <c r="EA180" s="230">
        <v>54015000</v>
      </c>
      <c r="EB180" s="229">
        <v>8.3999999999999995E-3</v>
      </c>
      <c r="EC180" s="229">
        <v>0.7833</v>
      </c>
      <c r="ED180" s="228">
        <v>6.3</v>
      </c>
      <c r="EE180" s="229">
        <v>6.8999999999999999E-3</v>
      </c>
      <c r="EF180" s="230">
        <v>5675739</v>
      </c>
      <c r="EG180" s="230">
        <v>2203374</v>
      </c>
      <c r="EH180" s="229">
        <v>1.5759000000000001</v>
      </c>
      <c r="EI180" s="229">
        <v>0.5948</v>
      </c>
      <c r="EJ180" s="231">
        <v>1338600.95</v>
      </c>
      <c r="EK180" s="231">
        <v>624565.78</v>
      </c>
      <c r="EL180" s="231">
        <v>536586.11</v>
      </c>
      <c r="EM180" s="231">
        <v>51242</v>
      </c>
      <c r="EN180" s="231">
        <v>2499752.84</v>
      </c>
      <c r="EO180" s="231">
        <v>1924124.22</v>
      </c>
      <c r="EP180" s="231">
        <v>575628.62</v>
      </c>
      <c r="EQ180" s="229">
        <v>0.29920000000000002</v>
      </c>
      <c r="ER180" s="231">
        <v>477402</v>
      </c>
      <c r="ES180" s="231">
        <v>393198</v>
      </c>
      <c r="ET180" s="231">
        <v>859669</v>
      </c>
      <c r="EU180" s="231">
        <v>407307212</v>
      </c>
      <c r="EV180" s="231">
        <v>1730269</v>
      </c>
      <c r="EW180" s="231">
        <v>1687625</v>
      </c>
      <c r="EX180" s="231">
        <v>42644</v>
      </c>
      <c r="EY180" s="229">
        <v>2.53E-2</v>
      </c>
      <c r="EZ180" s="229">
        <v>0.46629999999999999</v>
      </c>
      <c r="FA180" s="227" t="s">
        <v>555</v>
      </c>
      <c r="FB180" s="161">
        <f t="shared" si="4"/>
        <v>0</v>
      </c>
    </row>
    <row r="181" spans="1:158" ht="17.25" thickBot="1" x14ac:dyDescent="0.3">
      <c r="A181" s="226">
        <v>45957</v>
      </c>
      <c r="B181" s="227" t="s">
        <v>157</v>
      </c>
      <c r="C181" s="227" t="s">
        <v>284</v>
      </c>
      <c r="D181" s="228">
        <v>25</v>
      </c>
      <c r="E181" s="231">
        <v>28475</v>
      </c>
      <c r="F181" s="231">
        <v>28640</v>
      </c>
      <c r="G181" s="228">
        <v>-165</v>
      </c>
      <c r="H181" s="229">
        <v>-5.7999999999999996E-3</v>
      </c>
      <c r="I181" s="231">
        <v>28590</v>
      </c>
      <c r="J181" s="231">
        <v>28705</v>
      </c>
      <c r="K181" s="228">
        <v>-115</v>
      </c>
      <c r="L181" s="229">
        <v>-4.0000000000000001E-3</v>
      </c>
      <c r="M181" s="231">
        <v>28475</v>
      </c>
      <c r="N181" s="231">
        <v>28640</v>
      </c>
      <c r="O181" s="228">
        <v>-165</v>
      </c>
      <c r="P181" s="229">
        <v>-5.7999999999999996E-3</v>
      </c>
      <c r="Q181" s="231">
        <v>28340</v>
      </c>
      <c r="R181" s="231">
        <v>28545</v>
      </c>
      <c r="S181" s="228">
        <v>-205</v>
      </c>
      <c r="T181" s="229">
        <v>-7.1999999999999998E-3</v>
      </c>
      <c r="U181" s="231">
        <v>28380</v>
      </c>
      <c r="V181" s="231">
        <v>28575</v>
      </c>
      <c r="W181" s="228">
        <v>-195</v>
      </c>
      <c r="X181" s="229">
        <v>-6.7999999999999996E-3</v>
      </c>
      <c r="Y181" s="228">
        <v>-115</v>
      </c>
      <c r="Z181" s="228">
        <v>-65</v>
      </c>
      <c r="AA181" s="228">
        <v>-50</v>
      </c>
      <c r="AB181" s="229">
        <v>-4.0000000000000001E-3</v>
      </c>
      <c r="AC181" s="228">
        <v>-115</v>
      </c>
      <c r="AD181" s="228">
        <v>-65</v>
      </c>
      <c r="AE181" s="228">
        <v>-50</v>
      </c>
      <c r="AF181" s="229">
        <v>-4.0000000000000001E-3</v>
      </c>
      <c r="AG181" s="228">
        <v>-250</v>
      </c>
      <c r="AH181" s="228">
        <v>-160</v>
      </c>
      <c r="AI181" s="228">
        <v>-90</v>
      </c>
      <c r="AJ181" s="229">
        <v>-8.6999999999999994E-3</v>
      </c>
      <c r="AK181" s="228">
        <v>-210</v>
      </c>
      <c r="AL181" s="228">
        <v>-130</v>
      </c>
      <c r="AM181" s="228">
        <v>-80</v>
      </c>
      <c r="AN181" s="229">
        <v>-7.3000000000000001E-3</v>
      </c>
      <c r="AO181" s="231">
        <v>28611.599999999999</v>
      </c>
      <c r="AP181" s="231">
        <v>28467.88</v>
      </c>
      <c r="AQ181" s="228">
        <v>0</v>
      </c>
      <c r="AR181" s="230">
        <v>208625</v>
      </c>
      <c r="AS181" s="230">
        <v>208600</v>
      </c>
      <c r="AT181" s="228">
        <v>25</v>
      </c>
      <c r="AU181" s="229">
        <v>1E-4</v>
      </c>
      <c r="AV181" s="230">
        <v>87525</v>
      </c>
      <c r="AW181" s="230">
        <v>98475</v>
      </c>
      <c r="AX181" s="230">
        <v>-10950</v>
      </c>
      <c r="AY181" s="229">
        <v>-0.11119999999999999</v>
      </c>
      <c r="AZ181" s="230">
        <v>120625</v>
      </c>
      <c r="BA181" s="230">
        <v>109700</v>
      </c>
      <c r="BB181" s="230">
        <v>10925</v>
      </c>
      <c r="BC181" s="229">
        <v>9.9599999999999994E-2</v>
      </c>
      <c r="BD181" s="228">
        <v>475</v>
      </c>
      <c r="BE181" s="228">
        <v>425</v>
      </c>
      <c r="BF181" s="228">
        <v>50</v>
      </c>
      <c r="BG181" s="229">
        <v>0.1176</v>
      </c>
      <c r="BH181" s="230">
        <v>236325</v>
      </c>
      <c r="BI181" s="230">
        <v>107075</v>
      </c>
      <c r="BJ181" s="230">
        <v>129250</v>
      </c>
      <c r="BK181" s="229">
        <v>1.2071000000000001</v>
      </c>
      <c r="BL181" s="230">
        <v>64750</v>
      </c>
      <c r="BM181" s="230">
        <v>18025</v>
      </c>
      <c r="BN181" s="230">
        <v>46725</v>
      </c>
      <c r="BO181" s="229">
        <v>2.5922000000000001</v>
      </c>
      <c r="BP181" s="230">
        <v>509700</v>
      </c>
      <c r="BQ181" s="230">
        <v>333700</v>
      </c>
      <c r="BR181" s="230">
        <v>176000</v>
      </c>
      <c r="BS181" s="229">
        <v>0.52739999999999998</v>
      </c>
      <c r="BT181" s="230">
        <v>36564</v>
      </c>
      <c r="BU181" s="230">
        <v>25361</v>
      </c>
      <c r="BV181" s="230">
        <v>11203</v>
      </c>
      <c r="BW181" s="229">
        <v>0.44169999999999998</v>
      </c>
      <c r="BX181" s="230">
        <v>294325</v>
      </c>
      <c r="BY181" s="230">
        <v>281750</v>
      </c>
      <c r="BZ181" s="230">
        <v>12575</v>
      </c>
      <c r="CA181" s="229">
        <v>4.4600000000000001E-2</v>
      </c>
      <c r="CB181" s="230">
        <v>43550</v>
      </c>
      <c r="CC181" s="230">
        <v>95950</v>
      </c>
      <c r="CD181" s="230">
        <v>-52400</v>
      </c>
      <c r="CE181" s="229">
        <v>-0.54610000000000003</v>
      </c>
      <c r="CF181" s="230">
        <v>249600</v>
      </c>
      <c r="CG181" s="230">
        <v>184900</v>
      </c>
      <c r="CH181" s="230">
        <v>64700</v>
      </c>
      <c r="CI181" s="229">
        <v>0.34989999999999999</v>
      </c>
      <c r="CJ181" s="230">
        <v>1175</v>
      </c>
      <c r="CK181" s="228">
        <v>900</v>
      </c>
      <c r="CL181" s="228">
        <v>275</v>
      </c>
      <c r="CM181" s="229">
        <v>0.30559999999999998</v>
      </c>
      <c r="CN181" s="230">
        <v>59325</v>
      </c>
      <c r="CO181" s="230">
        <v>60550</v>
      </c>
      <c r="CP181" s="230">
        <v>-1225</v>
      </c>
      <c r="CQ181" s="229">
        <v>-2.0199999999999999E-2</v>
      </c>
      <c r="CR181" s="230">
        <v>35725</v>
      </c>
      <c r="CS181" s="230">
        <v>33300</v>
      </c>
      <c r="CT181" s="230">
        <v>2425</v>
      </c>
      <c r="CU181" s="229">
        <v>7.2800000000000004E-2</v>
      </c>
      <c r="CV181" s="230">
        <v>389375</v>
      </c>
      <c r="CW181" s="230">
        <v>375600</v>
      </c>
      <c r="CX181" s="230">
        <v>13775</v>
      </c>
      <c r="CY181" s="229">
        <v>3.6700000000000003E-2</v>
      </c>
      <c r="CZ181" s="228">
        <v>25.46</v>
      </c>
      <c r="DA181" s="228">
        <v>23.48</v>
      </c>
      <c r="DB181" s="228">
        <v>1.98</v>
      </c>
      <c r="DC181" s="228">
        <v>1.98</v>
      </c>
      <c r="DD181" s="228">
        <v>25.79</v>
      </c>
      <c r="DE181" s="228">
        <v>25.84</v>
      </c>
      <c r="DF181" s="228">
        <v>-0.33</v>
      </c>
      <c r="DG181" s="228">
        <v>-0.05</v>
      </c>
      <c r="DH181" s="228">
        <v>26.11</v>
      </c>
      <c r="DI181" s="228">
        <v>23.48</v>
      </c>
      <c r="DJ181" s="228">
        <v>2.63</v>
      </c>
      <c r="DK181" s="228">
        <v>2.63</v>
      </c>
      <c r="DL181" s="228">
        <v>23.97</v>
      </c>
      <c r="DM181" s="228">
        <v>23.46</v>
      </c>
      <c r="DN181" s="228">
        <v>0.51</v>
      </c>
      <c r="DO181" s="228">
        <v>0.51</v>
      </c>
      <c r="DP181" s="228">
        <v>0.6</v>
      </c>
      <c r="DQ181" s="228">
        <v>0.55000000000000004</v>
      </c>
      <c r="DR181" s="228">
        <v>0.05</v>
      </c>
      <c r="DS181" s="229">
        <v>9.0899999999999995E-2</v>
      </c>
      <c r="DT181" s="231">
        <v>30000</v>
      </c>
      <c r="DU181" s="231">
        <v>30000</v>
      </c>
      <c r="DV181" s="228">
        <v>0.27</v>
      </c>
      <c r="DW181" s="228">
        <v>0.17</v>
      </c>
      <c r="DX181" s="228">
        <v>0.1</v>
      </c>
      <c r="DY181" s="229">
        <v>0.58819999999999995</v>
      </c>
      <c r="DZ181" s="229">
        <v>0.85199999999999998</v>
      </c>
      <c r="EA181" s="230">
        <v>185800</v>
      </c>
      <c r="EB181" s="229">
        <v>-4.7000000000000002E-3</v>
      </c>
      <c r="EC181" s="229">
        <v>0.85199999999999998</v>
      </c>
      <c r="ED181" s="228">
        <v>-143.72</v>
      </c>
      <c r="EE181" s="229">
        <v>-5.0000000000000001E-3</v>
      </c>
      <c r="EF181" s="230">
        <v>24384</v>
      </c>
      <c r="EG181" s="230">
        <v>15612</v>
      </c>
      <c r="EH181" s="229">
        <v>0.56189999999999996</v>
      </c>
      <c r="EI181" s="229">
        <v>0.66690000000000005</v>
      </c>
      <c r="EJ181" s="231">
        <v>72879.19</v>
      </c>
      <c r="EK181" s="231">
        <v>18165.599999999999</v>
      </c>
      <c r="EL181" s="231">
        <v>59517.11</v>
      </c>
      <c r="EM181" s="231">
        <v>5716</v>
      </c>
      <c r="EN181" s="231">
        <v>150561.9</v>
      </c>
      <c r="EO181" s="231">
        <v>97235.75</v>
      </c>
      <c r="EP181" s="231">
        <v>53326.15</v>
      </c>
      <c r="EQ181" s="229">
        <v>0.5484</v>
      </c>
      <c r="ER181" s="231">
        <v>17756</v>
      </c>
      <c r="ES181" s="231">
        <v>10347</v>
      </c>
      <c r="ET181" s="231">
        <v>83471</v>
      </c>
      <c r="EU181" s="231">
        <v>1548028</v>
      </c>
      <c r="EV181" s="231">
        <v>111574</v>
      </c>
      <c r="EW181" s="231">
        <v>108393</v>
      </c>
      <c r="EX181" s="231">
        <v>3181</v>
      </c>
      <c r="EY181" s="229">
        <v>2.93E-2</v>
      </c>
      <c r="EZ181" s="229">
        <v>0.2515</v>
      </c>
      <c r="FA181" s="227" t="s">
        <v>567</v>
      </c>
      <c r="FB181" s="161">
        <f t="shared" si="4"/>
        <v>0</v>
      </c>
    </row>
    <row r="182" spans="1:158" ht="17.25" thickBot="1" x14ac:dyDescent="0.3">
      <c r="A182" s="226">
        <v>45957</v>
      </c>
      <c r="B182" s="227" t="s">
        <v>175</v>
      </c>
      <c r="C182" s="227" t="s">
        <v>562</v>
      </c>
      <c r="D182" s="228">
        <v>825</v>
      </c>
      <c r="E182" s="228">
        <v>719.95</v>
      </c>
      <c r="F182" s="228">
        <v>715.55</v>
      </c>
      <c r="G182" s="228">
        <v>4.4000000000000004</v>
      </c>
      <c r="H182" s="229">
        <v>6.1000000000000004E-3</v>
      </c>
      <c r="I182" s="228">
        <v>719.6</v>
      </c>
      <c r="J182" s="228">
        <v>715.45</v>
      </c>
      <c r="K182" s="228">
        <v>4.1500000000000004</v>
      </c>
      <c r="L182" s="229">
        <v>5.7999999999999996E-3</v>
      </c>
      <c r="M182" s="228">
        <v>719.95</v>
      </c>
      <c r="N182" s="228">
        <v>715.55</v>
      </c>
      <c r="O182" s="228">
        <v>4.4000000000000004</v>
      </c>
      <c r="P182" s="229">
        <v>6.1000000000000004E-3</v>
      </c>
      <c r="Q182" s="228">
        <v>719.65</v>
      </c>
      <c r="R182" s="228">
        <v>715.45</v>
      </c>
      <c r="S182" s="228">
        <v>4.2</v>
      </c>
      <c r="T182" s="229">
        <v>5.8999999999999999E-3</v>
      </c>
      <c r="U182" s="228">
        <v>724.3</v>
      </c>
      <c r="V182" s="228">
        <v>720.55</v>
      </c>
      <c r="W182" s="228">
        <v>3.75</v>
      </c>
      <c r="X182" s="229">
        <v>5.1999999999999998E-3</v>
      </c>
      <c r="Y182" s="228">
        <v>0.35</v>
      </c>
      <c r="Z182" s="228">
        <v>0.1</v>
      </c>
      <c r="AA182" s="228">
        <v>0.25</v>
      </c>
      <c r="AB182" s="229">
        <v>5.0000000000000001E-4</v>
      </c>
      <c r="AC182" s="228">
        <v>0.35</v>
      </c>
      <c r="AD182" s="228">
        <v>0.1</v>
      </c>
      <c r="AE182" s="228">
        <v>0.25</v>
      </c>
      <c r="AF182" s="229">
        <v>5.0000000000000001E-4</v>
      </c>
      <c r="AG182" s="228">
        <v>0.05</v>
      </c>
      <c r="AH182" s="228">
        <v>0</v>
      </c>
      <c r="AI182" s="228">
        <v>0.05</v>
      </c>
      <c r="AJ182" s="229">
        <v>1E-4</v>
      </c>
      <c r="AK182" s="228">
        <v>4.7</v>
      </c>
      <c r="AL182" s="228">
        <v>5.0999999999999996</v>
      </c>
      <c r="AM182" s="228">
        <v>-0.4</v>
      </c>
      <c r="AN182" s="229">
        <v>6.4999999999999997E-3</v>
      </c>
      <c r="AO182" s="228">
        <v>723.69</v>
      </c>
      <c r="AP182" s="228">
        <v>723.64</v>
      </c>
      <c r="AQ182" s="228">
        <v>0</v>
      </c>
      <c r="AR182" s="230">
        <v>33131175</v>
      </c>
      <c r="AS182" s="230">
        <v>32623800</v>
      </c>
      <c r="AT182" s="230">
        <v>507375</v>
      </c>
      <c r="AU182" s="229">
        <v>1.5599999999999999E-2</v>
      </c>
      <c r="AV182" s="230">
        <v>14916825</v>
      </c>
      <c r="AW182" s="230">
        <v>15664275</v>
      </c>
      <c r="AX182" s="230">
        <v>-747450</v>
      </c>
      <c r="AY182" s="229">
        <v>-4.7699999999999999E-2</v>
      </c>
      <c r="AZ182" s="230">
        <v>18083175</v>
      </c>
      <c r="BA182" s="230">
        <v>16875375</v>
      </c>
      <c r="BB182" s="230">
        <v>1207800</v>
      </c>
      <c r="BC182" s="229">
        <v>7.1599999999999997E-2</v>
      </c>
      <c r="BD182" s="230">
        <v>131175</v>
      </c>
      <c r="BE182" s="230">
        <v>84150</v>
      </c>
      <c r="BF182" s="230">
        <v>47025</v>
      </c>
      <c r="BG182" s="229">
        <v>0.55879999999999996</v>
      </c>
      <c r="BH182" s="230">
        <v>23448150</v>
      </c>
      <c r="BI182" s="230">
        <v>36373425</v>
      </c>
      <c r="BJ182" s="230">
        <v>-12925275</v>
      </c>
      <c r="BK182" s="229">
        <v>-0.3553</v>
      </c>
      <c r="BL182" s="230">
        <v>14293125</v>
      </c>
      <c r="BM182" s="230">
        <v>16254150</v>
      </c>
      <c r="BN182" s="230">
        <v>-1961025</v>
      </c>
      <c r="BO182" s="229">
        <v>-0.1206</v>
      </c>
      <c r="BP182" s="230">
        <v>70872450</v>
      </c>
      <c r="BQ182" s="230">
        <v>85251375</v>
      </c>
      <c r="BR182" s="230">
        <v>-14378925</v>
      </c>
      <c r="BS182" s="229">
        <v>-0.16869999999999999</v>
      </c>
      <c r="BT182" s="230">
        <v>8469856</v>
      </c>
      <c r="BU182" s="230">
        <v>6256425</v>
      </c>
      <c r="BV182" s="230">
        <v>2213431</v>
      </c>
      <c r="BW182" s="229">
        <v>0.3538</v>
      </c>
      <c r="BX182" s="230">
        <v>53040075</v>
      </c>
      <c r="BY182" s="230">
        <v>53030175</v>
      </c>
      <c r="BZ182" s="230">
        <v>9900</v>
      </c>
      <c r="CA182" s="229">
        <v>2.0000000000000001E-4</v>
      </c>
      <c r="CB182" s="230">
        <v>12676950</v>
      </c>
      <c r="CC182" s="230">
        <v>24782175</v>
      </c>
      <c r="CD182" s="230">
        <v>-12105225</v>
      </c>
      <c r="CE182" s="229">
        <v>-0.48849999999999999</v>
      </c>
      <c r="CF182" s="230">
        <v>40066125</v>
      </c>
      <c r="CG182" s="230">
        <v>27987300</v>
      </c>
      <c r="CH182" s="230">
        <v>12078825</v>
      </c>
      <c r="CI182" s="229">
        <v>0.43159999999999998</v>
      </c>
      <c r="CJ182" s="230">
        <v>297000</v>
      </c>
      <c r="CK182" s="230">
        <v>260700</v>
      </c>
      <c r="CL182" s="230">
        <v>36300</v>
      </c>
      <c r="CM182" s="229">
        <v>0.13919999999999999</v>
      </c>
      <c r="CN182" s="230">
        <v>8943825</v>
      </c>
      <c r="CO182" s="230">
        <v>8762325</v>
      </c>
      <c r="CP182" s="230">
        <v>181500</v>
      </c>
      <c r="CQ182" s="229">
        <v>2.07E-2</v>
      </c>
      <c r="CR182" s="230">
        <v>9253200</v>
      </c>
      <c r="CS182" s="230">
        <v>9034575</v>
      </c>
      <c r="CT182" s="230">
        <v>218625</v>
      </c>
      <c r="CU182" s="229">
        <v>2.4199999999999999E-2</v>
      </c>
      <c r="CV182" s="230">
        <v>71237100</v>
      </c>
      <c r="CW182" s="230">
        <v>70827075</v>
      </c>
      <c r="CX182" s="230">
        <v>410025</v>
      </c>
      <c r="CY182" s="229">
        <v>5.7999999999999996E-3</v>
      </c>
      <c r="CZ182" s="228">
        <v>38.26</v>
      </c>
      <c r="DA182" s="228">
        <v>35.31</v>
      </c>
      <c r="DB182" s="228">
        <v>2.95</v>
      </c>
      <c r="DC182" s="228">
        <v>2.95</v>
      </c>
      <c r="DD182" s="228">
        <v>40.31</v>
      </c>
      <c r="DE182" s="228">
        <v>40.4</v>
      </c>
      <c r="DF182" s="228">
        <v>-2.0499999999999998</v>
      </c>
      <c r="DG182" s="228">
        <v>-0.09</v>
      </c>
      <c r="DH182" s="228">
        <v>38.36</v>
      </c>
      <c r="DI182" s="228">
        <v>35.47</v>
      </c>
      <c r="DJ182" s="228">
        <v>2.89</v>
      </c>
      <c r="DK182" s="228">
        <v>2.89</v>
      </c>
      <c r="DL182" s="228">
        <v>38.1</v>
      </c>
      <c r="DM182" s="228">
        <v>35.090000000000003</v>
      </c>
      <c r="DN182" s="228">
        <v>3.01</v>
      </c>
      <c r="DO182" s="228">
        <v>3.01</v>
      </c>
      <c r="DP182" s="228">
        <v>1.03</v>
      </c>
      <c r="DQ182" s="228">
        <v>1.03</v>
      </c>
      <c r="DR182" s="228">
        <v>0</v>
      </c>
      <c r="DS182" s="229">
        <v>0</v>
      </c>
      <c r="DT182" s="228">
        <v>740</v>
      </c>
      <c r="DU182" s="228">
        <v>660</v>
      </c>
      <c r="DV182" s="228">
        <v>0.61</v>
      </c>
      <c r="DW182" s="228">
        <v>0.45</v>
      </c>
      <c r="DX182" s="228">
        <v>0.16</v>
      </c>
      <c r="DY182" s="229">
        <v>0.35560000000000003</v>
      </c>
      <c r="DZ182" s="229">
        <v>0.76100000000000001</v>
      </c>
      <c r="EA182" s="230">
        <v>28248000</v>
      </c>
      <c r="EB182" s="229">
        <v>-4.0000000000000002E-4</v>
      </c>
      <c r="EC182" s="229">
        <v>0.76100000000000001</v>
      </c>
      <c r="ED182" s="228">
        <v>-0.05</v>
      </c>
      <c r="EE182" s="229">
        <v>-1E-4</v>
      </c>
      <c r="EF182" s="230">
        <v>5177353</v>
      </c>
      <c r="EG182" s="230">
        <v>3324532</v>
      </c>
      <c r="EH182" s="229">
        <v>0.55730000000000002</v>
      </c>
      <c r="EI182" s="229">
        <v>0.61129999999999995</v>
      </c>
      <c r="EJ182" s="231">
        <v>174802.23</v>
      </c>
      <c r="EK182" s="231">
        <v>100934.29</v>
      </c>
      <c r="EL182" s="231">
        <v>239764.1</v>
      </c>
      <c r="EM182" s="231">
        <v>22770</v>
      </c>
      <c r="EN182" s="231">
        <v>515500.62</v>
      </c>
      <c r="EO182" s="231">
        <v>615940.31999999995</v>
      </c>
      <c r="EP182" s="231">
        <v>-100439.7</v>
      </c>
      <c r="EQ182" s="229">
        <v>-0.16309999999999999</v>
      </c>
      <c r="ER182" s="231">
        <v>64276</v>
      </c>
      <c r="ES182" s="231">
        <v>61064</v>
      </c>
      <c r="ET182" s="231">
        <v>381755</v>
      </c>
      <c r="EU182" s="231">
        <v>210459276</v>
      </c>
      <c r="EV182" s="231">
        <v>507094</v>
      </c>
      <c r="EW182" s="231">
        <v>501087</v>
      </c>
      <c r="EX182" s="231">
        <v>6007</v>
      </c>
      <c r="EY182" s="229">
        <v>1.2E-2</v>
      </c>
      <c r="EZ182" s="229">
        <v>0.33850000000000002</v>
      </c>
      <c r="FA182" s="227" t="s">
        <v>555</v>
      </c>
      <c r="FB182" s="161">
        <f t="shared" si="4"/>
        <v>0</v>
      </c>
    </row>
    <row r="183" spans="1:158" ht="17.25" thickBot="1" x14ac:dyDescent="0.3">
      <c r="A183" s="226">
        <v>45957</v>
      </c>
      <c r="B183" s="227" t="s">
        <v>184</v>
      </c>
      <c r="C183" s="227" t="s">
        <v>285</v>
      </c>
      <c r="D183" s="228">
        <v>125</v>
      </c>
      <c r="E183" s="231">
        <v>3158.8</v>
      </c>
      <c r="F183" s="231">
        <v>3147.6</v>
      </c>
      <c r="G183" s="228">
        <v>11.2</v>
      </c>
      <c r="H183" s="229">
        <v>3.5999999999999999E-3</v>
      </c>
      <c r="I183" s="231">
        <v>3159.9</v>
      </c>
      <c r="J183" s="231">
        <v>3152.2</v>
      </c>
      <c r="K183" s="228">
        <v>7.7</v>
      </c>
      <c r="L183" s="229">
        <v>2.3999999999999998E-3</v>
      </c>
      <c r="M183" s="231">
        <v>3158.8</v>
      </c>
      <c r="N183" s="231">
        <v>3147.6</v>
      </c>
      <c r="O183" s="228">
        <v>11.2</v>
      </c>
      <c r="P183" s="229">
        <v>3.5999999999999999E-3</v>
      </c>
      <c r="Q183" s="231">
        <v>3160.2</v>
      </c>
      <c r="R183" s="231">
        <v>3150.1</v>
      </c>
      <c r="S183" s="228">
        <v>10.1</v>
      </c>
      <c r="T183" s="229">
        <v>3.2000000000000002E-3</v>
      </c>
      <c r="U183" s="231">
        <v>3180.7</v>
      </c>
      <c r="V183" s="231">
        <v>3164.9</v>
      </c>
      <c r="W183" s="228">
        <v>15.8</v>
      </c>
      <c r="X183" s="229">
        <v>5.0000000000000001E-3</v>
      </c>
      <c r="Y183" s="228">
        <v>-1.1000000000000001</v>
      </c>
      <c r="Z183" s="228">
        <v>-4.5999999999999996</v>
      </c>
      <c r="AA183" s="228">
        <v>3.5</v>
      </c>
      <c r="AB183" s="229">
        <v>-2.9999999999999997E-4</v>
      </c>
      <c r="AC183" s="228">
        <v>-1.1000000000000001</v>
      </c>
      <c r="AD183" s="228">
        <v>-4.5999999999999996</v>
      </c>
      <c r="AE183" s="228">
        <v>3.5</v>
      </c>
      <c r="AF183" s="229">
        <v>-2.9999999999999997E-4</v>
      </c>
      <c r="AG183" s="228">
        <v>0.3</v>
      </c>
      <c r="AH183" s="228">
        <v>-2.1</v>
      </c>
      <c r="AI183" s="228">
        <v>2.4</v>
      </c>
      <c r="AJ183" s="229">
        <v>1E-4</v>
      </c>
      <c r="AK183" s="228">
        <v>20.8</v>
      </c>
      <c r="AL183" s="228">
        <v>12.7</v>
      </c>
      <c r="AM183" s="228">
        <v>8.1</v>
      </c>
      <c r="AN183" s="229">
        <v>6.6E-3</v>
      </c>
      <c r="AO183" s="231">
        <v>3157.17</v>
      </c>
      <c r="AP183" s="231">
        <v>3161.72</v>
      </c>
      <c r="AQ183" s="228">
        <v>0</v>
      </c>
      <c r="AR183" s="230">
        <v>1733000</v>
      </c>
      <c r="AS183" s="230">
        <v>2557750</v>
      </c>
      <c r="AT183" s="230">
        <v>-824750</v>
      </c>
      <c r="AU183" s="229">
        <v>-0.32250000000000001</v>
      </c>
      <c r="AV183" s="230">
        <v>856875</v>
      </c>
      <c r="AW183" s="230">
        <v>1261250</v>
      </c>
      <c r="AX183" s="230">
        <v>-404375</v>
      </c>
      <c r="AY183" s="229">
        <v>-0.3206</v>
      </c>
      <c r="AZ183" s="230">
        <v>860125</v>
      </c>
      <c r="BA183" s="230">
        <v>1270125</v>
      </c>
      <c r="BB183" s="230">
        <v>-410000</v>
      </c>
      <c r="BC183" s="229">
        <v>-0.32279999999999998</v>
      </c>
      <c r="BD183" s="230">
        <v>16000</v>
      </c>
      <c r="BE183" s="230">
        <v>26375</v>
      </c>
      <c r="BF183" s="230">
        <v>-10375</v>
      </c>
      <c r="BG183" s="229">
        <v>-0.39340000000000003</v>
      </c>
      <c r="BH183" s="230">
        <v>1611375</v>
      </c>
      <c r="BI183" s="230">
        <v>1944000</v>
      </c>
      <c r="BJ183" s="230">
        <v>-332625</v>
      </c>
      <c r="BK183" s="229">
        <v>-0.1711</v>
      </c>
      <c r="BL183" s="230">
        <v>578750</v>
      </c>
      <c r="BM183" s="230">
        <v>757750</v>
      </c>
      <c r="BN183" s="230">
        <v>-179000</v>
      </c>
      <c r="BO183" s="229">
        <v>-0.23619999999999999</v>
      </c>
      <c r="BP183" s="230">
        <v>3923125</v>
      </c>
      <c r="BQ183" s="230">
        <v>5259500</v>
      </c>
      <c r="BR183" s="230">
        <v>-1336375</v>
      </c>
      <c r="BS183" s="229">
        <v>-0.25409999999999999</v>
      </c>
      <c r="BT183" s="230">
        <v>134060</v>
      </c>
      <c r="BU183" s="230">
        <v>212940</v>
      </c>
      <c r="BV183" s="230">
        <v>-78880</v>
      </c>
      <c r="BW183" s="229">
        <v>-0.37040000000000001</v>
      </c>
      <c r="BX183" s="230">
        <v>2300375</v>
      </c>
      <c r="BY183" s="230">
        <v>2244000</v>
      </c>
      <c r="BZ183" s="230">
        <v>56375</v>
      </c>
      <c r="CA183" s="229">
        <v>2.5100000000000001E-2</v>
      </c>
      <c r="CB183" s="230">
        <v>280750</v>
      </c>
      <c r="CC183" s="230">
        <v>653250</v>
      </c>
      <c r="CD183" s="230">
        <v>-372500</v>
      </c>
      <c r="CE183" s="229">
        <v>-0.57020000000000004</v>
      </c>
      <c r="CF183" s="230">
        <v>1976250</v>
      </c>
      <c r="CG183" s="230">
        <v>1553125</v>
      </c>
      <c r="CH183" s="230">
        <v>423125</v>
      </c>
      <c r="CI183" s="229">
        <v>0.27239999999999998</v>
      </c>
      <c r="CJ183" s="230">
        <v>43375</v>
      </c>
      <c r="CK183" s="230">
        <v>37625</v>
      </c>
      <c r="CL183" s="230">
        <v>5750</v>
      </c>
      <c r="CM183" s="229">
        <v>0.15279999999999999</v>
      </c>
      <c r="CN183" s="230">
        <v>1150750</v>
      </c>
      <c r="CO183" s="230">
        <v>1307375</v>
      </c>
      <c r="CP183" s="230">
        <v>-156625</v>
      </c>
      <c r="CQ183" s="229">
        <v>-0.1198</v>
      </c>
      <c r="CR183" s="230">
        <v>484625</v>
      </c>
      <c r="CS183" s="230">
        <v>540500</v>
      </c>
      <c r="CT183" s="230">
        <v>-55875</v>
      </c>
      <c r="CU183" s="229">
        <v>-0.10340000000000001</v>
      </c>
      <c r="CV183" s="230">
        <v>3935750</v>
      </c>
      <c r="CW183" s="230">
        <v>4091875</v>
      </c>
      <c r="CX183" s="230">
        <v>-156125</v>
      </c>
      <c r="CY183" s="229">
        <v>-3.8199999999999998E-2</v>
      </c>
      <c r="CZ183" s="228">
        <v>27.79</v>
      </c>
      <c r="DA183" s="228">
        <v>27.3</v>
      </c>
      <c r="DB183" s="228">
        <v>0.49</v>
      </c>
      <c r="DC183" s="228">
        <v>0.49</v>
      </c>
      <c r="DD183" s="228">
        <v>39.21</v>
      </c>
      <c r="DE183" s="228">
        <v>39.31</v>
      </c>
      <c r="DF183" s="228">
        <v>-11.42</v>
      </c>
      <c r="DG183" s="228">
        <v>-0.1</v>
      </c>
      <c r="DH183" s="228">
        <v>27.99</v>
      </c>
      <c r="DI183" s="228">
        <v>27.4</v>
      </c>
      <c r="DJ183" s="228">
        <v>0.59</v>
      </c>
      <c r="DK183" s="228">
        <v>0.59</v>
      </c>
      <c r="DL183" s="228">
        <v>27.23</v>
      </c>
      <c r="DM183" s="228">
        <v>27.05</v>
      </c>
      <c r="DN183" s="228">
        <v>0.18</v>
      </c>
      <c r="DO183" s="228">
        <v>0.18</v>
      </c>
      <c r="DP183" s="228">
        <v>0.42</v>
      </c>
      <c r="DQ183" s="228">
        <v>0.41</v>
      </c>
      <c r="DR183" s="228">
        <v>0.01</v>
      </c>
      <c r="DS183" s="229">
        <v>2.4400000000000002E-2</v>
      </c>
      <c r="DT183" s="231">
        <v>3300</v>
      </c>
      <c r="DU183" s="231">
        <v>3100</v>
      </c>
      <c r="DV183" s="228">
        <v>0.36</v>
      </c>
      <c r="DW183" s="228">
        <v>0.39</v>
      </c>
      <c r="DX183" s="228">
        <v>-0.03</v>
      </c>
      <c r="DY183" s="229">
        <v>-7.6899999999999996E-2</v>
      </c>
      <c r="DZ183" s="229">
        <v>0.878</v>
      </c>
      <c r="EA183" s="230">
        <v>1590750</v>
      </c>
      <c r="EB183" s="229">
        <v>4.0000000000000002E-4</v>
      </c>
      <c r="EC183" s="229">
        <v>0.878</v>
      </c>
      <c r="ED183" s="228">
        <v>4.55</v>
      </c>
      <c r="EE183" s="229">
        <v>1.4E-3</v>
      </c>
      <c r="EF183" s="230">
        <v>57627</v>
      </c>
      <c r="EG183" s="230">
        <v>120633</v>
      </c>
      <c r="EH183" s="229">
        <v>-0.52229999999999999</v>
      </c>
      <c r="EI183" s="229">
        <v>0.4299</v>
      </c>
      <c r="EJ183" s="231">
        <v>52910.5</v>
      </c>
      <c r="EK183" s="231">
        <v>18102.400000000001</v>
      </c>
      <c r="EL183" s="231">
        <v>54755.86</v>
      </c>
      <c r="EM183" s="231">
        <v>9948</v>
      </c>
      <c r="EN183" s="231">
        <v>125768.76</v>
      </c>
      <c r="EO183" s="231">
        <v>167580.20000000001</v>
      </c>
      <c r="EP183" s="231">
        <v>-41811.440000000002</v>
      </c>
      <c r="EQ183" s="229">
        <v>-0.2495</v>
      </c>
      <c r="ER183" s="231">
        <v>37947</v>
      </c>
      <c r="ES183" s="231">
        <v>14863</v>
      </c>
      <c r="ET183" s="231">
        <v>72701</v>
      </c>
      <c r="EU183" s="231">
        <v>13354588</v>
      </c>
      <c r="EV183" s="231">
        <v>125511</v>
      </c>
      <c r="EW183" s="231">
        <v>130365</v>
      </c>
      <c r="EX183" s="231">
        <v>-4854</v>
      </c>
      <c r="EY183" s="229">
        <v>-3.7199999999999997E-2</v>
      </c>
      <c r="EZ183" s="229">
        <v>0.29470000000000002</v>
      </c>
      <c r="FA183" s="227" t="s">
        <v>555</v>
      </c>
      <c r="FB183" s="161">
        <f t="shared" si="4"/>
        <v>0</v>
      </c>
    </row>
    <row r="184" spans="1:158" ht="17.25" thickBot="1" x14ac:dyDescent="0.3">
      <c r="A184" s="226">
        <v>45957</v>
      </c>
      <c r="B184" s="227" t="s">
        <v>498</v>
      </c>
      <c r="C184" s="227" t="s">
        <v>646</v>
      </c>
      <c r="D184" s="228">
        <v>75</v>
      </c>
      <c r="E184" s="231">
        <v>14030</v>
      </c>
      <c r="F184" s="231">
        <v>14012</v>
      </c>
      <c r="G184" s="228">
        <v>18</v>
      </c>
      <c r="H184" s="229">
        <v>1.2999999999999999E-3</v>
      </c>
      <c r="I184" s="231">
        <v>14019</v>
      </c>
      <c r="J184" s="231">
        <v>14017</v>
      </c>
      <c r="K184" s="228">
        <v>2</v>
      </c>
      <c r="L184" s="229">
        <v>1E-4</v>
      </c>
      <c r="M184" s="231">
        <v>14030</v>
      </c>
      <c r="N184" s="231">
        <v>14012</v>
      </c>
      <c r="O184" s="228">
        <v>18</v>
      </c>
      <c r="P184" s="229">
        <v>1.2999999999999999E-3</v>
      </c>
      <c r="Q184" s="231">
        <v>14113</v>
      </c>
      <c r="R184" s="231">
        <v>14092</v>
      </c>
      <c r="S184" s="228">
        <v>21</v>
      </c>
      <c r="T184" s="229">
        <v>1.5E-3</v>
      </c>
      <c r="U184" s="231">
        <v>14214</v>
      </c>
      <c r="V184" s="231">
        <v>14200</v>
      </c>
      <c r="W184" s="228">
        <v>14</v>
      </c>
      <c r="X184" s="229">
        <v>1E-3</v>
      </c>
      <c r="Y184" s="228">
        <v>11</v>
      </c>
      <c r="Z184" s="228">
        <v>-5</v>
      </c>
      <c r="AA184" s="228">
        <v>16</v>
      </c>
      <c r="AB184" s="229">
        <v>8.0000000000000004E-4</v>
      </c>
      <c r="AC184" s="228">
        <v>11</v>
      </c>
      <c r="AD184" s="228">
        <v>-5</v>
      </c>
      <c r="AE184" s="228">
        <v>16</v>
      </c>
      <c r="AF184" s="229">
        <v>8.0000000000000004E-4</v>
      </c>
      <c r="AG184" s="228">
        <v>94</v>
      </c>
      <c r="AH184" s="228">
        <v>75</v>
      </c>
      <c r="AI184" s="228">
        <v>19</v>
      </c>
      <c r="AJ184" s="229">
        <v>6.7000000000000002E-3</v>
      </c>
      <c r="AK184" s="228">
        <v>195</v>
      </c>
      <c r="AL184" s="228">
        <v>183</v>
      </c>
      <c r="AM184" s="228">
        <v>12</v>
      </c>
      <c r="AN184" s="229">
        <v>1.3899999999999999E-2</v>
      </c>
      <c r="AO184" s="231">
        <v>14046.62</v>
      </c>
      <c r="AP184" s="231">
        <v>14128.47</v>
      </c>
      <c r="AQ184" s="228">
        <v>0</v>
      </c>
      <c r="AR184" s="230">
        <v>666000</v>
      </c>
      <c r="AS184" s="230">
        <v>675750</v>
      </c>
      <c r="AT184" s="230">
        <v>-9750</v>
      </c>
      <c r="AU184" s="229">
        <v>-1.44E-2</v>
      </c>
      <c r="AV184" s="230">
        <v>326325</v>
      </c>
      <c r="AW184" s="230">
        <v>341775</v>
      </c>
      <c r="AX184" s="230">
        <v>-15450</v>
      </c>
      <c r="AY184" s="229">
        <v>-4.5199999999999997E-2</v>
      </c>
      <c r="AZ184" s="230">
        <v>337350</v>
      </c>
      <c r="BA184" s="230">
        <v>332400</v>
      </c>
      <c r="BB184" s="230">
        <v>4950</v>
      </c>
      <c r="BC184" s="229">
        <v>1.49E-2</v>
      </c>
      <c r="BD184" s="230">
        <v>2325</v>
      </c>
      <c r="BE184" s="230">
        <v>1575</v>
      </c>
      <c r="BF184" s="228">
        <v>750</v>
      </c>
      <c r="BG184" s="229">
        <v>0.47620000000000001</v>
      </c>
      <c r="BH184" s="230">
        <v>815175</v>
      </c>
      <c r="BI184" s="230">
        <v>569625</v>
      </c>
      <c r="BJ184" s="230">
        <v>245550</v>
      </c>
      <c r="BK184" s="229">
        <v>0.43109999999999998</v>
      </c>
      <c r="BL184" s="230">
        <v>344325</v>
      </c>
      <c r="BM184" s="230">
        <v>352425</v>
      </c>
      <c r="BN184" s="230">
        <v>-8100</v>
      </c>
      <c r="BO184" s="229">
        <v>-2.3E-2</v>
      </c>
      <c r="BP184" s="230">
        <v>1825500</v>
      </c>
      <c r="BQ184" s="230">
        <v>1597800</v>
      </c>
      <c r="BR184" s="230">
        <v>227700</v>
      </c>
      <c r="BS184" s="229">
        <v>0.14249999999999999</v>
      </c>
      <c r="BT184" s="230">
        <v>52831</v>
      </c>
      <c r="BU184" s="230">
        <v>47939</v>
      </c>
      <c r="BV184" s="230">
        <v>4892</v>
      </c>
      <c r="BW184" s="229">
        <v>0.10199999999999999</v>
      </c>
      <c r="BX184" s="230">
        <v>892875</v>
      </c>
      <c r="BY184" s="230">
        <v>912750</v>
      </c>
      <c r="BZ184" s="230">
        <v>-19875</v>
      </c>
      <c r="CA184" s="229">
        <v>-2.18E-2</v>
      </c>
      <c r="CB184" s="230">
        <v>150900</v>
      </c>
      <c r="CC184" s="230">
        <v>428925</v>
      </c>
      <c r="CD184" s="230">
        <v>-278025</v>
      </c>
      <c r="CE184" s="229">
        <v>-0.6482</v>
      </c>
      <c r="CF184" s="230">
        <v>732675</v>
      </c>
      <c r="CG184" s="230">
        <v>475875</v>
      </c>
      <c r="CH184" s="230">
        <v>256800</v>
      </c>
      <c r="CI184" s="229">
        <v>0.53959999999999997</v>
      </c>
      <c r="CJ184" s="230">
        <v>9300</v>
      </c>
      <c r="CK184" s="230">
        <v>7950</v>
      </c>
      <c r="CL184" s="230">
        <v>1350</v>
      </c>
      <c r="CM184" s="229">
        <v>0.16980000000000001</v>
      </c>
      <c r="CN184" s="230">
        <v>333900</v>
      </c>
      <c r="CO184" s="230">
        <v>330675</v>
      </c>
      <c r="CP184" s="230">
        <v>3225</v>
      </c>
      <c r="CQ184" s="229">
        <v>9.7999999999999997E-3</v>
      </c>
      <c r="CR184" s="230">
        <v>196350</v>
      </c>
      <c r="CS184" s="230">
        <v>198375</v>
      </c>
      <c r="CT184" s="230">
        <v>-2025</v>
      </c>
      <c r="CU184" s="229">
        <v>-1.0200000000000001E-2</v>
      </c>
      <c r="CV184" s="230">
        <v>1423125</v>
      </c>
      <c r="CW184" s="230">
        <v>1441800</v>
      </c>
      <c r="CX184" s="230">
        <v>-18675</v>
      </c>
      <c r="CY184" s="229">
        <v>-1.2999999999999999E-2</v>
      </c>
      <c r="CZ184" s="228">
        <v>30.96</v>
      </c>
      <c r="DA184" s="228">
        <v>30.27</v>
      </c>
      <c r="DB184" s="228">
        <v>0.69</v>
      </c>
      <c r="DC184" s="228">
        <v>0.69</v>
      </c>
      <c r="DD184" s="228">
        <v>40.39</v>
      </c>
      <c r="DE184" s="228">
        <v>40.49</v>
      </c>
      <c r="DF184" s="228">
        <v>-9.43</v>
      </c>
      <c r="DG184" s="228">
        <v>-0.1</v>
      </c>
      <c r="DH184" s="228">
        <v>31.41</v>
      </c>
      <c r="DI184" s="228">
        <v>30.55</v>
      </c>
      <c r="DJ184" s="228">
        <v>0.86</v>
      </c>
      <c r="DK184" s="228">
        <v>0.86</v>
      </c>
      <c r="DL184" s="228">
        <v>29.99</v>
      </c>
      <c r="DM184" s="228">
        <v>29.95</v>
      </c>
      <c r="DN184" s="228">
        <v>0.04</v>
      </c>
      <c r="DO184" s="228">
        <v>0.04</v>
      </c>
      <c r="DP184" s="228">
        <v>0.59</v>
      </c>
      <c r="DQ184" s="228">
        <v>0.6</v>
      </c>
      <c r="DR184" s="228">
        <v>-0.01</v>
      </c>
      <c r="DS184" s="229">
        <v>-1.67E-2</v>
      </c>
      <c r="DT184" s="231">
        <v>15000</v>
      </c>
      <c r="DU184" s="231">
        <v>14000</v>
      </c>
      <c r="DV184" s="228">
        <v>0.42</v>
      </c>
      <c r="DW184" s="228">
        <v>0.62</v>
      </c>
      <c r="DX184" s="228">
        <v>-0.2</v>
      </c>
      <c r="DY184" s="229">
        <v>-0.3226</v>
      </c>
      <c r="DZ184" s="229">
        <v>0.83099999999999996</v>
      </c>
      <c r="EA184" s="230">
        <v>483825</v>
      </c>
      <c r="EB184" s="229">
        <v>5.8999999999999999E-3</v>
      </c>
      <c r="EC184" s="229">
        <v>0.83099999999999996</v>
      </c>
      <c r="ED184" s="228">
        <v>81.849999999999994</v>
      </c>
      <c r="EE184" s="229">
        <v>5.7999999999999996E-3</v>
      </c>
      <c r="EF184" s="230">
        <v>29327</v>
      </c>
      <c r="EG184" s="230">
        <v>27323</v>
      </c>
      <c r="EH184" s="229">
        <v>7.3300000000000004E-2</v>
      </c>
      <c r="EI184" s="229">
        <v>0.55510000000000004</v>
      </c>
      <c r="EJ184" s="231">
        <v>121846.12</v>
      </c>
      <c r="EK184" s="231">
        <v>46169.83</v>
      </c>
      <c r="EL184" s="231">
        <v>93830.95</v>
      </c>
      <c r="EM184" s="231">
        <v>3726</v>
      </c>
      <c r="EN184" s="231">
        <v>261846.9</v>
      </c>
      <c r="EO184" s="231">
        <v>226808.39</v>
      </c>
      <c r="EP184" s="231">
        <v>35038.51</v>
      </c>
      <c r="EQ184" s="229">
        <v>0.1545</v>
      </c>
      <c r="ER184" s="231">
        <v>49562</v>
      </c>
      <c r="ES184" s="231">
        <v>26862</v>
      </c>
      <c r="ET184" s="231">
        <v>125896</v>
      </c>
      <c r="EU184" s="231">
        <v>3644817</v>
      </c>
      <c r="EV184" s="231">
        <v>202319</v>
      </c>
      <c r="EW184" s="231">
        <v>204377</v>
      </c>
      <c r="EX184" s="231">
        <v>-2058</v>
      </c>
      <c r="EY184" s="229">
        <v>-1.01E-2</v>
      </c>
      <c r="EZ184" s="229">
        <v>0.39050000000000001</v>
      </c>
      <c r="FA184" s="227" t="s">
        <v>556</v>
      </c>
      <c r="FB184" s="161">
        <f t="shared" si="4"/>
        <v>0</v>
      </c>
    </row>
    <row r="185" spans="1:158" ht="17.25" thickBot="1" x14ac:dyDescent="0.3">
      <c r="A185" s="226">
        <v>45957</v>
      </c>
      <c r="B185" s="227" t="s">
        <v>162</v>
      </c>
      <c r="C185" s="227" t="s">
        <v>614</v>
      </c>
      <c r="D185" s="228">
        <v>1050</v>
      </c>
      <c r="E185" s="228">
        <v>484.75</v>
      </c>
      <c r="F185" s="228">
        <v>478.1</v>
      </c>
      <c r="G185" s="228">
        <v>6.65</v>
      </c>
      <c r="H185" s="229">
        <v>1.3899999999999999E-2</v>
      </c>
      <c r="I185" s="228">
        <v>483.85</v>
      </c>
      <c r="J185" s="228">
        <v>478.7</v>
      </c>
      <c r="K185" s="228">
        <v>5.15</v>
      </c>
      <c r="L185" s="229">
        <v>1.0800000000000001E-2</v>
      </c>
      <c r="M185" s="228">
        <v>484.75</v>
      </c>
      <c r="N185" s="228">
        <v>478.1</v>
      </c>
      <c r="O185" s="228">
        <v>6.65</v>
      </c>
      <c r="P185" s="229">
        <v>1.3899999999999999E-2</v>
      </c>
      <c r="Q185" s="228">
        <v>487.4</v>
      </c>
      <c r="R185" s="228">
        <v>480.8</v>
      </c>
      <c r="S185" s="228">
        <v>6.6</v>
      </c>
      <c r="T185" s="229">
        <v>1.37E-2</v>
      </c>
      <c r="U185" s="228">
        <v>489.75</v>
      </c>
      <c r="V185" s="228">
        <v>483.35</v>
      </c>
      <c r="W185" s="228">
        <v>6.4</v>
      </c>
      <c r="X185" s="229">
        <v>1.32E-2</v>
      </c>
      <c r="Y185" s="228">
        <v>0.9</v>
      </c>
      <c r="Z185" s="228">
        <v>-0.6</v>
      </c>
      <c r="AA185" s="228">
        <v>1.5</v>
      </c>
      <c r="AB185" s="229">
        <v>1.9E-3</v>
      </c>
      <c r="AC185" s="228">
        <v>0.9</v>
      </c>
      <c r="AD185" s="228">
        <v>-0.6</v>
      </c>
      <c r="AE185" s="228">
        <v>1.5</v>
      </c>
      <c r="AF185" s="229">
        <v>1.9E-3</v>
      </c>
      <c r="AG185" s="228">
        <v>3.55</v>
      </c>
      <c r="AH185" s="228">
        <v>2.1</v>
      </c>
      <c r="AI185" s="228">
        <v>1.45</v>
      </c>
      <c r="AJ185" s="229">
        <v>7.3000000000000001E-3</v>
      </c>
      <c r="AK185" s="228">
        <v>5.9</v>
      </c>
      <c r="AL185" s="228">
        <v>4.6500000000000004</v>
      </c>
      <c r="AM185" s="228">
        <v>1.25</v>
      </c>
      <c r="AN185" s="229">
        <v>1.2200000000000001E-2</v>
      </c>
      <c r="AO185" s="228">
        <v>483.38</v>
      </c>
      <c r="AP185" s="228">
        <v>486.38</v>
      </c>
      <c r="AQ185" s="228">
        <v>0</v>
      </c>
      <c r="AR185" s="230">
        <v>20598900</v>
      </c>
      <c r="AS185" s="230">
        <v>13372800</v>
      </c>
      <c r="AT185" s="230">
        <v>7226100</v>
      </c>
      <c r="AU185" s="229">
        <v>0.54039999999999999</v>
      </c>
      <c r="AV185" s="230">
        <v>8934450</v>
      </c>
      <c r="AW185" s="230">
        <v>6848100</v>
      </c>
      <c r="AX185" s="230">
        <v>2086350</v>
      </c>
      <c r="AY185" s="229">
        <v>0.30470000000000003</v>
      </c>
      <c r="AZ185" s="230">
        <v>11532150</v>
      </c>
      <c r="BA185" s="230">
        <v>6470100</v>
      </c>
      <c r="BB185" s="230">
        <v>5062050</v>
      </c>
      <c r="BC185" s="229">
        <v>0.78239999999999998</v>
      </c>
      <c r="BD185" s="230">
        <v>132300</v>
      </c>
      <c r="BE185" s="230">
        <v>54600</v>
      </c>
      <c r="BF185" s="230">
        <v>77700</v>
      </c>
      <c r="BG185" s="229">
        <v>1.4231</v>
      </c>
      <c r="BH185" s="230">
        <v>21530250</v>
      </c>
      <c r="BI185" s="230">
        <v>13654200</v>
      </c>
      <c r="BJ185" s="230">
        <v>7876050</v>
      </c>
      <c r="BK185" s="229">
        <v>0.57679999999999998</v>
      </c>
      <c r="BL185" s="230">
        <v>12283950</v>
      </c>
      <c r="BM185" s="230">
        <v>8076600</v>
      </c>
      <c r="BN185" s="230">
        <v>4207350</v>
      </c>
      <c r="BO185" s="229">
        <v>0.52090000000000003</v>
      </c>
      <c r="BP185" s="230">
        <v>54413100</v>
      </c>
      <c r="BQ185" s="230">
        <v>35103600</v>
      </c>
      <c r="BR185" s="230">
        <v>19309500</v>
      </c>
      <c r="BS185" s="229">
        <v>0.55010000000000003</v>
      </c>
      <c r="BT185" s="230">
        <v>2587681</v>
      </c>
      <c r="BU185" s="230">
        <v>2978572</v>
      </c>
      <c r="BV185" s="230">
        <v>-390891</v>
      </c>
      <c r="BW185" s="229">
        <v>-0.13120000000000001</v>
      </c>
      <c r="BX185" s="230">
        <v>18532500</v>
      </c>
      <c r="BY185" s="230">
        <v>17781750</v>
      </c>
      <c r="BZ185" s="230">
        <v>750750</v>
      </c>
      <c r="CA185" s="229">
        <v>4.2200000000000001E-2</v>
      </c>
      <c r="CB185" s="230">
        <v>2796150</v>
      </c>
      <c r="CC185" s="230">
        <v>9059400</v>
      </c>
      <c r="CD185" s="230">
        <v>-6263250</v>
      </c>
      <c r="CE185" s="229">
        <v>-0.69140000000000001</v>
      </c>
      <c r="CF185" s="230">
        <v>15584100</v>
      </c>
      <c r="CG185" s="230">
        <v>8593200</v>
      </c>
      <c r="CH185" s="230">
        <v>6990900</v>
      </c>
      <c r="CI185" s="229">
        <v>0.8135</v>
      </c>
      <c r="CJ185" s="230">
        <v>152250</v>
      </c>
      <c r="CK185" s="230">
        <v>129150</v>
      </c>
      <c r="CL185" s="230">
        <v>23100</v>
      </c>
      <c r="CM185" s="229">
        <v>0.1789</v>
      </c>
      <c r="CN185" s="230">
        <v>8254050</v>
      </c>
      <c r="CO185" s="230">
        <v>6382950</v>
      </c>
      <c r="CP185" s="230">
        <v>1871100</v>
      </c>
      <c r="CQ185" s="229">
        <v>0.29310000000000003</v>
      </c>
      <c r="CR185" s="230">
        <v>5936700</v>
      </c>
      <c r="CS185" s="230">
        <v>4948650</v>
      </c>
      <c r="CT185" s="230">
        <v>988050</v>
      </c>
      <c r="CU185" s="229">
        <v>0.19969999999999999</v>
      </c>
      <c r="CV185" s="230">
        <v>32723250</v>
      </c>
      <c r="CW185" s="230">
        <v>29113350</v>
      </c>
      <c r="CX185" s="230">
        <v>3609900</v>
      </c>
      <c r="CY185" s="229">
        <v>0.124</v>
      </c>
      <c r="CZ185" s="228">
        <v>38.96</v>
      </c>
      <c r="DA185" s="228">
        <v>37.619999999999997</v>
      </c>
      <c r="DB185" s="228">
        <v>1.34</v>
      </c>
      <c r="DC185" s="228">
        <v>1.34</v>
      </c>
      <c r="DD185" s="228">
        <v>41.03</v>
      </c>
      <c r="DE185" s="228">
        <v>41.11</v>
      </c>
      <c r="DF185" s="228">
        <v>-2.0699999999999998</v>
      </c>
      <c r="DG185" s="228">
        <v>-0.08</v>
      </c>
      <c r="DH185" s="228">
        <v>38.32</v>
      </c>
      <c r="DI185" s="228">
        <v>37</v>
      </c>
      <c r="DJ185" s="228">
        <v>1.32</v>
      </c>
      <c r="DK185" s="228">
        <v>1.32</v>
      </c>
      <c r="DL185" s="228">
        <v>40.08</v>
      </c>
      <c r="DM185" s="228">
        <v>38.44</v>
      </c>
      <c r="DN185" s="228">
        <v>1.64</v>
      </c>
      <c r="DO185" s="228">
        <v>1.64</v>
      </c>
      <c r="DP185" s="228">
        <v>0.72</v>
      </c>
      <c r="DQ185" s="228">
        <v>0.78</v>
      </c>
      <c r="DR185" s="228">
        <v>-0.06</v>
      </c>
      <c r="DS185" s="229">
        <v>-7.6899999999999996E-2</v>
      </c>
      <c r="DT185" s="228">
        <v>480</v>
      </c>
      <c r="DU185" s="228">
        <v>475</v>
      </c>
      <c r="DV185" s="228">
        <v>0.56999999999999995</v>
      </c>
      <c r="DW185" s="228">
        <v>0.59</v>
      </c>
      <c r="DX185" s="228">
        <v>-0.02</v>
      </c>
      <c r="DY185" s="229">
        <v>-3.39E-2</v>
      </c>
      <c r="DZ185" s="229">
        <v>0.84909999999999997</v>
      </c>
      <c r="EA185" s="230">
        <v>8722350</v>
      </c>
      <c r="EB185" s="229">
        <v>5.4999999999999997E-3</v>
      </c>
      <c r="EC185" s="229">
        <v>0.84909999999999997</v>
      </c>
      <c r="ED185" s="228">
        <v>3</v>
      </c>
      <c r="EE185" s="229">
        <v>6.1999999999999998E-3</v>
      </c>
      <c r="EF185" s="230">
        <v>1262191</v>
      </c>
      <c r="EG185" s="230">
        <v>1755978</v>
      </c>
      <c r="EH185" s="229">
        <v>-0.28120000000000001</v>
      </c>
      <c r="EI185" s="229">
        <v>0.48780000000000001</v>
      </c>
      <c r="EJ185" s="231">
        <v>108167.81</v>
      </c>
      <c r="EK185" s="231">
        <v>57850.2</v>
      </c>
      <c r="EL185" s="231">
        <v>99923.9</v>
      </c>
      <c r="EM185" s="231">
        <v>7433</v>
      </c>
      <c r="EN185" s="231">
        <v>265941.90999999997</v>
      </c>
      <c r="EO185" s="231">
        <v>169604.87</v>
      </c>
      <c r="EP185" s="231">
        <v>96337.04</v>
      </c>
      <c r="EQ185" s="229">
        <v>0.56799999999999995</v>
      </c>
      <c r="ER185" s="231">
        <v>39970</v>
      </c>
      <c r="ES185" s="231">
        <v>26572</v>
      </c>
      <c r="ET185" s="231">
        <v>90257</v>
      </c>
      <c r="EU185" s="231">
        <v>67126548</v>
      </c>
      <c r="EV185" s="231">
        <v>156799</v>
      </c>
      <c r="EW185" s="231">
        <v>137607</v>
      </c>
      <c r="EX185" s="231">
        <v>19192</v>
      </c>
      <c r="EY185" s="229">
        <v>0.13950000000000001</v>
      </c>
      <c r="EZ185" s="229">
        <v>0.48749999999999999</v>
      </c>
      <c r="FA185" s="227" t="s">
        <v>555</v>
      </c>
      <c r="FB185" s="161">
        <f t="shared" si="4"/>
        <v>0</v>
      </c>
    </row>
    <row r="186" spans="1:158" ht="17.25" thickBot="1" x14ac:dyDescent="0.3">
      <c r="A186" s="226">
        <v>45957</v>
      </c>
      <c r="B186" s="227" t="s">
        <v>197</v>
      </c>
      <c r="C186" s="227" t="s">
        <v>286</v>
      </c>
      <c r="D186" s="228">
        <v>200</v>
      </c>
      <c r="E186" s="231">
        <v>3014.6</v>
      </c>
      <c r="F186" s="231">
        <v>3082.6</v>
      </c>
      <c r="G186" s="228">
        <v>-68</v>
      </c>
      <c r="H186" s="229">
        <v>-2.2100000000000002E-2</v>
      </c>
      <c r="I186" s="231">
        <v>3019.4</v>
      </c>
      <c r="J186" s="231">
        <v>3082</v>
      </c>
      <c r="K186" s="228">
        <v>-62.6</v>
      </c>
      <c r="L186" s="229">
        <v>-2.0299999999999999E-2</v>
      </c>
      <c r="M186" s="231">
        <v>3014.6</v>
      </c>
      <c r="N186" s="231">
        <v>3082.6</v>
      </c>
      <c r="O186" s="228">
        <v>-68</v>
      </c>
      <c r="P186" s="229">
        <v>-2.2100000000000002E-2</v>
      </c>
      <c r="Q186" s="231">
        <v>3028.8</v>
      </c>
      <c r="R186" s="231">
        <v>3099</v>
      </c>
      <c r="S186" s="228">
        <v>-70.2</v>
      </c>
      <c r="T186" s="229">
        <v>-2.2700000000000001E-2</v>
      </c>
      <c r="U186" s="231">
        <v>3043.9</v>
      </c>
      <c r="V186" s="231">
        <v>3115.8</v>
      </c>
      <c r="W186" s="228">
        <v>-71.900000000000006</v>
      </c>
      <c r="X186" s="229">
        <v>-2.3099999999999999E-2</v>
      </c>
      <c r="Y186" s="228">
        <v>-4.8</v>
      </c>
      <c r="Z186" s="228">
        <v>0.6</v>
      </c>
      <c r="AA186" s="228">
        <v>-5.4</v>
      </c>
      <c r="AB186" s="229">
        <v>-1.6000000000000001E-3</v>
      </c>
      <c r="AC186" s="228">
        <v>-4.8</v>
      </c>
      <c r="AD186" s="228">
        <v>0.6</v>
      </c>
      <c r="AE186" s="228">
        <v>-5.4</v>
      </c>
      <c r="AF186" s="229">
        <v>-1.6000000000000001E-3</v>
      </c>
      <c r="AG186" s="228">
        <v>9.4</v>
      </c>
      <c r="AH186" s="228">
        <v>17</v>
      </c>
      <c r="AI186" s="228">
        <v>-7.6</v>
      </c>
      <c r="AJ186" s="229">
        <v>3.0999999999999999E-3</v>
      </c>
      <c r="AK186" s="228">
        <v>24.5</v>
      </c>
      <c r="AL186" s="228">
        <v>33.799999999999997</v>
      </c>
      <c r="AM186" s="228">
        <v>-9.3000000000000007</v>
      </c>
      <c r="AN186" s="229">
        <v>8.0999999999999996E-3</v>
      </c>
      <c r="AO186" s="231">
        <v>3031.75</v>
      </c>
      <c r="AP186" s="231">
        <v>3045.91</v>
      </c>
      <c r="AQ186" s="228">
        <v>0</v>
      </c>
      <c r="AR186" s="230">
        <v>5673600</v>
      </c>
      <c r="AS186" s="230">
        <v>2330800</v>
      </c>
      <c r="AT186" s="230">
        <v>3342800</v>
      </c>
      <c r="AU186" s="229">
        <v>1.4341999999999999</v>
      </c>
      <c r="AV186" s="230">
        <v>2107800</v>
      </c>
      <c r="AW186" s="230">
        <v>1118600</v>
      </c>
      <c r="AX186" s="230">
        <v>989200</v>
      </c>
      <c r="AY186" s="229">
        <v>0.88429999999999997</v>
      </c>
      <c r="AZ186" s="230">
        <v>3541600</v>
      </c>
      <c r="BA186" s="230">
        <v>1208800</v>
      </c>
      <c r="BB186" s="230">
        <v>2332800</v>
      </c>
      <c r="BC186" s="229">
        <v>1.9298</v>
      </c>
      <c r="BD186" s="230">
        <v>24200</v>
      </c>
      <c r="BE186" s="230">
        <v>3400</v>
      </c>
      <c r="BF186" s="230">
        <v>20800</v>
      </c>
      <c r="BG186" s="229">
        <v>6.1176000000000004</v>
      </c>
      <c r="BH186" s="230">
        <v>10091200</v>
      </c>
      <c r="BI186" s="230">
        <v>1983200</v>
      </c>
      <c r="BJ186" s="230">
        <v>8108000</v>
      </c>
      <c r="BK186" s="229">
        <v>4.0883000000000003</v>
      </c>
      <c r="BL186" s="230">
        <v>7803400</v>
      </c>
      <c r="BM186" s="230">
        <v>1430400</v>
      </c>
      <c r="BN186" s="230">
        <v>6373000</v>
      </c>
      <c r="BO186" s="229">
        <v>4.4554</v>
      </c>
      <c r="BP186" s="230">
        <v>23568200</v>
      </c>
      <c r="BQ186" s="230">
        <v>5744400</v>
      </c>
      <c r="BR186" s="230">
        <v>17823800</v>
      </c>
      <c r="BS186" s="229">
        <v>3.1027999999999998</v>
      </c>
      <c r="BT186" s="230">
        <v>1395243</v>
      </c>
      <c r="BU186" s="230">
        <v>590728</v>
      </c>
      <c r="BV186" s="230">
        <v>804515</v>
      </c>
      <c r="BW186" s="229">
        <v>1.3619000000000001</v>
      </c>
      <c r="BX186" s="230">
        <v>3305600</v>
      </c>
      <c r="BY186" s="230">
        <v>2722800</v>
      </c>
      <c r="BZ186" s="230">
        <v>582800</v>
      </c>
      <c r="CA186" s="229">
        <v>0.214</v>
      </c>
      <c r="CB186" s="230">
        <v>510800</v>
      </c>
      <c r="CC186" s="230">
        <v>1239000</v>
      </c>
      <c r="CD186" s="230">
        <v>-728200</v>
      </c>
      <c r="CE186" s="229">
        <v>-0.5877</v>
      </c>
      <c r="CF186" s="230">
        <v>2772000</v>
      </c>
      <c r="CG186" s="230">
        <v>1468200</v>
      </c>
      <c r="CH186" s="230">
        <v>1303800</v>
      </c>
      <c r="CI186" s="229">
        <v>0.88800000000000001</v>
      </c>
      <c r="CJ186" s="230">
        <v>22800</v>
      </c>
      <c r="CK186" s="230">
        <v>15600</v>
      </c>
      <c r="CL186" s="230">
        <v>7200</v>
      </c>
      <c r="CM186" s="229">
        <v>0.46150000000000002</v>
      </c>
      <c r="CN186" s="230">
        <v>2578400</v>
      </c>
      <c r="CO186" s="230">
        <v>1489000</v>
      </c>
      <c r="CP186" s="230">
        <v>1089400</v>
      </c>
      <c r="CQ186" s="229">
        <v>0.73160000000000003</v>
      </c>
      <c r="CR186" s="230">
        <v>1826200</v>
      </c>
      <c r="CS186" s="230">
        <v>1255800</v>
      </c>
      <c r="CT186" s="230">
        <v>570400</v>
      </c>
      <c r="CU186" s="229">
        <v>0.45419999999999999</v>
      </c>
      <c r="CV186" s="230">
        <v>7710200</v>
      </c>
      <c r="CW186" s="230">
        <v>5467600</v>
      </c>
      <c r="CX186" s="230">
        <v>2242600</v>
      </c>
      <c r="CY186" s="229">
        <v>0.41020000000000001</v>
      </c>
      <c r="CZ186" s="228">
        <v>28.52</v>
      </c>
      <c r="DA186" s="228">
        <v>29.16</v>
      </c>
      <c r="DB186" s="228">
        <v>-0.64</v>
      </c>
      <c r="DC186" s="228">
        <v>-0.64</v>
      </c>
      <c r="DD186" s="228">
        <v>31.99</v>
      </c>
      <c r="DE186" s="228">
        <v>31.95</v>
      </c>
      <c r="DF186" s="228">
        <v>-3.47</v>
      </c>
      <c r="DG186" s="228">
        <v>0.04</v>
      </c>
      <c r="DH186" s="228">
        <v>28.48</v>
      </c>
      <c r="DI186" s="228">
        <v>29.28</v>
      </c>
      <c r="DJ186" s="228">
        <v>-0.8</v>
      </c>
      <c r="DK186" s="228">
        <v>-0.8</v>
      </c>
      <c r="DL186" s="228">
        <v>28.58</v>
      </c>
      <c r="DM186" s="228">
        <v>28.85</v>
      </c>
      <c r="DN186" s="228">
        <v>-0.27</v>
      </c>
      <c r="DO186" s="228">
        <v>-0.27</v>
      </c>
      <c r="DP186" s="228">
        <v>0.71</v>
      </c>
      <c r="DQ186" s="228">
        <v>0.84</v>
      </c>
      <c r="DR186" s="228">
        <v>-0.13</v>
      </c>
      <c r="DS186" s="229">
        <v>-0.15479999999999999</v>
      </c>
      <c r="DT186" s="231">
        <v>3200</v>
      </c>
      <c r="DU186" s="231">
        <v>3000</v>
      </c>
      <c r="DV186" s="228">
        <v>0.77</v>
      </c>
      <c r="DW186" s="228">
        <v>0.72</v>
      </c>
      <c r="DX186" s="228">
        <v>0.05</v>
      </c>
      <c r="DY186" s="229">
        <v>6.9400000000000003E-2</v>
      </c>
      <c r="DZ186" s="229">
        <v>0.84550000000000003</v>
      </c>
      <c r="EA186" s="230">
        <v>1483800</v>
      </c>
      <c r="EB186" s="229">
        <v>4.7000000000000002E-3</v>
      </c>
      <c r="EC186" s="229">
        <v>0.84550000000000003</v>
      </c>
      <c r="ED186" s="228">
        <v>14.16</v>
      </c>
      <c r="EE186" s="229">
        <v>4.7000000000000002E-3</v>
      </c>
      <c r="EF186" s="230">
        <v>706313</v>
      </c>
      <c r="EG186" s="230">
        <v>228876</v>
      </c>
      <c r="EH186" s="229">
        <v>2.0859999999999999</v>
      </c>
      <c r="EI186" s="229">
        <v>0.50619999999999998</v>
      </c>
      <c r="EJ186" s="231">
        <v>320634.61</v>
      </c>
      <c r="EK186" s="231">
        <v>233382.72</v>
      </c>
      <c r="EL186" s="231">
        <v>172518.59</v>
      </c>
      <c r="EM186" s="231">
        <v>7110</v>
      </c>
      <c r="EN186" s="231">
        <v>726535.92</v>
      </c>
      <c r="EO186" s="231">
        <v>178164.63</v>
      </c>
      <c r="EP186" s="231">
        <v>548371.29</v>
      </c>
      <c r="EQ186" s="229">
        <v>3.0779000000000001</v>
      </c>
      <c r="ER186" s="231">
        <v>81781</v>
      </c>
      <c r="ES186" s="231">
        <v>53886</v>
      </c>
      <c r="ET186" s="231">
        <v>100051</v>
      </c>
      <c r="EU186" s="231">
        <v>21205300</v>
      </c>
      <c r="EV186" s="231">
        <v>235719</v>
      </c>
      <c r="EW186" s="231">
        <v>168894</v>
      </c>
      <c r="EX186" s="231">
        <v>66825</v>
      </c>
      <c r="EY186" s="229">
        <v>0.3957</v>
      </c>
      <c r="EZ186" s="229">
        <v>0.36359999999999998</v>
      </c>
      <c r="FA186" s="227" t="s">
        <v>567</v>
      </c>
      <c r="FB186" s="161">
        <f t="shared" si="4"/>
        <v>0</v>
      </c>
    </row>
    <row r="187" spans="1:158" ht="17.25" thickBot="1" x14ac:dyDescent="0.3">
      <c r="A187" s="226">
        <v>45957</v>
      </c>
      <c r="B187" s="227" t="s">
        <v>170</v>
      </c>
      <c r="C187" s="227" t="s">
        <v>288</v>
      </c>
      <c r="D187" s="228">
        <v>350</v>
      </c>
      <c r="E187" s="231">
        <v>1695.5</v>
      </c>
      <c r="F187" s="231">
        <v>1697.6</v>
      </c>
      <c r="G187" s="228">
        <v>-2.1</v>
      </c>
      <c r="H187" s="229">
        <v>-1.1999999999999999E-3</v>
      </c>
      <c r="I187" s="231">
        <v>1693.6</v>
      </c>
      <c r="J187" s="231">
        <v>1699</v>
      </c>
      <c r="K187" s="228">
        <v>-5.4</v>
      </c>
      <c r="L187" s="229">
        <v>-3.2000000000000002E-3</v>
      </c>
      <c r="M187" s="231">
        <v>1695.5</v>
      </c>
      <c r="N187" s="231">
        <v>1697.6</v>
      </c>
      <c r="O187" s="228">
        <v>-2.1</v>
      </c>
      <c r="P187" s="229">
        <v>-1.1999999999999999E-3</v>
      </c>
      <c r="Q187" s="231">
        <v>1704.8</v>
      </c>
      <c r="R187" s="231">
        <v>1706.9</v>
      </c>
      <c r="S187" s="228">
        <v>-2.1</v>
      </c>
      <c r="T187" s="229">
        <v>-1.1999999999999999E-3</v>
      </c>
      <c r="U187" s="231">
        <v>1715.8</v>
      </c>
      <c r="V187" s="231">
        <v>1716.8</v>
      </c>
      <c r="W187" s="228">
        <v>-1</v>
      </c>
      <c r="X187" s="229">
        <v>-5.9999999999999995E-4</v>
      </c>
      <c r="Y187" s="228">
        <v>1.9</v>
      </c>
      <c r="Z187" s="228">
        <v>-1.4</v>
      </c>
      <c r="AA187" s="228">
        <v>3.3</v>
      </c>
      <c r="AB187" s="229">
        <v>1.1000000000000001E-3</v>
      </c>
      <c r="AC187" s="228">
        <v>1.9</v>
      </c>
      <c r="AD187" s="228">
        <v>-1.4</v>
      </c>
      <c r="AE187" s="228">
        <v>3.3</v>
      </c>
      <c r="AF187" s="229">
        <v>1.1000000000000001E-3</v>
      </c>
      <c r="AG187" s="228">
        <v>11.2</v>
      </c>
      <c r="AH187" s="228">
        <v>7.9</v>
      </c>
      <c r="AI187" s="228">
        <v>3.3</v>
      </c>
      <c r="AJ187" s="229">
        <v>6.6E-3</v>
      </c>
      <c r="AK187" s="228">
        <v>22.2</v>
      </c>
      <c r="AL187" s="228">
        <v>17.8</v>
      </c>
      <c r="AM187" s="228">
        <v>4.4000000000000004</v>
      </c>
      <c r="AN187" s="229">
        <v>1.3100000000000001E-2</v>
      </c>
      <c r="AO187" s="231">
        <v>1694.89</v>
      </c>
      <c r="AP187" s="231">
        <v>1704.5</v>
      </c>
      <c r="AQ187" s="228">
        <v>0</v>
      </c>
      <c r="AR187" s="230">
        <v>10887100</v>
      </c>
      <c r="AS187" s="230">
        <v>10451350</v>
      </c>
      <c r="AT187" s="230">
        <v>435750</v>
      </c>
      <c r="AU187" s="229">
        <v>4.1700000000000001E-2</v>
      </c>
      <c r="AV187" s="230">
        <v>5249650</v>
      </c>
      <c r="AW187" s="230">
        <v>5236700</v>
      </c>
      <c r="AX187" s="230">
        <v>12950</v>
      </c>
      <c r="AY187" s="229">
        <v>2.5000000000000001E-3</v>
      </c>
      <c r="AZ187" s="230">
        <v>5619600</v>
      </c>
      <c r="BA187" s="230">
        <v>5209050</v>
      </c>
      <c r="BB187" s="230">
        <v>410550</v>
      </c>
      <c r="BC187" s="229">
        <v>7.8799999999999995E-2</v>
      </c>
      <c r="BD187" s="230">
        <v>17850</v>
      </c>
      <c r="BE187" s="230">
        <v>5600</v>
      </c>
      <c r="BF187" s="230">
        <v>12250</v>
      </c>
      <c r="BG187" s="229">
        <v>2.1875</v>
      </c>
      <c r="BH187" s="230">
        <v>7101150</v>
      </c>
      <c r="BI187" s="230">
        <v>6145300</v>
      </c>
      <c r="BJ187" s="230">
        <v>955850</v>
      </c>
      <c r="BK187" s="229">
        <v>0.1555</v>
      </c>
      <c r="BL187" s="230">
        <v>4294500</v>
      </c>
      <c r="BM187" s="230">
        <v>4559100</v>
      </c>
      <c r="BN187" s="230">
        <v>-264600</v>
      </c>
      <c r="BO187" s="229">
        <v>-5.8000000000000003E-2</v>
      </c>
      <c r="BP187" s="230">
        <v>22282750</v>
      </c>
      <c r="BQ187" s="230">
        <v>21155750</v>
      </c>
      <c r="BR187" s="230">
        <v>1127000</v>
      </c>
      <c r="BS187" s="229">
        <v>5.33E-2</v>
      </c>
      <c r="BT187" s="230">
        <v>2253999</v>
      </c>
      <c r="BU187" s="230">
        <v>1010702</v>
      </c>
      <c r="BV187" s="230">
        <v>1243297</v>
      </c>
      <c r="BW187" s="229">
        <v>1.2301</v>
      </c>
      <c r="BX187" s="230">
        <v>17649450</v>
      </c>
      <c r="BY187" s="230">
        <v>17354750</v>
      </c>
      <c r="BZ187" s="230">
        <v>294700</v>
      </c>
      <c r="CA187" s="229">
        <v>1.7000000000000001E-2</v>
      </c>
      <c r="CB187" s="230">
        <v>2451050</v>
      </c>
      <c r="CC187" s="230">
        <v>6907600</v>
      </c>
      <c r="CD187" s="230">
        <v>-4456550</v>
      </c>
      <c r="CE187" s="229">
        <v>-0.6452</v>
      </c>
      <c r="CF187" s="230">
        <v>15140300</v>
      </c>
      <c r="CG187" s="230">
        <v>10394650</v>
      </c>
      <c r="CH187" s="230">
        <v>4745650</v>
      </c>
      <c r="CI187" s="229">
        <v>0.45650000000000002</v>
      </c>
      <c r="CJ187" s="230">
        <v>58100</v>
      </c>
      <c r="CK187" s="230">
        <v>52500</v>
      </c>
      <c r="CL187" s="230">
        <v>5600</v>
      </c>
      <c r="CM187" s="229">
        <v>0.1067</v>
      </c>
      <c r="CN187" s="230">
        <v>4525850</v>
      </c>
      <c r="CO187" s="230">
        <v>5233200</v>
      </c>
      <c r="CP187" s="230">
        <v>-707350</v>
      </c>
      <c r="CQ187" s="229">
        <v>-0.13519999999999999</v>
      </c>
      <c r="CR187" s="230">
        <v>3729250</v>
      </c>
      <c r="CS187" s="230">
        <v>4405800</v>
      </c>
      <c r="CT187" s="230">
        <v>-676550</v>
      </c>
      <c r="CU187" s="229">
        <v>-0.15359999999999999</v>
      </c>
      <c r="CV187" s="230">
        <v>25904550</v>
      </c>
      <c r="CW187" s="230">
        <v>26993750</v>
      </c>
      <c r="CX187" s="230">
        <v>-1089200</v>
      </c>
      <c r="CY187" s="229">
        <v>-4.0399999999999998E-2</v>
      </c>
      <c r="CZ187" s="228">
        <v>21.87</v>
      </c>
      <c r="DA187" s="228">
        <v>21.98</v>
      </c>
      <c r="DB187" s="228">
        <v>-0.11</v>
      </c>
      <c r="DC187" s="228">
        <v>-0.11</v>
      </c>
      <c r="DD187" s="228">
        <v>23.65</v>
      </c>
      <c r="DE187" s="228">
        <v>23.71</v>
      </c>
      <c r="DF187" s="228">
        <v>-1.78</v>
      </c>
      <c r="DG187" s="228">
        <v>-0.06</v>
      </c>
      <c r="DH187" s="228">
        <v>22.03</v>
      </c>
      <c r="DI187" s="228">
        <v>21.96</v>
      </c>
      <c r="DJ187" s="228">
        <v>7.0000000000000007E-2</v>
      </c>
      <c r="DK187" s="228">
        <v>7.0000000000000007E-2</v>
      </c>
      <c r="DL187" s="228">
        <v>21.58</v>
      </c>
      <c r="DM187" s="228">
        <v>22.03</v>
      </c>
      <c r="DN187" s="228">
        <v>-0.45</v>
      </c>
      <c r="DO187" s="228">
        <v>-0.45</v>
      </c>
      <c r="DP187" s="228">
        <v>0.82</v>
      </c>
      <c r="DQ187" s="228">
        <v>0.84</v>
      </c>
      <c r="DR187" s="228">
        <v>-0.02</v>
      </c>
      <c r="DS187" s="229">
        <v>-2.3800000000000002E-2</v>
      </c>
      <c r="DT187" s="231">
        <v>1700</v>
      </c>
      <c r="DU187" s="231">
        <v>1500</v>
      </c>
      <c r="DV187" s="228">
        <v>0.6</v>
      </c>
      <c r="DW187" s="228">
        <v>0.74</v>
      </c>
      <c r="DX187" s="228">
        <v>-0.14000000000000001</v>
      </c>
      <c r="DY187" s="229">
        <v>-0.18920000000000001</v>
      </c>
      <c r="DZ187" s="229">
        <v>0.86109999999999998</v>
      </c>
      <c r="EA187" s="230">
        <v>10447150</v>
      </c>
      <c r="EB187" s="229">
        <v>5.4999999999999997E-3</v>
      </c>
      <c r="EC187" s="229">
        <v>0.86109999999999998</v>
      </c>
      <c r="ED187" s="228">
        <v>9.61</v>
      </c>
      <c r="EE187" s="229">
        <v>5.7000000000000002E-3</v>
      </c>
      <c r="EF187" s="230">
        <v>1551127</v>
      </c>
      <c r="EG187" s="230">
        <v>614098</v>
      </c>
      <c r="EH187" s="229">
        <v>1.5259</v>
      </c>
      <c r="EI187" s="229">
        <v>0.68820000000000003</v>
      </c>
      <c r="EJ187" s="231">
        <v>122609.08</v>
      </c>
      <c r="EK187" s="231">
        <v>71568.3</v>
      </c>
      <c r="EL187" s="231">
        <v>185068.28</v>
      </c>
      <c r="EM187" s="231">
        <v>16458</v>
      </c>
      <c r="EN187" s="231">
        <v>379245.66</v>
      </c>
      <c r="EO187" s="231">
        <v>358923.11</v>
      </c>
      <c r="EP187" s="231">
        <v>20322.55</v>
      </c>
      <c r="EQ187" s="229">
        <v>5.6599999999999998E-2</v>
      </c>
      <c r="ER187" s="231">
        <v>77857</v>
      </c>
      <c r="ES187" s="231">
        <v>59562</v>
      </c>
      <c r="ET187" s="231">
        <v>300666</v>
      </c>
      <c r="EU187" s="231">
        <v>109220043</v>
      </c>
      <c r="EV187" s="231">
        <v>438085</v>
      </c>
      <c r="EW187" s="231">
        <v>455764</v>
      </c>
      <c r="EX187" s="231">
        <v>-17679</v>
      </c>
      <c r="EY187" s="229">
        <v>-3.8800000000000001E-2</v>
      </c>
      <c r="EZ187" s="229">
        <v>0.23719999999999999</v>
      </c>
      <c r="FA187" s="227" t="s">
        <v>567</v>
      </c>
      <c r="FB187" s="161">
        <f t="shared" si="4"/>
        <v>0</v>
      </c>
    </row>
    <row r="188" spans="1:158" ht="17.25" thickBot="1" x14ac:dyDescent="0.3">
      <c r="A188" s="226">
        <v>45957</v>
      </c>
      <c r="B188" s="227" t="s">
        <v>184</v>
      </c>
      <c r="C188" s="227" t="s">
        <v>574</v>
      </c>
      <c r="D188" s="228">
        <v>175</v>
      </c>
      <c r="E188" s="231">
        <v>4004</v>
      </c>
      <c r="F188" s="231">
        <v>4015.3</v>
      </c>
      <c r="G188" s="228">
        <v>-11.3</v>
      </c>
      <c r="H188" s="229">
        <v>-2.8E-3</v>
      </c>
      <c r="I188" s="231">
        <v>4000.9</v>
      </c>
      <c r="J188" s="231">
        <v>4003.7</v>
      </c>
      <c r="K188" s="228">
        <v>-2.8</v>
      </c>
      <c r="L188" s="229">
        <v>-6.9999999999999999E-4</v>
      </c>
      <c r="M188" s="231">
        <v>4004</v>
      </c>
      <c r="N188" s="231">
        <v>4015.3</v>
      </c>
      <c r="O188" s="228">
        <v>-11.3</v>
      </c>
      <c r="P188" s="229">
        <v>-2.8E-3</v>
      </c>
      <c r="Q188" s="231">
        <v>4018.4</v>
      </c>
      <c r="R188" s="231">
        <v>4027.2</v>
      </c>
      <c r="S188" s="228">
        <v>-8.8000000000000007</v>
      </c>
      <c r="T188" s="229">
        <v>-2.2000000000000001E-3</v>
      </c>
      <c r="U188" s="231">
        <v>4043.2</v>
      </c>
      <c r="V188" s="231">
        <v>4057.9</v>
      </c>
      <c r="W188" s="228">
        <v>-14.7</v>
      </c>
      <c r="X188" s="229">
        <v>-3.5999999999999999E-3</v>
      </c>
      <c r="Y188" s="228">
        <v>3.1</v>
      </c>
      <c r="Z188" s="228">
        <v>11.6</v>
      </c>
      <c r="AA188" s="228">
        <v>-8.5</v>
      </c>
      <c r="AB188" s="229">
        <v>8.0000000000000004E-4</v>
      </c>
      <c r="AC188" s="228">
        <v>3.1</v>
      </c>
      <c r="AD188" s="228">
        <v>11.6</v>
      </c>
      <c r="AE188" s="228">
        <v>-8.5</v>
      </c>
      <c r="AF188" s="229">
        <v>8.0000000000000004E-4</v>
      </c>
      <c r="AG188" s="228">
        <v>17.5</v>
      </c>
      <c r="AH188" s="228">
        <v>23.5</v>
      </c>
      <c r="AI188" s="228">
        <v>-6</v>
      </c>
      <c r="AJ188" s="229">
        <v>4.4000000000000003E-3</v>
      </c>
      <c r="AK188" s="228">
        <v>42.3</v>
      </c>
      <c r="AL188" s="228">
        <v>54.2</v>
      </c>
      <c r="AM188" s="228">
        <v>-11.9</v>
      </c>
      <c r="AN188" s="229">
        <v>1.06E-2</v>
      </c>
      <c r="AO188" s="231">
        <v>3989.17</v>
      </c>
      <c r="AP188" s="231">
        <v>3998.91</v>
      </c>
      <c r="AQ188" s="228">
        <v>0</v>
      </c>
      <c r="AR188" s="230">
        <v>2376850</v>
      </c>
      <c r="AS188" s="230">
        <v>1770125</v>
      </c>
      <c r="AT188" s="230">
        <v>606725</v>
      </c>
      <c r="AU188" s="229">
        <v>0.34279999999999999</v>
      </c>
      <c r="AV188" s="230">
        <v>859250</v>
      </c>
      <c r="AW188" s="230">
        <v>861000</v>
      </c>
      <c r="AX188" s="230">
        <v>-1750</v>
      </c>
      <c r="AY188" s="229">
        <v>-2E-3</v>
      </c>
      <c r="AZ188" s="230">
        <v>1504825</v>
      </c>
      <c r="BA188" s="230">
        <v>902125</v>
      </c>
      <c r="BB188" s="230">
        <v>602700</v>
      </c>
      <c r="BC188" s="229">
        <v>0.66810000000000003</v>
      </c>
      <c r="BD188" s="230">
        <v>12775</v>
      </c>
      <c r="BE188" s="230">
        <v>7000</v>
      </c>
      <c r="BF188" s="230">
        <v>5775</v>
      </c>
      <c r="BG188" s="229">
        <v>0.82499999999999996</v>
      </c>
      <c r="BH188" s="230">
        <v>6135675</v>
      </c>
      <c r="BI188" s="230">
        <v>1408225</v>
      </c>
      <c r="BJ188" s="230">
        <v>4727450</v>
      </c>
      <c r="BK188" s="229">
        <v>3.3570000000000002</v>
      </c>
      <c r="BL188" s="230">
        <v>3649625</v>
      </c>
      <c r="BM188" s="230">
        <v>1048950</v>
      </c>
      <c r="BN188" s="230">
        <v>2600675</v>
      </c>
      <c r="BO188" s="229">
        <v>2.4792999999999998</v>
      </c>
      <c r="BP188" s="230">
        <v>12162150</v>
      </c>
      <c r="BQ188" s="230">
        <v>4227300</v>
      </c>
      <c r="BR188" s="230">
        <v>7934850</v>
      </c>
      <c r="BS188" s="229">
        <v>1.877</v>
      </c>
      <c r="BT188" s="230">
        <v>998674</v>
      </c>
      <c r="BU188" s="230">
        <v>802384</v>
      </c>
      <c r="BV188" s="230">
        <v>196290</v>
      </c>
      <c r="BW188" s="229">
        <v>0.24460000000000001</v>
      </c>
      <c r="BX188" s="230">
        <v>1604575</v>
      </c>
      <c r="BY188" s="230">
        <v>1475250</v>
      </c>
      <c r="BZ188" s="230">
        <v>129325</v>
      </c>
      <c r="CA188" s="229">
        <v>8.77E-2</v>
      </c>
      <c r="CB188" s="230">
        <v>190925</v>
      </c>
      <c r="CC188" s="230">
        <v>519400</v>
      </c>
      <c r="CD188" s="230">
        <v>-328475</v>
      </c>
      <c r="CE188" s="229">
        <v>-0.63239999999999996</v>
      </c>
      <c r="CF188" s="230">
        <v>1401225</v>
      </c>
      <c r="CG188" s="230">
        <v>949200</v>
      </c>
      <c r="CH188" s="230">
        <v>452025</v>
      </c>
      <c r="CI188" s="229">
        <v>0.47620000000000001</v>
      </c>
      <c r="CJ188" s="230">
        <v>12425</v>
      </c>
      <c r="CK188" s="230">
        <v>6650</v>
      </c>
      <c r="CL188" s="230">
        <v>5775</v>
      </c>
      <c r="CM188" s="229">
        <v>0.86839999999999995</v>
      </c>
      <c r="CN188" s="230">
        <v>820925</v>
      </c>
      <c r="CO188" s="230">
        <v>678300</v>
      </c>
      <c r="CP188" s="230">
        <v>142625</v>
      </c>
      <c r="CQ188" s="229">
        <v>0.21029999999999999</v>
      </c>
      <c r="CR188" s="230">
        <v>539525</v>
      </c>
      <c r="CS188" s="230">
        <v>360675</v>
      </c>
      <c r="CT188" s="230">
        <v>178850</v>
      </c>
      <c r="CU188" s="229">
        <v>0.49590000000000001</v>
      </c>
      <c r="CV188" s="230">
        <v>2965025</v>
      </c>
      <c r="CW188" s="230">
        <v>2514225</v>
      </c>
      <c r="CX188" s="230">
        <v>450800</v>
      </c>
      <c r="CY188" s="229">
        <v>0.17929999999999999</v>
      </c>
      <c r="CZ188" s="228">
        <v>30.66</v>
      </c>
      <c r="DA188" s="228">
        <v>34.11</v>
      </c>
      <c r="DB188" s="228">
        <v>-3.45</v>
      </c>
      <c r="DC188" s="228">
        <v>-3.45</v>
      </c>
      <c r="DD188" s="228">
        <v>41.12</v>
      </c>
      <c r="DE188" s="228">
        <v>41.22</v>
      </c>
      <c r="DF188" s="228">
        <v>-10.46</v>
      </c>
      <c r="DG188" s="228">
        <v>-0.1</v>
      </c>
      <c r="DH188" s="228">
        <v>30.39</v>
      </c>
      <c r="DI188" s="228">
        <v>34.26</v>
      </c>
      <c r="DJ188" s="228">
        <v>-3.87</v>
      </c>
      <c r="DK188" s="228">
        <v>-3.87</v>
      </c>
      <c r="DL188" s="228">
        <v>31.07</v>
      </c>
      <c r="DM188" s="228">
        <v>33.909999999999997</v>
      </c>
      <c r="DN188" s="228">
        <v>-2.84</v>
      </c>
      <c r="DO188" s="228">
        <v>-2.84</v>
      </c>
      <c r="DP188" s="228">
        <v>0.66</v>
      </c>
      <c r="DQ188" s="228">
        <v>0.53</v>
      </c>
      <c r="DR188" s="228">
        <v>0.13</v>
      </c>
      <c r="DS188" s="229">
        <v>0.24529999999999999</v>
      </c>
      <c r="DT188" s="231">
        <v>4000</v>
      </c>
      <c r="DU188" s="231">
        <v>3900</v>
      </c>
      <c r="DV188" s="228">
        <v>0.59</v>
      </c>
      <c r="DW188" s="228">
        <v>0.74</v>
      </c>
      <c r="DX188" s="228">
        <v>-0.15</v>
      </c>
      <c r="DY188" s="229">
        <v>-0.20269999999999999</v>
      </c>
      <c r="DZ188" s="229">
        <v>0.88100000000000001</v>
      </c>
      <c r="EA188" s="230">
        <v>955850</v>
      </c>
      <c r="EB188" s="229">
        <v>3.5999999999999999E-3</v>
      </c>
      <c r="EC188" s="229">
        <v>0.88100000000000001</v>
      </c>
      <c r="ED188" s="228">
        <v>9.74</v>
      </c>
      <c r="EE188" s="229">
        <v>2.3999999999999998E-3</v>
      </c>
      <c r="EF188" s="230">
        <v>489865</v>
      </c>
      <c r="EG188" s="230">
        <v>426176</v>
      </c>
      <c r="EH188" s="229">
        <v>0.14940000000000001</v>
      </c>
      <c r="EI188" s="229">
        <v>0.49049999999999999</v>
      </c>
      <c r="EJ188" s="231">
        <v>255640.45</v>
      </c>
      <c r="EK188" s="231">
        <v>143465.57999999999</v>
      </c>
      <c r="EL188" s="231">
        <v>94967.17</v>
      </c>
      <c r="EM188" s="231">
        <v>3859</v>
      </c>
      <c r="EN188" s="231">
        <v>494073.2</v>
      </c>
      <c r="EO188" s="231">
        <v>175622.22</v>
      </c>
      <c r="EP188" s="231">
        <v>318450.98</v>
      </c>
      <c r="EQ188" s="229">
        <v>1.8132999999999999</v>
      </c>
      <c r="ER188" s="231">
        <v>35011</v>
      </c>
      <c r="ES188" s="231">
        <v>21373</v>
      </c>
      <c r="ET188" s="231">
        <v>64454</v>
      </c>
      <c r="EU188" s="231">
        <v>7242074</v>
      </c>
      <c r="EV188" s="231">
        <v>120837</v>
      </c>
      <c r="EW188" s="231">
        <v>103499</v>
      </c>
      <c r="EX188" s="231">
        <v>17338</v>
      </c>
      <c r="EY188" s="229">
        <v>0.16750000000000001</v>
      </c>
      <c r="EZ188" s="229">
        <v>0.40939999999999999</v>
      </c>
      <c r="FA188" s="227" t="s">
        <v>567</v>
      </c>
      <c r="FB188" s="161">
        <f t="shared" si="4"/>
        <v>0</v>
      </c>
    </row>
    <row r="189" spans="1:158" ht="17.25" thickBot="1" x14ac:dyDescent="0.3">
      <c r="A189" s="226">
        <v>45957</v>
      </c>
      <c r="B189" s="227" t="s">
        <v>161</v>
      </c>
      <c r="C189" s="227" t="s">
        <v>685</v>
      </c>
      <c r="D189" s="228">
        <v>8000</v>
      </c>
      <c r="E189" s="228">
        <v>53.7</v>
      </c>
      <c r="F189" s="228">
        <v>53.76</v>
      </c>
      <c r="G189" s="228">
        <v>-0.06</v>
      </c>
      <c r="H189" s="229">
        <v>-1.1000000000000001E-3</v>
      </c>
      <c r="I189" s="228">
        <v>53.71</v>
      </c>
      <c r="J189" s="228">
        <v>53.82</v>
      </c>
      <c r="K189" s="228">
        <v>-0.11</v>
      </c>
      <c r="L189" s="229">
        <v>-2E-3</v>
      </c>
      <c r="M189" s="228">
        <v>53.7</v>
      </c>
      <c r="N189" s="228">
        <v>53.76</v>
      </c>
      <c r="O189" s="228">
        <v>-0.06</v>
      </c>
      <c r="P189" s="229">
        <v>-1.1000000000000001E-3</v>
      </c>
      <c r="Q189" s="228">
        <v>53.99</v>
      </c>
      <c r="R189" s="228">
        <v>53.98</v>
      </c>
      <c r="S189" s="228">
        <v>0.01</v>
      </c>
      <c r="T189" s="229">
        <v>2.0000000000000001E-4</v>
      </c>
      <c r="U189" s="228">
        <v>54.34</v>
      </c>
      <c r="V189" s="228">
        <v>54.34</v>
      </c>
      <c r="W189" s="228">
        <v>0</v>
      </c>
      <c r="X189" s="229">
        <v>0</v>
      </c>
      <c r="Y189" s="228">
        <v>-0.01</v>
      </c>
      <c r="Z189" s="228">
        <v>-0.06</v>
      </c>
      <c r="AA189" s="228">
        <v>0.05</v>
      </c>
      <c r="AB189" s="229">
        <v>-2.0000000000000001E-4</v>
      </c>
      <c r="AC189" s="228">
        <v>-0.01</v>
      </c>
      <c r="AD189" s="228">
        <v>-0.06</v>
      </c>
      <c r="AE189" s="228">
        <v>0.05</v>
      </c>
      <c r="AF189" s="229">
        <v>-2.0000000000000001E-4</v>
      </c>
      <c r="AG189" s="228">
        <v>0.28000000000000003</v>
      </c>
      <c r="AH189" s="228">
        <v>0.16</v>
      </c>
      <c r="AI189" s="228">
        <v>0.12</v>
      </c>
      <c r="AJ189" s="229">
        <v>5.1999999999999998E-3</v>
      </c>
      <c r="AK189" s="228">
        <v>0.63</v>
      </c>
      <c r="AL189" s="228">
        <v>0.52</v>
      </c>
      <c r="AM189" s="228">
        <v>0.11</v>
      </c>
      <c r="AN189" s="229">
        <v>1.17E-2</v>
      </c>
      <c r="AO189" s="228">
        <v>53.82</v>
      </c>
      <c r="AP189" s="228">
        <v>54.07</v>
      </c>
      <c r="AQ189" s="228">
        <v>0</v>
      </c>
      <c r="AR189" s="230">
        <v>145080000</v>
      </c>
      <c r="AS189" s="230">
        <v>146288000</v>
      </c>
      <c r="AT189" s="230">
        <v>-1208000</v>
      </c>
      <c r="AU189" s="229">
        <v>-8.3000000000000001E-3</v>
      </c>
      <c r="AV189" s="230">
        <v>71432000</v>
      </c>
      <c r="AW189" s="230">
        <v>73144000</v>
      </c>
      <c r="AX189" s="230">
        <v>-1712000</v>
      </c>
      <c r="AY189" s="229">
        <v>-2.3400000000000001E-2</v>
      </c>
      <c r="AZ189" s="230">
        <v>71768000</v>
      </c>
      <c r="BA189" s="230">
        <v>71696000</v>
      </c>
      <c r="BB189" s="230">
        <v>72000</v>
      </c>
      <c r="BC189" s="229">
        <v>1E-3</v>
      </c>
      <c r="BD189" s="230">
        <v>1880000</v>
      </c>
      <c r="BE189" s="230">
        <v>1448000</v>
      </c>
      <c r="BF189" s="230">
        <v>432000</v>
      </c>
      <c r="BG189" s="229">
        <v>0.29830000000000001</v>
      </c>
      <c r="BH189" s="230">
        <v>50960000</v>
      </c>
      <c r="BI189" s="230">
        <v>101296000</v>
      </c>
      <c r="BJ189" s="230">
        <v>-50336000</v>
      </c>
      <c r="BK189" s="229">
        <v>-0.49690000000000001</v>
      </c>
      <c r="BL189" s="230">
        <v>27768000</v>
      </c>
      <c r="BM189" s="230">
        <v>56968000</v>
      </c>
      <c r="BN189" s="230">
        <v>-29200000</v>
      </c>
      <c r="BO189" s="229">
        <v>-0.51259999999999994</v>
      </c>
      <c r="BP189" s="230">
        <v>223808000</v>
      </c>
      <c r="BQ189" s="230">
        <v>304552000</v>
      </c>
      <c r="BR189" s="230">
        <v>-80744000</v>
      </c>
      <c r="BS189" s="229">
        <v>-0.2651</v>
      </c>
      <c r="BT189" s="230">
        <v>28733060</v>
      </c>
      <c r="BU189" s="230">
        <v>50011039</v>
      </c>
      <c r="BV189" s="230">
        <v>-21277979</v>
      </c>
      <c r="BW189" s="229">
        <v>-0.42549999999999999</v>
      </c>
      <c r="BX189" s="230">
        <v>230056000</v>
      </c>
      <c r="BY189" s="230">
        <v>235568000</v>
      </c>
      <c r="BZ189" s="230">
        <v>-5512000</v>
      </c>
      <c r="CA189" s="229">
        <v>-2.3400000000000001E-2</v>
      </c>
      <c r="CB189" s="230">
        <v>67040000</v>
      </c>
      <c r="CC189" s="230">
        <v>115928000</v>
      </c>
      <c r="CD189" s="230">
        <v>-48888000</v>
      </c>
      <c r="CE189" s="229">
        <v>-0.42170000000000002</v>
      </c>
      <c r="CF189" s="230">
        <v>156360000</v>
      </c>
      <c r="CG189" s="230">
        <v>114280000</v>
      </c>
      <c r="CH189" s="230">
        <v>42080000</v>
      </c>
      <c r="CI189" s="229">
        <v>0.36820000000000003</v>
      </c>
      <c r="CJ189" s="230">
        <v>6656000</v>
      </c>
      <c r="CK189" s="230">
        <v>5360000</v>
      </c>
      <c r="CL189" s="230">
        <v>1296000</v>
      </c>
      <c r="CM189" s="229">
        <v>0.24179999999999999</v>
      </c>
      <c r="CN189" s="230">
        <v>174104000</v>
      </c>
      <c r="CO189" s="230">
        <v>171312000</v>
      </c>
      <c r="CP189" s="230">
        <v>2792000</v>
      </c>
      <c r="CQ189" s="229">
        <v>1.6299999999999999E-2</v>
      </c>
      <c r="CR189" s="230">
        <v>76608000</v>
      </c>
      <c r="CS189" s="230">
        <v>74992000</v>
      </c>
      <c r="CT189" s="230">
        <v>1616000</v>
      </c>
      <c r="CU189" s="229">
        <v>2.1499999999999998E-2</v>
      </c>
      <c r="CV189" s="230">
        <v>480768000</v>
      </c>
      <c r="CW189" s="230">
        <v>481872000</v>
      </c>
      <c r="CX189" s="230">
        <v>-1104000</v>
      </c>
      <c r="CY189" s="229">
        <v>-2.3E-3</v>
      </c>
      <c r="CZ189" s="228">
        <v>33.65</v>
      </c>
      <c r="DA189" s="228">
        <v>34.130000000000003</v>
      </c>
      <c r="DB189" s="228">
        <v>-0.48</v>
      </c>
      <c r="DC189" s="228">
        <v>-0.48</v>
      </c>
      <c r="DD189" s="228">
        <v>49.94</v>
      </c>
      <c r="DE189" s="228">
        <v>50.07</v>
      </c>
      <c r="DF189" s="228">
        <v>-16.29</v>
      </c>
      <c r="DG189" s="228">
        <v>-0.13</v>
      </c>
      <c r="DH189" s="228">
        <v>34.1</v>
      </c>
      <c r="DI189" s="228">
        <v>35.22</v>
      </c>
      <c r="DJ189" s="228">
        <v>-1.1200000000000001</v>
      </c>
      <c r="DK189" s="228">
        <v>-1.1200000000000001</v>
      </c>
      <c r="DL189" s="228">
        <v>32.92</v>
      </c>
      <c r="DM189" s="228">
        <v>32.799999999999997</v>
      </c>
      <c r="DN189" s="228">
        <v>0.12</v>
      </c>
      <c r="DO189" s="228">
        <v>0.12</v>
      </c>
      <c r="DP189" s="228">
        <v>0.44</v>
      </c>
      <c r="DQ189" s="228">
        <v>0.44</v>
      </c>
      <c r="DR189" s="228">
        <v>0</v>
      </c>
      <c r="DS189" s="229">
        <v>0</v>
      </c>
      <c r="DT189" s="228">
        <v>60</v>
      </c>
      <c r="DU189" s="228">
        <v>55</v>
      </c>
      <c r="DV189" s="228">
        <v>0.54</v>
      </c>
      <c r="DW189" s="228">
        <v>0.56000000000000005</v>
      </c>
      <c r="DX189" s="228">
        <v>-0.02</v>
      </c>
      <c r="DY189" s="229">
        <v>-3.5700000000000003E-2</v>
      </c>
      <c r="DZ189" s="229">
        <v>0.70860000000000001</v>
      </c>
      <c r="EA189" s="230">
        <v>119640000</v>
      </c>
      <c r="EB189" s="229">
        <v>5.4000000000000003E-3</v>
      </c>
      <c r="EC189" s="229">
        <v>0.70860000000000001</v>
      </c>
      <c r="ED189" s="228">
        <v>0.25</v>
      </c>
      <c r="EE189" s="229">
        <v>4.5999999999999999E-3</v>
      </c>
      <c r="EF189" s="230">
        <v>13764484</v>
      </c>
      <c r="EG189" s="230">
        <v>24569425</v>
      </c>
      <c r="EH189" s="229">
        <v>-0.43980000000000002</v>
      </c>
      <c r="EI189" s="229">
        <v>0.47899999999999998</v>
      </c>
      <c r="EJ189" s="231">
        <v>28594.77</v>
      </c>
      <c r="EK189" s="231">
        <v>15516.68</v>
      </c>
      <c r="EL189" s="231">
        <v>78273.48</v>
      </c>
      <c r="EM189" s="231">
        <v>11331</v>
      </c>
      <c r="EN189" s="231">
        <v>122384.93</v>
      </c>
      <c r="EO189" s="231">
        <v>169437.16</v>
      </c>
      <c r="EP189" s="231">
        <v>-47052.23</v>
      </c>
      <c r="EQ189" s="229">
        <v>-0.2777</v>
      </c>
      <c r="ER189" s="231">
        <v>102243</v>
      </c>
      <c r="ES189" s="231">
        <v>41748</v>
      </c>
      <c r="ET189" s="231">
        <v>124036</v>
      </c>
      <c r="EU189" s="231">
        <v>1813533848</v>
      </c>
      <c r="EV189" s="231">
        <v>268027</v>
      </c>
      <c r="EW189" s="231">
        <v>268466</v>
      </c>
      <c r="EX189" s="228">
        <v>-439</v>
      </c>
      <c r="EY189" s="229">
        <v>-1.6000000000000001E-3</v>
      </c>
      <c r="EZ189" s="229">
        <v>0.2651</v>
      </c>
      <c r="FA189" s="227" t="s">
        <v>568</v>
      </c>
      <c r="FB189" s="161">
        <f t="shared" si="4"/>
        <v>0</v>
      </c>
    </row>
    <row r="190" spans="1:158" ht="17.25" thickBot="1" x14ac:dyDescent="0.3">
      <c r="A190" s="226">
        <v>45957</v>
      </c>
      <c r="B190" s="227" t="s">
        <v>170</v>
      </c>
      <c r="C190" s="227" t="s">
        <v>520</v>
      </c>
      <c r="D190" s="228">
        <v>1000</v>
      </c>
      <c r="E190" s="228">
        <v>661.55</v>
      </c>
      <c r="F190" s="228">
        <v>659</v>
      </c>
      <c r="G190" s="228">
        <v>2.5499999999999998</v>
      </c>
      <c r="H190" s="229">
        <v>3.8999999999999998E-3</v>
      </c>
      <c r="I190" s="228">
        <v>660.4</v>
      </c>
      <c r="J190" s="228">
        <v>659.85</v>
      </c>
      <c r="K190" s="228">
        <v>0.55000000000000004</v>
      </c>
      <c r="L190" s="229">
        <v>8.0000000000000004E-4</v>
      </c>
      <c r="M190" s="228">
        <v>661.55</v>
      </c>
      <c r="N190" s="228">
        <v>659</v>
      </c>
      <c r="O190" s="228">
        <v>2.5499999999999998</v>
      </c>
      <c r="P190" s="229">
        <v>3.8999999999999998E-3</v>
      </c>
      <c r="Q190" s="228">
        <v>664.9</v>
      </c>
      <c r="R190" s="228">
        <v>662.95</v>
      </c>
      <c r="S190" s="228">
        <v>1.95</v>
      </c>
      <c r="T190" s="229">
        <v>2.8999999999999998E-3</v>
      </c>
      <c r="U190" s="228">
        <v>668.15</v>
      </c>
      <c r="V190" s="228">
        <v>666.9</v>
      </c>
      <c r="W190" s="228">
        <v>1.25</v>
      </c>
      <c r="X190" s="229">
        <v>1.9E-3</v>
      </c>
      <c r="Y190" s="228">
        <v>1.1499999999999999</v>
      </c>
      <c r="Z190" s="228">
        <v>-0.85</v>
      </c>
      <c r="AA190" s="228">
        <v>2</v>
      </c>
      <c r="AB190" s="229">
        <v>1.6999999999999999E-3</v>
      </c>
      <c r="AC190" s="228">
        <v>1.1499999999999999</v>
      </c>
      <c r="AD190" s="228">
        <v>-0.85</v>
      </c>
      <c r="AE190" s="228">
        <v>2</v>
      </c>
      <c r="AF190" s="229">
        <v>1.6999999999999999E-3</v>
      </c>
      <c r="AG190" s="228">
        <v>4.5</v>
      </c>
      <c r="AH190" s="228">
        <v>3.1</v>
      </c>
      <c r="AI190" s="228">
        <v>1.4</v>
      </c>
      <c r="AJ190" s="229">
        <v>6.7999999999999996E-3</v>
      </c>
      <c r="AK190" s="228">
        <v>7.75</v>
      </c>
      <c r="AL190" s="228">
        <v>7.05</v>
      </c>
      <c r="AM190" s="228">
        <v>0.7</v>
      </c>
      <c r="AN190" s="229">
        <v>1.17E-2</v>
      </c>
      <c r="AO190" s="228">
        <v>662.58</v>
      </c>
      <c r="AP190" s="228">
        <v>666.33</v>
      </c>
      <c r="AQ190" s="228">
        <v>0</v>
      </c>
      <c r="AR190" s="230">
        <v>5893000</v>
      </c>
      <c r="AS190" s="230">
        <v>9476000</v>
      </c>
      <c r="AT190" s="230">
        <v>-3583000</v>
      </c>
      <c r="AU190" s="229">
        <v>-0.37809999999999999</v>
      </c>
      <c r="AV190" s="230">
        <v>2933000</v>
      </c>
      <c r="AW190" s="230">
        <v>4872000</v>
      </c>
      <c r="AX190" s="230">
        <v>-1939000</v>
      </c>
      <c r="AY190" s="229">
        <v>-0.39800000000000002</v>
      </c>
      <c r="AZ190" s="230">
        <v>2936000</v>
      </c>
      <c r="BA190" s="230">
        <v>4582000</v>
      </c>
      <c r="BB190" s="230">
        <v>-1646000</v>
      </c>
      <c r="BC190" s="229">
        <v>-0.35920000000000002</v>
      </c>
      <c r="BD190" s="230">
        <v>24000</v>
      </c>
      <c r="BE190" s="230">
        <v>22000</v>
      </c>
      <c r="BF190" s="230">
        <v>2000</v>
      </c>
      <c r="BG190" s="229">
        <v>9.0899999999999995E-2</v>
      </c>
      <c r="BH190" s="230">
        <v>2220000</v>
      </c>
      <c r="BI190" s="230">
        <v>4516000</v>
      </c>
      <c r="BJ190" s="230">
        <v>-2296000</v>
      </c>
      <c r="BK190" s="229">
        <v>-0.50839999999999996</v>
      </c>
      <c r="BL190" s="230">
        <v>1006000</v>
      </c>
      <c r="BM190" s="230">
        <v>1748000</v>
      </c>
      <c r="BN190" s="230">
        <v>-742000</v>
      </c>
      <c r="BO190" s="229">
        <v>-0.42449999999999999</v>
      </c>
      <c r="BP190" s="230">
        <v>9119000</v>
      </c>
      <c r="BQ190" s="230">
        <v>15740000</v>
      </c>
      <c r="BR190" s="230">
        <v>-6621000</v>
      </c>
      <c r="BS190" s="229">
        <v>-0.42059999999999997</v>
      </c>
      <c r="BT190" s="230">
        <v>335568</v>
      </c>
      <c r="BU190" s="230">
        <v>712625</v>
      </c>
      <c r="BV190" s="230">
        <v>-377057</v>
      </c>
      <c r="BW190" s="229">
        <v>-0.52910000000000001</v>
      </c>
      <c r="BX190" s="230">
        <v>9107000</v>
      </c>
      <c r="BY190" s="230">
        <v>9426000</v>
      </c>
      <c r="BZ190" s="230">
        <v>-319000</v>
      </c>
      <c r="CA190" s="229">
        <v>-3.3799999999999997E-2</v>
      </c>
      <c r="CB190" s="230">
        <v>788000</v>
      </c>
      <c r="CC190" s="230">
        <v>3142000</v>
      </c>
      <c r="CD190" s="230">
        <v>-2354000</v>
      </c>
      <c r="CE190" s="229">
        <v>-0.74919999999999998</v>
      </c>
      <c r="CF190" s="230">
        <v>8218000</v>
      </c>
      <c r="CG190" s="230">
        <v>6196000</v>
      </c>
      <c r="CH190" s="230">
        <v>2022000</v>
      </c>
      <c r="CI190" s="229">
        <v>0.32629999999999998</v>
      </c>
      <c r="CJ190" s="230">
        <v>101000</v>
      </c>
      <c r="CK190" s="230">
        <v>88000</v>
      </c>
      <c r="CL190" s="230">
        <v>13000</v>
      </c>
      <c r="CM190" s="229">
        <v>0.1477</v>
      </c>
      <c r="CN190" s="230">
        <v>2594000</v>
      </c>
      <c r="CO190" s="230">
        <v>2882000</v>
      </c>
      <c r="CP190" s="230">
        <v>-288000</v>
      </c>
      <c r="CQ190" s="229">
        <v>-9.9900000000000003E-2</v>
      </c>
      <c r="CR190" s="230">
        <v>2002000</v>
      </c>
      <c r="CS190" s="230">
        <v>2086000</v>
      </c>
      <c r="CT190" s="230">
        <v>-84000</v>
      </c>
      <c r="CU190" s="229">
        <v>-4.0300000000000002E-2</v>
      </c>
      <c r="CV190" s="230">
        <v>13703000</v>
      </c>
      <c r="CW190" s="230">
        <v>14394000</v>
      </c>
      <c r="CX190" s="230">
        <v>-691000</v>
      </c>
      <c r="CY190" s="229">
        <v>-4.8000000000000001E-2</v>
      </c>
      <c r="CZ190" s="228">
        <v>30.55</v>
      </c>
      <c r="DA190" s="228">
        <v>30.14</v>
      </c>
      <c r="DB190" s="228">
        <v>0.41</v>
      </c>
      <c r="DC190" s="228">
        <v>0.41</v>
      </c>
      <c r="DD190" s="228">
        <v>33.22</v>
      </c>
      <c r="DE190" s="228">
        <v>33.29</v>
      </c>
      <c r="DF190" s="228">
        <v>-2.67</v>
      </c>
      <c r="DG190" s="228">
        <v>-7.0000000000000007E-2</v>
      </c>
      <c r="DH190" s="228">
        <v>30.68</v>
      </c>
      <c r="DI190" s="228">
        <v>30.21</v>
      </c>
      <c r="DJ190" s="228">
        <v>0.47</v>
      </c>
      <c r="DK190" s="228">
        <v>0.47</v>
      </c>
      <c r="DL190" s="228">
        <v>30.32</v>
      </c>
      <c r="DM190" s="228">
        <v>30.04</v>
      </c>
      <c r="DN190" s="228">
        <v>0.28000000000000003</v>
      </c>
      <c r="DO190" s="228">
        <v>0.28000000000000003</v>
      </c>
      <c r="DP190" s="228">
        <v>0.77</v>
      </c>
      <c r="DQ190" s="228">
        <v>0.72</v>
      </c>
      <c r="DR190" s="228">
        <v>0.05</v>
      </c>
      <c r="DS190" s="229">
        <v>6.9400000000000003E-2</v>
      </c>
      <c r="DT190" s="228">
        <v>680</v>
      </c>
      <c r="DU190" s="228">
        <v>600</v>
      </c>
      <c r="DV190" s="228">
        <v>0.45</v>
      </c>
      <c r="DW190" s="228">
        <v>0.39</v>
      </c>
      <c r="DX190" s="228">
        <v>0.06</v>
      </c>
      <c r="DY190" s="229">
        <v>0.15379999999999999</v>
      </c>
      <c r="DZ190" s="229">
        <v>0.91349999999999998</v>
      </c>
      <c r="EA190" s="230">
        <v>6284000</v>
      </c>
      <c r="EB190" s="229">
        <v>5.1000000000000004E-3</v>
      </c>
      <c r="EC190" s="229">
        <v>0.91349999999999998</v>
      </c>
      <c r="ED190" s="228">
        <v>3.75</v>
      </c>
      <c r="EE190" s="229">
        <v>5.7000000000000002E-3</v>
      </c>
      <c r="EF190" s="230">
        <v>157631</v>
      </c>
      <c r="EG190" s="230">
        <v>296263</v>
      </c>
      <c r="EH190" s="229">
        <v>-0.46789999999999998</v>
      </c>
      <c r="EI190" s="229">
        <v>0.46970000000000001</v>
      </c>
      <c r="EJ190" s="231">
        <v>15103.68</v>
      </c>
      <c r="EK190" s="231">
        <v>6406.03</v>
      </c>
      <c r="EL190" s="231">
        <v>39157.65</v>
      </c>
      <c r="EM190" s="231">
        <v>4227</v>
      </c>
      <c r="EN190" s="231">
        <v>60667.360000000001</v>
      </c>
      <c r="EO190" s="231">
        <v>104905.67</v>
      </c>
      <c r="EP190" s="231">
        <v>-44238.31</v>
      </c>
      <c r="EQ190" s="229">
        <v>-0.42170000000000002</v>
      </c>
      <c r="ER190" s="231">
        <v>17384</v>
      </c>
      <c r="ES190" s="231">
        <v>12562</v>
      </c>
      <c r="ET190" s="231">
        <v>60529</v>
      </c>
      <c r="EU190" s="231">
        <v>28408333</v>
      </c>
      <c r="EV190" s="231">
        <v>90476</v>
      </c>
      <c r="EW190" s="231">
        <v>94787</v>
      </c>
      <c r="EX190" s="231">
        <v>-4311</v>
      </c>
      <c r="EY190" s="229">
        <v>-4.5499999999999999E-2</v>
      </c>
      <c r="EZ190" s="229">
        <v>0.4824</v>
      </c>
      <c r="FA190" s="227" t="s">
        <v>556</v>
      </c>
      <c r="FB190" s="161">
        <f t="shared" si="4"/>
        <v>0</v>
      </c>
    </row>
    <row r="191" spans="1:158" ht="17.25" thickBot="1" x14ac:dyDescent="0.3">
      <c r="A191" s="226">
        <v>45957</v>
      </c>
      <c r="B191" s="227" t="s">
        <v>168</v>
      </c>
      <c r="C191" s="227" t="s">
        <v>291</v>
      </c>
      <c r="D191" s="228">
        <v>550</v>
      </c>
      <c r="E191" s="231">
        <v>1169.9000000000001</v>
      </c>
      <c r="F191" s="231">
        <v>1153.9000000000001</v>
      </c>
      <c r="G191" s="228">
        <v>16</v>
      </c>
      <c r="H191" s="229">
        <v>1.3899999999999999E-2</v>
      </c>
      <c r="I191" s="231">
        <v>1169.9000000000001</v>
      </c>
      <c r="J191" s="231">
        <v>1155.3</v>
      </c>
      <c r="K191" s="228">
        <v>14.6</v>
      </c>
      <c r="L191" s="229">
        <v>1.26E-2</v>
      </c>
      <c r="M191" s="231">
        <v>1169.9000000000001</v>
      </c>
      <c r="N191" s="231">
        <v>1153.9000000000001</v>
      </c>
      <c r="O191" s="228">
        <v>16</v>
      </c>
      <c r="P191" s="229">
        <v>1.3899999999999999E-2</v>
      </c>
      <c r="Q191" s="231">
        <v>1176.8</v>
      </c>
      <c r="R191" s="231">
        <v>1160.3</v>
      </c>
      <c r="S191" s="228">
        <v>16.5</v>
      </c>
      <c r="T191" s="229">
        <v>1.4200000000000001E-2</v>
      </c>
      <c r="U191" s="231">
        <v>1184.7</v>
      </c>
      <c r="V191" s="231">
        <v>1167</v>
      </c>
      <c r="W191" s="228">
        <v>17.7</v>
      </c>
      <c r="X191" s="229">
        <v>1.52E-2</v>
      </c>
      <c r="Y191" s="228">
        <v>0</v>
      </c>
      <c r="Z191" s="228">
        <v>-1.4</v>
      </c>
      <c r="AA191" s="228">
        <v>1.4</v>
      </c>
      <c r="AB191" s="229">
        <v>0</v>
      </c>
      <c r="AC191" s="228">
        <v>0</v>
      </c>
      <c r="AD191" s="228">
        <v>-1.4</v>
      </c>
      <c r="AE191" s="228">
        <v>1.4</v>
      </c>
      <c r="AF191" s="229">
        <v>0</v>
      </c>
      <c r="AG191" s="228">
        <v>6.9</v>
      </c>
      <c r="AH191" s="228">
        <v>5</v>
      </c>
      <c r="AI191" s="228">
        <v>1.9</v>
      </c>
      <c r="AJ191" s="229">
        <v>5.8999999999999999E-3</v>
      </c>
      <c r="AK191" s="228">
        <v>14.8</v>
      </c>
      <c r="AL191" s="228">
        <v>11.7</v>
      </c>
      <c r="AM191" s="228">
        <v>3.1</v>
      </c>
      <c r="AN191" s="229">
        <v>1.2699999999999999E-2</v>
      </c>
      <c r="AO191" s="231">
        <v>1170.71</v>
      </c>
      <c r="AP191" s="231">
        <v>1177.53</v>
      </c>
      <c r="AQ191" s="228">
        <v>0</v>
      </c>
      <c r="AR191" s="230">
        <v>12844700</v>
      </c>
      <c r="AS191" s="230">
        <v>13789050</v>
      </c>
      <c r="AT191" s="230">
        <v>-944350</v>
      </c>
      <c r="AU191" s="229">
        <v>-6.8500000000000005E-2</v>
      </c>
      <c r="AV191" s="230">
        <v>5632550</v>
      </c>
      <c r="AW191" s="230">
        <v>6886000</v>
      </c>
      <c r="AX191" s="230">
        <v>-1253450</v>
      </c>
      <c r="AY191" s="229">
        <v>-0.182</v>
      </c>
      <c r="AZ191" s="230">
        <v>7158250</v>
      </c>
      <c r="BA191" s="230">
        <v>6886550</v>
      </c>
      <c r="BB191" s="230">
        <v>271700</v>
      </c>
      <c r="BC191" s="229">
        <v>3.95E-2</v>
      </c>
      <c r="BD191" s="230">
        <v>53900</v>
      </c>
      <c r="BE191" s="230">
        <v>16500</v>
      </c>
      <c r="BF191" s="230">
        <v>37400</v>
      </c>
      <c r="BG191" s="229">
        <v>2.2667000000000002</v>
      </c>
      <c r="BH191" s="230">
        <v>9240000</v>
      </c>
      <c r="BI191" s="230">
        <v>5879500</v>
      </c>
      <c r="BJ191" s="230">
        <v>3360500</v>
      </c>
      <c r="BK191" s="229">
        <v>0.5716</v>
      </c>
      <c r="BL191" s="230">
        <v>2796750</v>
      </c>
      <c r="BM191" s="230">
        <v>3051400</v>
      </c>
      <c r="BN191" s="230">
        <v>-254650</v>
      </c>
      <c r="BO191" s="229">
        <v>-8.3500000000000005E-2</v>
      </c>
      <c r="BP191" s="230">
        <v>24881450</v>
      </c>
      <c r="BQ191" s="230">
        <v>22719950</v>
      </c>
      <c r="BR191" s="230">
        <v>2161500</v>
      </c>
      <c r="BS191" s="229">
        <v>9.5100000000000004E-2</v>
      </c>
      <c r="BT191" s="230">
        <v>1061712</v>
      </c>
      <c r="BU191" s="230">
        <v>1128172</v>
      </c>
      <c r="BV191" s="230">
        <v>-66460</v>
      </c>
      <c r="BW191" s="229">
        <v>-5.8900000000000001E-2</v>
      </c>
      <c r="BX191" s="230">
        <v>17844200</v>
      </c>
      <c r="BY191" s="230">
        <v>17066500</v>
      </c>
      <c r="BZ191" s="230">
        <v>777700</v>
      </c>
      <c r="CA191" s="229">
        <v>4.5600000000000002E-2</v>
      </c>
      <c r="CB191" s="230">
        <v>1515250</v>
      </c>
      <c r="CC191" s="230">
        <v>6197950</v>
      </c>
      <c r="CD191" s="230">
        <v>-4682700</v>
      </c>
      <c r="CE191" s="229">
        <v>-0.75549999999999995</v>
      </c>
      <c r="CF191" s="230">
        <v>16249750</v>
      </c>
      <c r="CG191" s="230">
        <v>10809700</v>
      </c>
      <c r="CH191" s="230">
        <v>5440050</v>
      </c>
      <c r="CI191" s="229">
        <v>0.50329999999999997</v>
      </c>
      <c r="CJ191" s="230">
        <v>79200</v>
      </c>
      <c r="CK191" s="230">
        <v>58850</v>
      </c>
      <c r="CL191" s="230">
        <v>20350</v>
      </c>
      <c r="CM191" s="229">
        <v>0.3458</v>
      </c>
      <c r="CN191" s="230">
        <v>3107500</v>
      </c>
      <c r="CO191" s="230">
        <v>3170750</v>
      </c>
      <c r="CP191" s="230">
        <v>-63250</v>
      </c>
      <c r="CQ191" s="229">
        <v>-1.9900000000000001E-2</v>
      </c>
      <c r="CR191" s="230">
        <v>1845250</v>
      </c>
      <c r="CS191" s="230">
        <v>1958000</v>
      </c>
      <c r="CT191" s="230">
        <v>-112750</v>
      </c>
      <c r="CU191" s="229">
        <v>-5.7599999999999998E-2</v>
      </c>
      <c r="CV191" s="230">
        <v>22796950</v>
      </c>
      <c r="CW191" s="230">
        <v>22195250</v>
      </c>
      <c r="CX191" s="230">
        <v>601700</v>
      </c>
      <c r="CY191" s="229">
        <v>2.7099999999999999E-2</v>
      </c>
      <c r="CZ191" s="228">
        <v>24.24</v>
      </c>
      <c r="DA191" s="228">
        <v>23.34</v>
      </c>
      <c r="DB191" s="228">
        <v>0.9</v>
      </c>
      <c r="DC191" s="228">
        <v>0.9</v>
      </c>
      <c r="DD191" s="228">
        <v>26.79</v>
      </c>
      <c r="DE191" s="228">
        <v>26.8</v>
      </c>
      <c r="DF191" s="228">
        <v>-2.5499999999999998</v>
      </c>
      <c r="DG191" s="228">
        <v>-0.01</v>
      </c>
      <c r="DH191" s="228">
        <v>24.03</v>
      </c>
      <c r="DI191" s="228">
        <v>22.95</v>
      </c>
      <c r="DJ191" s="228">
        <v>1.08</v>
      </c>
      <c r="DK191" s="228">
        <v>1.08</v>
      </c>
      <c r="DL191" s="228">
        <v>24.87</v>
      </c>
      <c r="DM191" s="228">
        <v>23.92</v>
      </c>
      <c r="DN191" s="228">
        <v>0.95</v>
      </c>
      <c r="DO191" s="228">
        <v>0.95</v>
      </c>
      <c r="DP191" s="228">
        <v>0.59</v>
      </c>
      <c r="DQ191" s="228">
        <v>0.62</v>
      </c>
      <c r="DR191" s="228">
        <v>-0.03</v>
      </c>
      <c r="DS191" s="229">
        <v>-4.8399999999999999E-2</v>
      </c>
      <c r="DT191" s="231">
        <v>1280</v>
      </c>
      <c r="DU191" s="231">
        <v>1100</v>
      </c>
      <c r="DV191" s="228">
        <v>0.3</v>
      </c>
      <c r="DW191" s="228">
        <v>0.52</v>
      </c>
      <c r="DX191" s="228">
        <v>-0.22</v>
      </c>
      <c r="DY191" s="229">
        <v>-0.42309999999999998</v>
      </c>
      <c r="DZ191" s="229">
        <v>0.91510000000000002</v>
      </c>
      <c r="EA191" s="230">
        <v>10868550</v>
      </c>
      <c r="EB191" s="229">
        <v>5.8999999999999999E-3</v>
      </c>
      <c r="EC191" s="229">
        <v>0.91510000000000002</v>
      </c>
      <c r="ED191" s="228">
        <v>6.82</v>
      </c>
      <c r="EE191" s="229">
        <v>5.7999999999999996E-3</v>
      </c>
      <c r="EF191" s="230">
        <v>546071</v>
      </c>
      <c r="EG191" s="230">
        <v>691800</v>
      </c>
      <c r="EH191" s="229">
        <v>-0.2107</v>
      </c>
      <c r="EI191" s="229">
        <v>0.51429999999999998</v>
      </c>
      <c r="EJ191" s="231">
        <v>110292.05</v>
      </c>
      <c r="EK191" s="231">
        <v>32121.51</v>
      </c>
      <c r="EL191" s="231">
        <v>150870.28</v>
      </c>
      <c r="EM191" s="231">
        <v>12735</v>
      </c>
      <c r="EN191" s="231">
        <v>293283.84000000003</v>
      </c>
      <c r="EO191" s="231">
        <v>263806.34000000003</v>
      </c>
      <c r="EP191" s="231">
        <v>29477.5</v>
      </c>
      <c r="EQ191" s="229">
        <v>0.11169999999999999</v>
      </c>
      <c r="ER191" s="231">
        <v>37602</v>
      </c>
      <c r="ES191" s="231">
        <v>20396</v>
      </c>
      <c r="ET191" s="231">
        <v>209892</v>
      </c>
      <c r="EU191" s="231">
        <v>65471528</v>
      </c>
      <c r="EV191" s="231">
        <v>267890</v>
      </c>
      <c r="EW191" s="231">
        <v>257557</v>
      </c>
      <c r="EX191" s="231">
        <v>10333</v>
      </c>
      <c r="EY191" s="229">
        <v>4.0099999999999997E-2</v>
      </c>
      <c r="EZ191" s="229">
        <v>0.34820000000000001</v>
      </c>
      <c r="FA191" s="227" t="s">
        <v>555</v>
      </c>
      <c r="FB191" s="161">
        <f t="shared" si="4"/>
        <v>0</v>
      </c>
    </row>
    <row r="192" spans="1:158" ht="17.25" thickBot="1" x14ac:dyDescent="0.3">
      <c r="A192" s="226">
        <v>45957</v>
      </c>
      <c r="B192" s="227" t="s">
        <v>221</v>
      </c>
      <c r="C192" s="227" t="s">
        <v>604</v>
      </c>
      <c r="D192" s="228">
        <v>100</v>
      </c>
      <c r="E192" s="231">
        <v>5586.5</v>
      </c>
      <c r="F192" s="231">
        <v>5531.5</v>
      </c>
      <c r="G192" s="228">
        <v>55</v>
      </c>
      <c r="H192" s="229">
        <v>9.9000000000000008E-3</v>
      </c>
      <c r="I192" s="231">
        <v>5585.5</v>
      </c>
      <c r="J192" s="231">
        <v>5544</v>
      </c>
      <c r="K192" s="228">
        <v>41.5</v>
      </c>
      <c r="L192" s="229">
        <v>7.4999999999999997E-3</v>
      </c>
      <c r="M192" s="231">
        <v>5586.5</v>
      </c>
      <c r="N192" s="231">
        <v>5531.5</v>
      </c>
      <c r="O192" s="228">
        <v>55</v>
      </c>
      <c r="P192" s="229">
        <v>9.9000000000000008E-3</v>
      </c>
      <c r="Q192" s="231">
        <v>5552.5</v>
      </c>
      <c r="R192" s="231">
        <v>5466.5</v>
      </c>
      <c r="S192" s="228">
        <v>86</v>
      </c>
      <c r="T192" s="229">
        <v>1.5699999999999999E-2</v>
      </c>
      <c r="U192" s="231">
        <v>5517</v>
      </c>
      <c r="V192" s="231">
        <v>5426</v>
      </c>
      <c r="W192" s="228">
        <v>91</v>
      </c>
      <c r="X192" s="229">
        <v>1.6799999999999999E-2</v>
      </c>
      <c r="Y192" s="228">
        <v>1</v>
      </c>
      <c r="Z192" s="228">
        <v>-12.5</v>
      </c>
      <c r="AA192" s="228">
        <v>13.5</v>
      </c>
      <c r="AB192" s="229">
        <v>2.0000000000000001E-4</v>
      </c>
      <c r="AC192" s="228">
        <v>1</v>
      </c>
      <c r="AD192" s="228">
        <v>-12.5</v>
      </c>
      <c r="AE192" s="228">
        <v>13.5</v>
      </c>
      <c r="AF192" s="229">
        <v>2.0000000000000001E-4</v>
      </c>
      <c r="AG192" s="228">
        <v>-33</v>
      </c>
      <c r="AH192" s="228">
        <v>-77.5</v>
      </c>
      <c r="AI192" s="228">
        <v>44.5</v>
      </c>
      <c r="AJ192" s="229">
        <v>-5.8999999999999999E-3</v>
      </c>
      <c r="AK192" s="228">
        <v>-68.5</v>
      </c>
      <c r="AL192" s="228">
        <v>-118</v>
      </c>
      <c r="AM192" s="228">
        <v>49.5</v>
      </c>
      <c r="AN192" s="229">
        <v>-1.23E-2</v>
      </c>
      <c r="AO192" s="231">
        <v>5594.06</v>
      </c>
      <c r="AP192" s="231">
        <v>5547.31</v>
      </c>
      <c r="AQ192" s="228">
        <v>0</v>
      </c>
      <c r="AR192" s="230">
        <v>1974900</v>
      </c>
      <c r="AS192" s="230">
        <v>2418600</v>
      </c>
      <c r="AT192" s="230">
        <v>-443700</v>
      </c>
      <c r="AU192" s="229">
        <v>-0.1835</v>
      </c>
      <c r="AV192" s="230">
        <v>988300</v>
      </c>
      <c r="AW192" s="230">
        <v>1219500</v>
      </c>
      <c r="AX192" s="230">
        <v>-231200</v>
      </c>
      <c r="AY192" s="229">
        <v>-0.18959999999999999</v>
      </c>
      <c r="AZ192" s="230">
        <v>958700</v>
      </c>
      <c r="BA192" s="230">
        <v>1181000</v>
      </c>
      <c r="BB192" s="230">
        <v>-222300</v>
      </c>
      <c r="BC192" s="229">
        <v>-0.18820000000000001</v>
      </c>
      <c r="BD192" s="230">
        <v>27900</v>
      </c>
      <c r="BE192" s="230">
        <v>18100</v>
      </c>
      <c r="BF192" s="230">
        <v>9800</v>
      </c>
      <c r="BG192" s="229">
        <v>0.54139999999999999</v>
      </c>
      <c r="BH192" s="230">
        <v>1714800</v>
      </c>
      <c r="BI192" s="230">
        <v>2346400</v>
      </c>
      <c r="BJ192" s="230">
        <v>-631600</v>
      </c>
      <c r="BK192" s="229">
        <v>-0.26919999999999999</v>
      </c>
      <c r="BL192" s="230">
        <v>722400</v>
      </c>
      <c r="BM192" s="230">
        <v>930500</v>
      </c>
      <c r="BN192" s="230">
        <v>-208100</v>
      </c>
      <c r="BO192" s="229">
        <v>-0.22359999999999999</v>
      </c>
      <c r="BP192" s="230">
        <v>4412100</v>
      </c>
      <c r="BQ192" s="230">
        <v>5695500</v>
      </c>
      <c r="BR192" s="230">
        <v>-1283400</v>
      </c>
      <c r="BS192" s="229">
        <v>-0.2253</v>
      </c>
      <c r="BT192" s="230">
        <v>237724</v>
      </c>
      <c r="BU192" s="230">
        <v>249119</v>
      </c>
      <c r="BV192" s="230">
        <v>-11395</v>
      </c>
      <c r="BW192" s="229">
        <v>-4.5699999999999998E-2</v>
      </c>
      <c r="BX192" s="230">
        <v>2883900</v>
      </c>
      <c r="BY192" s="230">
        <v>3257200</v>
      </c>
      <c r="BZ192" s="230">
        <v>-373300</v>
      </c>
      <c r="CA192" s="229">
        <v>-0.11459999999999999</v>
      </c>
      <c r="CB192" s="230">
        <v>448500</v>
      </c>
      <c r="CC192" s="230">
        <v>1130900</v>
      </c>
      <c r="CD192" s="230">
        <v>-682400</v>
      </c>
      <c r="CE192" s="229">
        <v>-0.60340000000000005</v>
      </c>
      <c r="CF192" s="230">
        <v>2385800</v>
      </c>
      <c r="CG192" s="230">
        <v>2078800</v>
      </c>
      <c r="CH192" s="230">
        <v>307000</v>
      </c>
      <c r="CI192" s="229">
        <v>0.1477</v>
      </c>
      <c r="CJ192" s="230">
        <v>49600</v>
      </c>
      <c r="CK192" s="230">
        <v>47500</v>
      </c>
      <c r="CL192" s="230">
        <v>2100</v>
      </c>
      <c r="CM192" s="229">
        <v>4.4200000000000003E-2</v>
      </c>
      <c r="CN192" s="230">
        <v>895100</v>
      </c>
      <c r="CO192" s="230">
        <v>1171800</v>
      </c>
      <c r="CP192" s="230">
        <v>-276700</v>
      </c>
      <c r="CQ192" s="229">
        <v>-0.2361</v>
      </c>
      <c r="CR192" s="230">
        <v>580700</v>
      </c>
      <c r="CS192" s="230">
        <v>603500</v>
      </c>
      <c r="CT192" s="230">
        <v>-22800</v>
      </c>
      <c r="CU192" s="229">
        <v>-3.78E-2</v>
      </c>
      <c r="CV192" s="230">
        <v>4359700</v>
      </c>
      <c r="CW192" s="230">
        <v>5032500</v>
      </c>
      <c r="CX192" s="230">
        <v>-672800</v>
      </c>
      <c r="CY192" s="229">
        <v>-0.13370000000000001</v>
      </c>
      <c r="CZ192" s="228">
        <v>27.69</v>
      </c>
      <c r="DA192" s="228">
        <v>28.13</v>
      </c>
      <c r="DB192" s="228">
        <v>-0.44</v>
      </c>
      <c r="DC192" s="228">
        <v>-0.44</v>
      </c>
      <c r="DD192" s="228">
        <v>36.32</v>
      </c>
      <c r="DE192" s="228">
        <v>36.380000000000003</v>
      </c>
      <c r="DF192" s="228">
        <v>-8.6300000000000008</v>
      </c>
      <c r="DG192" s="228">
        <v>-0.06</v>
      </c>
      <c r="DH192" s="228">
        <v>27.84</v>
      </c>
      <c r="DI192" s="228">
        <v>28.42</v>
      </c>
      <c r="DJ192" s="228">
        <v>-0.57999999999999996</v>
      </c>
      <c r="DK192" s="228">
        <v>-0.57999999999999996</v>
      </c>
      <c r="DL192" s="228">
        <v>27.18</v>
      </c>
      <c r="DM192" s="228">
        <v>27.21</v>
      </c>
      <c r="DN192" s="228">
        <v>-0.03</v>
      </c>
      <c r="DO192" s="228">
        <v>-0.03</v>
      </c>
      <c r="DP192" s="228">
        <v>0.65</v>
      </c>
      <c r="DQ192" s="228">
        <v>0.52</v>
      </c>
      <c r="DR192" s="228">
        <v>0.13</v>
      </c>
      <c r="DS192" s="229">
        <v>0.25</v>
      </c>
      <c r="DT192" s="231">
        <v>6000</v>
      </c>
      <c r="DU192" s="231">
        <v>5000</v>
      </c>
      <c r="DV192" s="228">
        <v>0.42</v>
      </c>
      <c r="DW192" s="228">
        <v>0.4</v>
      </c>
      <c r="DX192" s="228">
        <v>0.02</v>
      </c>
      <c r="DY192" s="229">
        <v>0.05</v>
      </c>
      <c r="DZ192" s="229">
        <v>0.84450000000000003</v>
      </c>
      <c r="EA192" s="230">
        <v>2126300</v>
      </c>
      <c r="EB192" s="229">
        <v>-6.1000000000000004E-3</v>
      </c>
      <c r="EC192" s="229">
        <v>0.84450000000000003</v>
      </c>
      <c r="ED192" s="228">
        <v>-46.75</v>
      </c>
      <c r="EE192" s="229">
        <v>-8.3999999999999995E-3</v>
      </c>
      <c r="EF192" s="230">
        <v>107110</v>
      </c>
      <c r="EG192" s="230">
        <v>92017</v>
      </c>
      <c r="EH192" s="229">
        <v>0.16400000000000001</v>
      </c>
      <c r="EI192" s="229">
        <v>0.4506</v>
      </c>
      <c r="EJ192" s="231">
        <v>99444.12</v>
      </c>
      <c r="EK192" s="231">
        <v>38879.03</v>
      </c>
      <c r="EL192" s="231">
        <v>110004.95</v>
      </c>
      <c r="EM192" s="231">
        <v>13853</v>
      </c>
      <c r="EN192" s="231">
        <v>248328.1</v>
      </c>
      <c r="EO192" s="231">
        <v>317102.31</v>
      </c>
      <c r="EP192" s="231">
        <v>-68774.210000000006</v>
      </c>
      <c r="EQ192" s="229">
        <v>-0.21690000000000001</v>
      </c>
      <c r="ER192" s="231">
        <v>51812</v>
      </c>
      <c r="ES192" s="231">
        <v>30507</v>
      </c>
      <c r="ET192" s="231">
        <v>160263</v>
      </c>
      <c r="EU192" s="231">
        <v>4309631</v>
      </c>
      <c r="EV192" s="231">
        <v>242582</v>
      </c>
      <c r="EW192" s="231">
        <v>277883</v>
      </c>
      <c r="EX192" s="231">
        <v>-35301</v>
      </c>
      <c r="EY192" s="229">
        <v>-0.127</v>
      </c>
      <c r="EZ192" s="229">
        <v>1.0116000000000001</v>
      </c>
      <c r="FA192" s="227" t="s">
        <v>556</v>
      </c>
      <c r="FB192" s="161">
        <f t="shared" si="4"/>
        <v>0</v>
      </c>
    </row>
    <row r="193" spans="1:158" ht="17.25" thickBot="1" x14ac:dyDescent="0.3">
      <c r="A193" s="226">
        <v>45957</v>
      </c>
      <c r="B193" s="227" t="s">
        <v>161</v>
      </c>
      <c r="C193" s="227" t="s">
        <v>293</v>
      </c>
      <c r="D193" s="228">
        <v>1450</v>
      </c>
      <c r="E193" s="228">
        <v>400.85</v>
      </c>
      <c r="F193" s="228">
        <v>396.4</v>
      </c>
      <c r="G193" s="228">
        <v>4.45</v>
      </c>
      <c r="H193" s="229">
        <v>1.12E-2</v>
      </c>
      <c r="I193" s="228">
        <v>400.25</v>
      </c>
      <c r="J193" s="228">
        <v>396.85</v>
      </c>
      <c r="K193" s="228">
        <v>3.4</v>
      </c>
      <c r="L193" s="229">
        <v>8.6E-3</v>
      </c>
      <c r="M193" s="228">
        <v>400.85</v>
      </c>
      <c r="N193" s="228">
        <v>396.4</v>
      </c>
      <c r="O193" s="228">
        <v>4.45</v>
      </c>
      <c r="P193" s="229">
        <v>1.12E-2</v>
      </c>
      <c r="Q193" s="228">
        <v>402.85</v>
      </c>
      <c r="R193" s="228">
        <v>398.45</v>
      </c>
      <c r="S193" s="228">
        <v>4.4000000000000004</v>
      </c>
      <c r="T193" s="229">
        <v>1.0999999999999999E-2</v>
      </c>
      <c r="U193" s="228">
        <v>405.7</v>
      </c>
      <c r="V193" s="228">
        <v>401.5</v>
      </c>
      <c r="W193" s="228">
        <v>4.2</v>
      </c>
      <c r="X193" s="229">
        <v>1.0500000000000001E-2</v>
      </c>
      <c r="Y193" s="228">
        <v>0.6</v>
      </c>
      <c r="Z193" s="228">
        <v>-0.45</v>
      </c>
      <c r="AA193" s="228">
        <v>1.05</v>
      </c>
      <c r="AB193" s="229">
        <v>1.5E-3</v>
      </c>
      <c r="AC193" s="228">
        <v>0.6</v>
      </c>
      <c r="AD193" s="228">
        <v>-0.45</v>
      </c>
      <c r="AE193" s="228">
        <v>1.05</v>
      </c>
      <c r="AF193" s="229">
        <v>1.5E-3</v>
      </c>
      <c r="AG193" s="228">
        <v>2.6</v>
      </c>
      <c r="AH193" s="228">
        <v>1.6</v>
      </c>
      <c r="AI193" s="228">
        <v>1</v>
      </c>
      <c r="AJ193" s="229">
        <v>6.4999999999999997E-3</v>
      </c>
      <c r="AK193" s="228">
        <v>5.45</v>
      </c>
      <c r="AL193" s="228">
        <v>4.6500000000000004</v>
      </c>
      <c r="AM193" s="228">
        <v>0.8</v>
      </c>
      <c r="AN193" s="229">
        <v>1.3599999999999999E-2</v>
      </c>
      <c r="AO193" s="228">
        <v>400.59</v>
      </c>
      <c r="AP193" s="228">
        <v>402.73</v>
      </c>
      <c r="AQ193" s="228">
        <v>0</v>
      </c>
      <c r="AR193" s="230">
        <v>47454150</v>
      </c>
      <c r="AS193" s="230">
        <v>29184150</v>
      </c>
      <c r="AT193" s="230">
        <v>18270000</v>
      </c>
      <c r="AU193" s="229">
        <v>0.626</v>
      </c>
      <c r="AV193" s="230">
        <v>23559600</v>
      </c>
      <c r="AW193" s="230">
        <v>15075650</v>
      </c>
      <c r="AX193" s="230">
        <v>8483950</v>
      </c>
      <c r="AY193" s="229">
        <v>0.56279999999999997</v>
      </c>
      <c r="AZ193" s="230">
        <v>23637900</v>
      </c>
      <c r="BA193" s="230">
        <v>13973650</v>
      </c>
      <c r="BB193" s="230">
        <v>9664250</v>
      </c>
      <c r="BC193" s="229">
        <v>0.69159999999999999</v>
      </c>
      <c r="BD193" s="230">
        <v>256650</v>
      </c>
      <c r="BE193" s="230">
        <v>134850</v>
      </c>
      <c r="BF193" s="230">
        <v>121800</v>
      </c>
      <c r="BG193" s="229">
        <v>0.9032</v>
      </c>
      <c r="BH193" s="230">
        <v>28227150</v>
      </c>
      <c r="BI193" s="230">
        <v>28217000</v>
      </c>
      <c r="BJ193" s="230">
        <v>10150</v>
      </c>
      <c r="BK193" s="229">
        <v>4.0000000000000002E-4</v>
      </c>
      <c r="BL193" s="230">
        <v>21816700</v>
      </c>
      <c r="BM193" s="230">
        <v>19527150</v>
      </c>
      <c r="BN193" s="230">
        <v>2289550</v>
      </c>
      <c r="BO193" s="229">
        <v>0.1172</v>
      </c>
      <c r="BP193" s="230">
        <v>97498000</v>
      </c>
      <c r="BQ193" s="230">
        <v>76928300</v>
      </c>
      <c r="BR193" s="230">
        <v>20569700</v>
      </c>
      <c r="BS193" s="229">
        <v>0.26740000000000003</v>
      </c>
      <c r="BT193" s="230">
        <v>3251929</v>
      </c>
      <c r="BU193" s="230">
        <v>5218704</v>
      </c>
      <c r="BV193" s="230">
        <v>-1966775</v>
      </c>
      <c r="BW193" s="229">
        <v>-0.37690000000000001</v>
      </c>
      <c r="BX193" s="230">
        <v>56280300</v>
      </c>
      <c r="BY193" s="230">
        <v>57660700</v>
      </c>
      <c r="BZ193" s="230">
        <v>-1380400</v>
      </c>
      <c r="CA193" s="229">
        <v>-2.3900000000000001E-2</v>
      </c>
      <c r="CB193" s="230">
        <v>9525050</v>
      </c>
      <c r="CC193" s="230">
        <v>28879650</v>
      </c>
      <c r="CD193" s="230">
        <v>-19354600</v>
      </c>
      <c r="CE193" s="229">
        <v>-0.67020000000000002</v>
      </c>
      <c r="CF193" s="230">
        <v>46088250</v>
      </c>
      <c r="CG193" s="230">
        <v>28264850</v>
      </c>
      <c r="CH193" s="230">
        <v>17823400</v>
      </c>
      <c r="CI193" s="229">
        <v>0.63060000000000005</v>
      </c>
      <c r="CJ193" s="230">
        <v>667000</v>
      </c>
      <c r="CK193" s="230">
        <v>516200</v>
      </c>
      <c r="CL193" s="230">
        <v>150800</v>
      </c>
      <c r="CM193" s="229">
        <v>0.29210000000000003</v>
      </c>
      <c r="CN193" s="230">
        <v>26021700</v>
      </c>
      <c r="CO193" s="230">
        <v>28009650</v>
      </c>
      <c r="CP193" s="230">
        <v>-1987950</v>
      </c>
      <c r="CQ193" s="229">
        <v>-7.0999999999999994E-2</v>
      </c>
      <c r="CR193" s="230">
        <v>23636450</v>
      </c>
      <c r="CS193" s="230">
        <v>23281200</v>
      </c>
      <c r="CT193" s="230">
        <v>355250</v>
      </c>
      <c r="CU193" s="229">
        <v>1.5299999999999999E-2</v>
      </c>
      <c r="CV193" s="230">
        <v>105938450</v>
      </c>
      <c r="CW193" s="230">
        <v>108951550</v>
      </c>
      <c r="CX193" s="230">
        <v>-3013100</v>
      </c>
      <c r="CY193" s="229">
        <v>-2.7699999999999999E-2</v>
      </c>
      <c r="CZ193" s="228">
        <v>21.04</v>
      </c>
      <c r="DA193" s="228">
        <v>22.14</v>
      </c>
      <c r="DB193" s="228">
        <v>-1.1000000000000001</v>
      </c>
      <c r="DC193" s="228">
        <v>-1.1000000000000001</v>
      </c>
      <c r="DD193" s="228">
        <v>32.81</v>
      </c>
      <c r="DE193" s="228">
        <v>32.86</v>
      </c>
      <c r="DF193" s="228">
        <v>-11.77</v>
      </c>
      <c r="DG193" s="228">
        <v>-0.05</v>
      </c>
      <c r="DH193" s="228">
        <v>21.05</v>
      </c>
      <c r="DI193" s="228">
        <v>22.41</v>
      </c>
      <c r="DJ193" s="228">
        <v>-1.36</v>
      </c>
      <c r="DK193" s="228">
        <v>-1.36</v>
      </c>
      <c r="DL193" s="228">
        <v>21.04</v>
      </c>
      <c r="DM193" s="228">
        <v>21.7</v>
      </c>
      <c r="DN193" s="228">
        <v>-0.66</v>
      </c>
      <c r="DO193" s="228">
        <v>-0.66</v>
      </c>
      <c r="DP193" s="228">
        <v>0.91</v>
      </c>
      <c r="DQ193" s="228">
        <v>0.83</v>
      </c>
      <c r="DR193" s="228">
        <v>0.08</v>
      </c>
      <c r="DS193" s="229">
        <v>9.64E-2</v>
      </c>
      <c r="DT193" s="228">
        <v>400</v>
      </c>
      <c r="DU193" s="228">
        <v>390</v>
      </c>
      <c r="DV193" s="228">
        <v>0.77</v>
      </c>
      <c r="DW193" s="228">
        <v>0.69</v>
      </c>
      <c r="DX193" s="228">
        <v>0.08</v>
      </c>
      <c r="DY193" s="229">
        <v>0.1159</v>
      </c>
      <c r="DZ193" s="229">
        <v>0.83079999999999998</v>
      </c>
      <c r="EA193" s="230">
        <v>28781050</v>
      </c>
      <c r="EB193" s="229">
        <v>5.0000000000000001E-3</v>
      </c>
      <c r="EC193" s="229">
        <v>0.83079999999999998</v>
      </c>
      <c r="ED193" s="228">
        <v>2.14</v>
      </c>
      <c r="EE193" s="229">
        <v>5.3E-3</v>
      </c>
      <c r="EF193" s="230">
        <v>1659481</v>
      </c>
      <c r="EG193" s="230">
        <v>2881843</v>
      </c>
      <c r="EH193" s="229">
        <v>-0.42420000000000002</v>
      </c>
      <c r="EI193" s="229">
        <v>0.51029999999999998</v>
      </c>
      <c r="EJ193" s="231">
        <v>116252.4</v>
      </c>
      <c r="EK193" s="231">
        <v>88912.88</v>
      </c>
      <c r="EL193" s="231">
        <v>190614.26</v>
      </c>
      <c r="EM193" s="231">
        <v>13074</v>
      </c>
      <c r="EN193" s="231">
        <v>395779.54</v>
      </c>
      <c r="EO193" s="231">
        <v>309479.27</v>
      </c>
      <c r="EP193" s="231">
        <v>86300.27</v>
      </c>
      <c r="EQ193" s="229">
        <v>0.27889999999999998</v>
      </c>
      <c r="ER193" s="231">
        <v>106985</v>
      </c>
      <c r="ES193" s="231">
        <v>94000</v>
      </c>
      <c r="ET193" s="231">
        <v>226554</v>
      </c>
      <c r="EU193" s="231">
        <v>169808198</v>
      </c>
      <c r="EV193" s="231">
        <v>427538</v>
      </c>
      <c r="EW193" s="231">
        <v>436139</v>
      </c>
      <c r="EX193" s="231">
        <v>-8601</v>
      </c>
      <c r="EY193" s="229">
        <v>-1.9699999999999999E-2</v>
      </c>
      <c r="EZ193" s="229">
        <v>0.62390000000000001</v>
      </c>
      <c r="FA193" s="227" t="s">
        <v>556</v>
      </c>
      <c r="FB193" s="161">
        <f t="shared" si="4"/>
        <v>0</v>
      </c>
    </row>
    <row r="194" spans="1:158" ht="17.25" thickBot="1" x14ac:dyDescent="0.3">
      <c r="A194" s="226">
        <v>45957</v>
      </c>
      <c r="B194" s="227" t="s">
        <v>227</v>
      </c>
      <c r="C194" s="227" t="s">
        <v>294</v>
      </c>
      <c r="D194" s="228">
        <v>5500</v>
      </c>
      <c r="E194" s="228">
        <v>176.82</v>
      </c>
      <c r="F194" s="228">
        <v>174.65</v>
      </c>
      <c r="G194" s="228">
        <v>2.17</v>
      </c>
      <c r="H194" s="229">
        <v>1.24E-2</v>
      </c>
      <c r="I194" s="228">
        <v>176.66</v>
      </c>
      <c r="J194" s="228">
        <v>174.44</v>
      </c>
      <c r="K194" s="228">
        <v>2.2200000000000002</v>
      </c>
      <c r="L194" s="229">
        <v>1.2699999999999999E-2</v>
      </c>
      <c r="M194" s="228">
        <v>176.82</v>
      </c>
      <c r="N194" s="228">
        <v>174.65</v>
      </c>
      <c r="O194" s="228">
        <v>2.17</v>
      </c>
      <c r="P194" s="229">
        <v>1.24E-2</v>
      </c>
      <c r="Q194" s="228">
        <v>177.85</v>
      </c>
      <c r="R194" s="228">
        <v>175.63</v>
      </c>
      <c r="S194" s="228">
        <v>2.2200000000000002</v>
      </c>
      <c r="T194" s="229">
        <v>1.26E-2</v>
      </c>
      <c r="U194" s="228">
        <v>179.02</v>
      </c>
      <c r="V194" s="228">
        <v>176.8</v>
      </c>
      <c r="W194" s="228">
        <v>2.2200000000000002</v>
      </c>
      <c r="X194" s="229">
        <v>1.26E-2</v>
      </c>
      <c r="Y194" s="228">
        <v>0.16</v>
      </c>
      <c r="Z194" s="228">
        <v>0.21</v>
      </c>
      <c r="AA194" s="228">
        <v>-0.05</v>
      </c>
      <c r="AB194" s="229">
        <v>8.9999999999999998E-4</v>
      </c>
      <c r="AC194" s="228">
        <v>0.16</v>
      </c>
      <c r="AD194" s="228">
        <v>0.21</v>
      </c>
      <c r="AE194" s="228">
        <v>-0.05</v>
      </c>
      <c r="AF194" s="229">
        <v>8.9999999999999998E-4</v>
      </c>
      <c r="AG194" s="228">
        <v>1.19</v>
      </c>
      <c r="AH194" s="228">
        <v>1.19</v>
      </c>
      <c r="AI194" s="228">
        <v>0</v>
      </c>
      <c r="AJ194" s="229">
        <v>6.7000000000000002E-3</v>
      </c>
      <c r="AK194" s="228">
        <v>2.36</v>
      </c>
      <c r="AL194" s="228">
        <v>2.36</v>
      </c>
      <c r="AM194" s="228">
        <v>0</v>
      </c>
      <c r="AN194" s="229">
        <v>1.34E-2</v>
      </c>
      <c r="AO194" s="228">
        <v>176.99</v>
      </c>
      <c r="AP194" s="228">
        <v>177.99</v>
      </c>
      <c r="AQ194" s="228">
        <v>0</v>
      </c>
      <c r="AR194" s="230">
        <v>165676500</v>
      </c>
      <c r="AS194" s="230">
        <v>146030500</v>
      </c>
      <c r="AT194" s="230">
        <v>19646000</v>
      </c>
      <c r="AU194" s="229">
        <v>0.13450000000000001</v>
      </c>
      <c r="AV194" s="230">
        <v>75922000</v>
      </c>
      <c r="AW194" s="230">
        <v>73529500</v>
      </c>
      <c r="AX194" s="230">
        <v>2392500</v>
      </c>
      <c r="AY194" s="229">
        <v>3.2500000000000001E-2</v>
      </c>
      <c r="AZ194" s="230">
        <v>87818500</v>
      </c>
      <c r="BA194" s="230">
        <v>71148000</v>
      </c>
      <c r="BB194" s="230">
        <v>16670500</v>
      </c>
      <c r="BC194" s="229">
        <v>0.23430000000000001</v>
      </c>
      <c r="BD194" s="230">
        <v>1936000</v>
      </c>
      <c r="BE194" s="230">
        <v>1353000</v>
      </c>
      <c r="BF194" s="230">
        <v>583000</v>
      </c>
      <c r="BG194" s="229">
        <v>0.43090000000000001</v>
      </c>
      <c r="BH194" s="230">
        <v>167997500</v>
      </c>
      <c r="BI194" s="230">
        <v>210441000</v>
      </c>
      <c r="BJ194" s="230">
        <v>-42443500</v>
      </c>
      <c r="BK194" s="229">
        <v>-0.20169999999999999</v>
      </c>
      <c r="BL194" s="230">
        <v>114114000</v>
      </c>
      <c r="BM194" s="230">
        <v>91316500</v>
      </c>
      <c r="BN194" s="230">
        <v>22797500</v>
      </c>
      <c r="BO194" s="229">
        <v>0.24970000000000001</v>
      </c>
      <c r="BP194" s="230">
        <v>447788000</v>
      </c>
      <c r="BQ194" s="230">
        <v>447788000</v>
      </c>
      <c r="BR194" s="228">
        <v>0</v>
      </c>
      <c r="BS194" s="229">
        <v>0</v>
      </c>
      <c r="BT194" s="230">
        <v>25947464</v>
      </c>
      <c r="BU194" s="230">
        <v>27017473</v>
      </c>
      <c r="BV194" s="230">
        <v>-1070009</v>
      </c>
      <c r="BW194" s="229">
        <v>-3.9600000000000003E-2</v>
      </c>
      <c r="BX194" s="230">
        <v>216777000</v>
      </c>
      <c r="BY194" s="230">
        <v>212866500</v>
      </c>
      <c r="BZ194" s="230">
        <v>3910500</v>
      </c>
      <c r="CA194" s="229">
        <v>1.84E-2</v>
      </c>
      <c r="CB194" s="230">
        <v>37191000</v>
      </c>
      <c r="CC194" s="230">
        <v>97537000</v>
      </c>
      <c r="CD194" s="230">
        <v>-60346000</v>
      </c>
      <c r="CE194" s="229">
        <v>-0.61870000000000003</v>
      </c>
      <c r="CF194" s="230">
        <v>177028500</v>
      </c>
      <c r="CG194" s="230">
        <v>113261500</v>
      </c>
      <c r="CH194" s="230">
        <v>63767000</v>
      </c>
      <c r="CI194" s="229">
        <v>0.56299999999999994</v>
      </c>
      <c r="CJ194" s="230">
        <v>2557500</v>
      </c>
      <c r="CK194" s="230">
        <v>2068000</v>
      </c>
      <c r="CL194" s="230">
        <v>489500</v>
      </c>
      <c r="CM194" s="229">
        <v>0.23669999999999999</v>
      </c>
      <c r="CN194" s="230">
        <v>113685000</v>
      </c>
      <c r="CO194" s="230">
        <v>123640000</v>
      </c>
      <c r="CP194" s="230">
        <v>-9955000</v>
      </c>
      <c r="CQ194" s="229">
        <v>-8.0500000000000002E-2</v>
      </c>
      <c r="CR194" s="230">
        <v>92350500</v>
      </c>
      <c r="CS194" s="230">
        <v>92537500</v>
      </c>
      <c r="CT194" s="230">
        <v>-187000</v>
      </c>
      <c r="CU194" s="229">
        <v>-2E-3</v>
      </c>
      <c r="CV194" s="230">
        <v>422812500</v>
      </c>
      <c r="CW194" s="230">
        <v>429044000</v>
      </c>
      <c r="CX194" s="230">
        <v>-6231500</v>
      </c>
      <c r="CY194" s="229">
        <v>-1.4500000000000001E-2</v>
      </c>
      <c r="CZ194" s="228">
        <v>26.74</v>
      </c>
      <c r="DA194" s="228">
        <v>26.11</v>
      </c>
      <c r="DB194" s="228">
        <v>0.63</v>
      </c>
      <c r="DC194" s="228">
        <v>0.63</v>
      </c>
      <c r="DD194" s="228">
        <v>33.9</v>
      </c>
      <c r="DE194" s="228">
        <v>33.94</v>
      </c>
      <c r="DF194" s="228">
        <v>-7.16</v>
      </c>
      <c r="DG194" s="228">
        <v>-0.04</v>
      </c>
      <c r="DH194" s="228">
        <v>26.81</v>
      </c>
      <c r="DI194" s="228">
        <v>26.31</v>
      </c>
      <c r="DJ194" s="228">
        <v>0.5</v>
      </c>
      <c r="DK194" s="228">
        <v>0.5</v>
      </c>
      <c r="DL194" s="228">
        <v>26.63</v>
      </c>
      <c r="DM194" s="228">
        <v>25.66</v>
      </c>
      <c r="DN194" s="228">
        <v>0.97</v>
      </c>
      <c r="DO194" s="228">
        <v>0.97</v>
      </c>
      <c r="DP194" s="228">
        <v>0.81</v>
      </c>
      <c r="DQ194" s="228">
        <v>0.75</v>
      </c>
      <c r="DR194" s="228">
        <v>0.06</v>
      </c>
      <c r="DS194" s="229">
        <v>0.08</v>
      </c>
      <c r="DT194" s="228">
        <v>180</v>
      </c>
      <c r="DU194" s="228">
        <v>170</v>
      </c>
      <c r="DV194" s="228">
        <v>0.68</v>
      </c>
      <c r="DW194" s="228">
        <v>0.43</v>
      </c>
      <c r="DX194" s="228">
        <v>0.25</v>
      </c>
      <c r="DY194" s="229">
        <v>0.58140000000000003</v>
      </c>
      <c r="DZ194" s="229">
        <v>0.82840000000000003</v>
      </c>
      <c r="EA194" s="230">
        <v>115329500</v>
      </c>
      <c r="EB194" s="229">
        <v>5.7999999999999996E-3</v>
      </c>
      <c r="EC194" s="229">
        <v>0.82840000000000003</v>
      </c>
      <c r="ED194" s="228">
        <v>1</v>
      </c>
      <c r="EE194" s="229">
        <v>5.7000000000000002E-3</v>
      </c>
      <c r="EF194" s="230">
        <v>13138167</v>
      </c>
      <c r="EG194" s="230">
        <v>12172643</v>
      </c>
      <c r="EH194" s="229">
        <v>7.9299999999999995E-2</v>
      </c>
      <c r="EI194" s="229">
        <v>0.50629999999999997</v>
      </c>
      <c r="EJ194" s="231">
        <v>305079.14</v>
      </c>
      <c r="EK194" s="231">
        <v>198860.95</v>
      </c>
      <c r="EL194" s="231">
        <v>294155.02</v>
      </c>
      <c r="EM194" s="231">
        <v>14220</v>
      </c>
      <c r="EN194" s="231">
        <v>798095.11</v>
      </c>
      <c r="EO194" s="231">
        <v>795627.43</v>
      </c>
      <c r="EP194" s="231">
        <v>2467.6799999999998</v>
      </c>
      <c r="EQ194" s="229">
        <v>3.0999999999999999E-3</v>
      </c>
      <c r="ER194" s="231">
        <v>206052</v>
      </c>
      <c r="ES194" s="231">
        <v>153397</v>
      </c>
      <c r="ET194" s="231">
        <v>385185</v>
      </c>
      <c r="EU194" s="231">
        <v>833987639</v>
      </c>
      <c r="EV194" s="231">
        <v>744633</v>
      </c>
      <c r="EW194" s="231">
        <v>749057</v>
      </c>
      <c r="EX194" s="231">
        <v>-4424</v>
      </c>
      <c r="EY194" s="229">
        <v>-5.8999999999999999E-3</v>
      </c>
      <c r="EZ194" s="229">
        <v>0.50700000000000001</v>
      </c>
      <c r="FA194" s="227" t="s">
        <v>555</v>
      </c>
      <c r="FB194" s="161">
        <f t="shared" si="4"/>
        <v>0</v>
      </c>
    </row>
    <row r="195" spans="1:158" ht="17.25" thickBot="1" x14ac:dyDescent="0.3">
      <c r="A195" s="226">
        <v>45957</v>
      </c>
      <c r="B195" s="227" t="s">
        <v>221</v>
      </c>
      <c r="C195" s="227" t="s">
        <v>664</v>
      </c>
      <c r="D195" s="228">
        <v>800</v>
      </c>
      <c r="E195" s="228">
        <v>697.8</v>
      </c>
      <c r="F195" s="228">
        <v>691.15</v>
      </c>
      <c r="G195" s="228">
        <v>6.65</v>
      </c>
      <c r="H195" s="229">
        <v>9.5999999999999992E-3</v>
      </c>
      <c r="I195" s="228">
        <v>695.8</v>
      </c>
      <c r="J195" s="228">
        <v>689.65</v>
      </c>
      <c r="K195" s="228">
        <v>6.15</v>
      </c>
      <c r="L195" s="229">
        <v>8.8999999999999999E-3</v>
      </c>
      <c r="M195" s="228">
        <v>697.8</v>
      </c>
      <c r="N195" s="228">
        <v>691.15</v>
      </c>
      <c r="O195" s="228">
        <v>6.65</v>
      </c>
      <c r="P195" s="229">
        <v>9.5999999999999992E-3</v>
      </c>
      <c r="Q195" s="228">
        <v>698.75</v>
      </c>
      <c r="R195" s="228">
        <v>691.3</v>
      </c>
      <c r="S195" s="228">
        <v>7.45</v>
      </c>
      <c r="T195" s="229">
        <v>1.0800000000000001E-2</v>
      </c>
      <c r="U195" s="228">
        <v>701.3</v>
      </c>
      <c r="V195" s="228">
        <v>693.4</v>
      </c>
      <c r="W195" s="228">
        <v>7.9</v>
      </c>
      <c r="X195" s="229">
        <v>1.14E-2</v>
      </c>
      <c r="Y195" s="228">
        <v>2</v>
      </c>
      <c r="Z195" s="228">
        <v>1.5</v>
      </c>
      <c r="AA195" s="228">
        <v>0.5</v>
      </c>
      <c r="AB195" s="229">
        <v>2.8999999999999998E-3</v>
      </c>
      <c r="AC195" s="228">
        <v>2</v>
      </c>
      <c r="AD195" s="228">
        <v>1.5</v>
      </c>
      <c r="AE195" s="228">
        <v>0.5</v>
      </c>
      <c r="AF195" s="229">
        <v>2.8999999999999998E-3</v>
      </c>
      <c r="AG195" s="228">
        <v>2.95</v>
      </c>
      <c r="AH195" s="228">
        <v>1.65</v>
      </c>
      <c r="AI195" s="228">
        <v>1.3</v>
      </c>
      <c r="AJ195" s="229">
        <v>4.1999999999999997E-3</v>
      </c>
      <c r="AK195" s="228">
        <v>5.5</v>
      </c>
      <c r="AL195" s="228">
        <v>3.75</v>
      </c>
      <c r="AM195" s="228">
        <v>1.75</v>
      </c>
      <c r="AN195" s="229">
        <v>7.9000000000000008E-3</v>
      </c>
      <c r="AO195" s="228">
        <v>696.77</v>
      </c>
      <c r="AP195" s="228">
        <v>697.92</v>
      </c>
      <c r="AQ195" s="228">
        <v>0</v>
      </c>
      <c r="AR195" s="230">
        <v>8632800</v>
      </c>
      <c r="AS195" s="230">
        <v>8472800</v>
      </c>
      <c r="AT195" s="230">
        <v>160000</v>
      </c>
      <c r="AU195" s="229">
        <v>1.89E-2</v>
      </c>
      <c r="AV195" s="230">
        <v>4248000</v>
      </c>
      <c r="AW195" s="230">
        <v>4140800</v>
      </c>
      <c r="AX195" s="230">
        <v>107200</v>
      </c>
      <c r="AY195" s="229">
        <v>2.5899999999999999E-2</v>
      </c>
      <c r="AZ195" s="230">
        <v>4272000</v>
      </c>
      <c r="BA195" s="230">
        <v>4215200</v>
      </c>
      <c r="BB195" s="230">
        <v>56800</v>
      </c>
      <c r="BC195" s="229">
        <v>1.35E-2</v>
      </c>
      <c r="BD195" s="230">
        <v>112800</v>
      </c>
      <c r="BE195" s="230">
        <v>116800</v>
      </c>
      <c r="BF195" s="230">
        <v>-4000</v>
      </c>
      <c r="BG195" s="229">
        <v>-3.4200000000000001E-2</v>
      </c>
      <c r="BH195" s="230">
        <v>4712000</v>
      </c>
      <c r="BI195" s="230">
        <v>4720000</v>
      </c>
      <c r="BJ195" s="230">
        <v>-8000</v>
      </c>
      <c r="BK195" s="229">
        <v>-1.6999999999999999E-3</v>
      </c>
      <c r="BL195" s="230">
        <v>2383200</v>
      </c>
      <c r="BM195" s="230">
        <v>2210400</v>
      </c>
      <c r="BN195" s="230">
        <v>172800</v>
      </c>
      <c r="BO195" s="229">
        <v>7.8200000000000006E-2</v>
      </c>
      <c r="BP195" s="230">
        <v>15728000</v>
      </c>
      <c r="BQ195" s="230">
        <v>15403200</v>
      </c>
      <c r="BR195" s="230">
        <v>324800</v>
      </c>
      <c r="BS195" s="229">
        <v>2.1100000000000001E-2</v>
      </c>
      <c r="BT195" s="230">
        <v>561361</v>
      </c>
      <c r="BU195" s="230">
        <v>410196</v>
      </c>
      <c r="BV195" s="230">
        <v>151165</v>
      </c>
      <c r="BW195" s="229">
        <v>0.36849999999999999</v>
      </c>
      <c r="BX195" s="230">
        <v>10766400</v>
      </c>
      <c r="BY195" s="230">
        <v>10846400</v>
      </c>
      <c r="BZ195" s="230">
        <v>-80000</v>
      </c>
      <c r="CA195" s="229">
        <v>-7.4000000000000003E-3</v>
      </c>
      <c r="CB195" s="230">
        <v>2267200</v>
      </c>
      <c r="CC195" s="230">
        <v>4652000</v>
      </c>
      <c r="CD195" s="230">
        <v>-2384800</v>
      </c>
      <c r="CE195" s="229">
        <v>-0.51259999999999994</v>
      </c>
      <c r="CF195" s="230">
        <v>8230400</v>
      </c>
      <c r="CG195" s="230">
        <v>5965600</v>
      </c>
      <c r="CH195" s="230">
        <v>2264800</v>
      </c>
      <c r="CI195" s="229">
        <v>0.37959999999999999</v>
      </c>
      <c r="CJ195" s="230">
        <v>268800</v>
      </c>
      <c r="CK195" s="230">
        <v>228800</v>
      </c>
      <c r="CL195" s="230">
        <v>40000</v>
      </c>
      <c r="CM195" s="229">
        <v>0.17480000000000001</v>
      </c>
      <c r="CN195" s="230">
        <v>4715200</v>
      </c>
      <c r="CO195" s="230">
        <v>4870400</v>
      </c>
      <c r="CP195" s="230">
        <v>-155200</v>
      </c>
      <c r="CQ195" s="229">
        <v>-3.1899999999999998E-2</v>
      </c>
      <c r="CR195" s="230">
        <v>2655200</v>
      </c>
      <c r="CS195" s="230">
        <v>2748000</v>
      </c>
      <c r="CT195" s="230">
        <v>-92800</v>
      </c>
      <c r="CU195" s="229">
        <v>-3.3799999999999997E-2</v>
      </c>
      <c r="CV195" s="230">
        <v>18136800</v>
      </c>
      <c r="CW195" s="230">
        <v>18464800</v>
      </c>
      <c r="CX195" s="230">
        <v>-328000</v>
      </c>
      <c r="CY195" s="229">
        <v>-1.78E-2</v>
      </c>
      <c r="CZ195" s="228">
        <v>23.85</v>
      </c>
      <c r="DA195" s="228">
        <v>23.97</v>
      </c>
      <c r="DB195" s="228">
        <v>-0.12</v>
      </c>
      <c r="DC195" s="228">
        <v>-0.12</v>
      </c>
      <c r="DD195" s="228">
        <v>31.23</v>
      </c>
      <c r="DE195" s="228">
        <v>31.28</v>
      </c>
      <c r="DF195" s="228">
        <v>-7.38</v>
      </c>
      <c r="DG195" s="228">
        <v>-0.05</v>
      </c>
      <c r="DH195" s="228">
        <v>24.07</v>
      </c>
      <c r="DI195" s="228">
        <v>24.65</v>
      </c>
      <c r="DJ195" s="228">
        <v>-0.57999999999999996</v>
      </c>
      <c r="DK195" s="228">
        <v>-0.57999999999999996</v>
      </c>
      <c r="DL195" s="228">
        <v>23.48</v>
      </c>
      <c r="DM195" s="228">
        <v>23.11</v>
      </c>
      <c r="DN195" s="228">
        <v>0.37</v>
      </c>
      <c r="DO195" s="228">
        <v>0.37</v>
      </c>
      <c r="DP195" s="228">
        <v>0.56000000000000005</v>
      </c>
      <c r="DQ195" s="228">
        <v>0.56000000000000005</v>
      </c>
      <c r="DR195" s="228">
        <v>0</v>
      </c>
      <c r="DS195" s="229">
        <v>0</v>
      </c>
      <c r="DT195" s="228">
        <v>750</v>
      </c>
      <c r="DU195" s="228">
        <v>700</v>
      </c>
      <c r="DV195" s="228">
        <v>0.51</v>
      </c>
      <c r="DW195" s="228">
        <v>0.47</v>
      </c>
      <c r="DX195" s="228">
        <v>0.04</v>
      </c>
      <c r="DY195" s="229">
        <v>8.5099999999999995E-2</v>
      </c>
      <c r="DZ195" s="229">
        <v>0.78939999999999999</v>
      </c>
      <c r="EA195" s="230">
        <v>6194400</v>
      </c>
      <c r="EB195" s="229">
        <v>1.4E-3</v>
      </c>
      <c r="EC195" s="229">
        <v>0.78939999999999999</v>
      </c>
      <c r="ED195" s="228">
        <v>1.1499999999999999</v>
      </c>
      <c r="EE195" s="229">
        <v>1.6999999999999999E-3</v>
      </c>
      <c r="EF195" s="230">
        <v>311089</v>
      </c>
      <c r="EG195" s="230">
        <v>179309</v>
      </c>
      <c r="EH195" s="229">
        <v>0.7349</v>
      </c>
      <c r="EI195" s="229">
        <v>0.55420000000000003</v>
      </c>
      <c r="EJ195" s="231">
        <v>34065.82</v>
      </c>
      <c r="EK195" s="231">
        <v>16601.580000000002</v>
      </c>
      <c r="EL195" s="231">
        <v>60203.5</v>
      </c>
      <c r="EM195" s="231">
        <v>6295</v>
      </c>
      <c r="EN195" s="231">
        <v>110870.9</v>
      </c>
      <c r="EO195" s="231">
        <v>107999.48</v>
      </c>
      <c r="EP195" s="231">
        <v>2871.42</v>
      </c>
      <c r="EQ195" s="229">
        <v>2.6599999999999999E-2</v>
      </c>
      <c r="ER195" s="231">
        <v>34453</v>
      </c>
      <c r="ES195" s="231">
        <v>18152</v>
      </c>
      <c r="ET195" s="231">
        <v>75216</v>
      </c>
      <c r="EU195" s="231">
        <v>27246569</v>
      </c>
      <c r="EV195" s="231">
        <v>127821</v>
      </c>
      <c r="EW195" s="231">
        <v>129249</v>
      </c>
      <c r="EX195" s="231">
        <v>-1428</v>
      </c>
      <c r="EY195" s="229">
        <v>-1.0999999999999999E-2</v>
      </c>
      <c r="EZ195" s="229">
        <v>0.66569999999999996</v>
      </c>
      <c r="FA195" s="227" t="s">
        <v>556</v>
      </c>
      <c r="FB195" s="161">
        <f t="shared" ref="FB195:FB258" si="5">BX262-CB262</f>
        <v>0</v>
      </c>
    </row>
    <row r="196" spans="1:158" ht="17.25" thickBot="1" x14ac:dyDescent="0.3">
      <c r="A196" s="226">
        <v>45957</v>
      </c>
      <c r="B196" s="227" t="s">
        <v>221</v>
      </c>
      <c r="C196" s="227" t="s">
        <v>295</v>
      </c>
      <c r="D196" s="228">
        <v>175</v>
      </c>
      <c r="E196" s="231">
        <v>3081.8</v>
      </c>
      <c r="F196" s="231">
        <v>3060.4</v>
      </c>
      <c r="G196" s="228">
        <v>21.4</v>
      </c>
      <c r="H196" s="229">
        <v>7.0000000000000001E-3</v>
      </c>
      <c r="I196" s="231">
        <v>3084.9</v>
      </c>
      <c r="J196" s="231">
        <v>3063.2</v>
      </c>
      <c r="K196" s="228">
        <v>21.7</v>
      </c>
      <c r="L196" s="229">
        <v>7.1000000000000004E-3</v>
      </c>
      <c r="M196" s="231">
        <v>3081.8</v>
      </c>
      <c r="N196" s="231">
        <v>3060.4</v>
      </c>
      <c r="O196" s="228">
        <v>21.4</v>
      </c>
      <c r="P196" s="229">
        <v>7.0000000000000001E-3</v>
      </c>
      <c r="Q196" s="231">
        <v>3098.2</v>
      </c>
      <c r="R196" s="231">
        <v>3076.4</v>
      </c>
      <c r="S196" s="228">
        <v>21.8</v>
      </c>
      <c r="T196" s="229">
        <v>7.1000000000000004E-3</v>
      </c>
      <c r="U196" s="231">
        <v>3116.3</v>
      </c>
      <c r="V196" s="231">
        <v>3095.3</v>
      </c>
      <c r="W196" s="228">
        <v>21</v>
      </c>
      <c r="X196" s="229">
        <v>6.7999999999999996E-3</v>
      </c>
      <c r="Y196" s="228">
        <v>-3.1</v>
      </c>
      <c r="Z196" s="228">
        <v>-2.8</v>
      </c>
      <c r="AA196" s="228">
        <v>-0.3</v>
      </c>
      <c r="AB196" s="229">
        <v>-1E-3</v>
      </c>
      <c r="AC196" s="228">
        <v>-3.1</v>
      </c>
      <c r="AD196" s="228">
        <v>-2.8</v>
      </c>
      <c r="AE196" s="228">
        <v>-0.3</v>
      </c>
      <c r="AF196" s="229">
        <v>-1E-3</v>
      </c>
      <c r="AG196" s="228">
        <v>13.3</v>
      </c>
      <c r="AH196" s="228">
        <v>13.2</v>
      </c>
      <c r="AI196" s="228">
        <v>0.1</v>
      </c>
      <c r="AJ196" s="229">
        <v>4.3E-3</v>
      </c>
      <c r="AK196" s="228">
        <v>31.4</v>
      </c>
      <c r="AL196" s="228">
        <v>32.1</v>
      </c>
      <c r="AM196" s="228">
        <v>-0.7</v>
      </c>
      <c r="AN196" s="229">
        <v>1.0200000000000001E-2</v>
      </c>
      <c r="AO196" s="231">
        <v>3081.79</v>
      </c>
      <c r="AP196" s="231">
        <v>3098.54</v>
      </c>
      <c r="AQ196" s="228">
        <v>0</v>
      </c>
      <c r="AR196" s="230">
        <v>15493975</v>
      </c>
      <c r="AS196" s="230">
        <v>14846300</v>
      </c>
      <c r="AT196" s="230">
        <v>647675</v>
      </c>
      <c r="AU196" s="229">
        <v>4.36E-2</v>
      </c>
      <c r="AV196" s="230">
        <v>7541800</v>
      </c>
      <c r="AW196" s="230">
        <v>7514850</v>
      </c>
      <c r="AX196" s="230">
        <v>26950</v>
      </c>
      <c r="AY196" s="229">
        <v>3.5999999999999999E-3</v>
      </c>
      <c r="AZ196" s="230">
        <v>7509600</v>
      </c>
      <c r="BA196" s="230">
        <v>7154875</v>
      </c>
      <c r="BB196" s="230">
        <v>354725</v>
      </c>
      <c r="BC196" s="229">
        <v>4.9599999999999998E-2</v>
      </c>
      <c r="BD196" s="230">
        <v>442575</v>
      </c>
      <c r="BE196" s="230">
        <v>176575</v>
      </c>
      <c r="BF196" s="230">
        <v>266000</v>
      </c>
      <c r="BG196" s="229">
        <v>1.5064</v>
      </c>
      <c r="BH196" s="230">
        <v>28341250</v>
      </c>
      <c r="BI196" s="230">
        <v>30412725</v>
      </c>
      <c r="BJ196" s="230">
        <v>-2071475</v>
      </c>
      <c r="BK196" s="229">
        <v>-6.8099999999999994E-2</v>
      </c>
      <c r="BL196" s="230">
        <v>13544475</v>
      </c>
      <c r="BM196" s="230">
        <v>17536750</v>
      </c>
      <c r="BN196" s="230">
        <v>-3992275</v>
      </c>
      <c r="BO196" s="229">
        <v>-0.22770000000000001</v>
      </c>
      <c r="BP196" s="230">
        <v>57379700</v>
      </c>
      <c r="BQ196" s="230">
        <v>62795775</v>
      </c>
      <c r="BR196" s="230">
        <v>-5416075</v>
      </c>
      <c r="BS196" s="229">
        <v>-8.6199999999999999E-2</v>
      </c>
      <c r="BT196" s="230">
        <v>1999162</v>
      </c>
      <c r="BU196" s="230">
        <v>2811486</v>
      </c>
      <c r="BV196" s="230">
        <v>-812324</v>
      </c>
      <c r="BW196" s="229">
        <v>-0.28889999999999999</v>
      </c>
      <c r="BX196" s="230">
        <v>28045325</v>
      </c>
      <c r="BY196" s="230">
        <v>28575750</v>
      </c>
      <c r="BZ196" s="230">
        <v>-530425</v>
      </c>
      <c r="CA196" s="229">
        <v>-1.8599999999999998E-2</v>
      </c>
      <c r="CB196" s="230">
        <v>4816000</v>
      </c>
      <c r="CC196" s="230">
        <v>10963575</v>
      </c>
      <c r="CD196" s="230">
        <v>-6147575</v>
      </c>
      <c r="CE196" s="229">
        <v>-0.56069999999999998</v>
      </c>
      <c r="CF196" s="230">
        <v>22437450</v>
      </c>
      <c r="CG196" s="230">
        <v>17082975</v>
      </c>
      <c r="CH196" s="230">
        <v>5354475</v>
      </c>
      <c r="CI196" s="229">
        <v>0.31340000000000001</v>
      </c>
      <c r="CJ196" s="230">
        <v>791875</v>
      </c>
      <c r="CK196" s="230">
        <v>529200</v>
      </c>
      <c r="CL196" s="230">
        <v>262675</v>
      </c>
      <c r="CM196" s="229">
        <v>0.49640000000000001</v>
      </c>
      <c r="CN196" s="230">
        <v>15667925</v>
      </c>
      <c r="CO196" s="230">
        <v>17886400</v>
      </c>
      <c r="CP196" s="230">
        <v>-2218475</v>
      </c>
      <c r="CQ196" s="229">
        <v>-0.124</v>
      </c>
      <c r="CR196" s="230">
        <v>10696700</v>
      </c>
      <c r="CS196" s="230">
        <v>11275425</v>
      </c>
      <c r="CT196" s="230">
        <v>-578725</v>
      </c>
      <c r="CU196" s="229">
        <v>-5.1299999999999998E-2</v>
      </c>
      <c r="CV196" s="230">
        <v>54409950</v>
      </c>
      <c r="CW196" s="230">
        <v>57737575</v>
      </c>
      <c r="CX196" s="230">
        <v>-3327625</v>
      </c>
      <c r="CY196" s="229">
        <v>-5.7599999999999998E-2</v>
      </c>
      <c r="CZ196" s="228">
        <v>19.64</v>
      </c>
      <c r="DA196" s="228">
        <v>19.670000000000002</v>
      </c>
      <c r="DB196" s="228">
        <v>-0.03</v>
      </c>
      <c r="DC196" s="228">
        <v>-0.03</v>
      </c>
      <c r="DD196" s="228">
        <v>24.49</v>
      </c>
      <c r="DE196" s="228">
        <v>24.53</v>
      </c>
      <c r="DF196" s="228">
        <v>-4.8499999999999996</v>
      </c>
      <c r="DG196" s="228">
        <v>-0.04</v>
      </c>
      <c r="DH196" s="228">
        <v>19.62</v>
      </c>
      <c r="DI196" s="228">
        <v>19.78</v>
      </c>
      <c r="DJ196" s="228">
        <v>-0.16</v>
      </c>
      <c r="DK196" s="228">
        <v>-0.16</v>
      </c>
      <c r="DL196" s="228">
        <v>19.670000000000002</v>
      </c>
      <c r="DM196" s="228">
        <v>19.45</v>
      </c>
      <c r="DN196" s="228">
        <v>0.22</v>
      </c>
      <c r="DO196" s="228">
        <v>0.22</v>
      </c>
      <c r="DP196" s="228">
        <v>0.68</v>
      </c>
      <c r="DQ196" s="228">
        <v>0.63</v>
      </c>
      <c r="DR196" s="228">
        <v>0.05</v>
      </c>
      <c r="DS196" s="229">
        <v>7.9399999999999998E-2</v>
      </c>
      <c r="DT196" s="231">
        <v>3200</v>
      </c>
      <c r="DU196" s="231">
        <v>3000</v>
      </c>
      <c r="DV196" s="228">
        <v>0.48</v>
      </c>
      <c r="DW196" s="228">
        <v>0.57999999999999996</v>
      </c>
      <c r="DX196" s="228">
        <v>-0.1</v>
      </c>
      <c r="DY196" s="229">
        <v>-0.1724</v>
      </c>
      <c r="DZ196" s="229">
        <v>0.82830000000000004</v>
      </c>
      <c r="EA196" s="230">
        <v>17612175</v>
      </c>
      <c r="EB196" s="229">
        <v>5.3E-3</v>
      </c>
      <c r="EC196" s="229">
        <v>0.82830000000000004</v>
      </c>
      <c r="ED196" s="228">
        <v>16.75</v>
      </c>
      <c r="EE196" s="229">
        <v>5.4000000000000003E-3</v>
      </c>
      <c r="EF196" s="230">
        <v>1299187</v>
      </c>
      <c r="EG196" s="230">
        <v>1810295</v>
      </c>
      <c r="EH196" s="229">
        <v>-0.2823</v>
      </c>
      <c r="EI196" s="229">
        <v>0.64990000000000003</v>
      </c>
      <c r="EJ196" s="231">
        <v>896135.66</v>
      </c>
      <c r="EK196" s="231">
        <v>415328.56</v>
      </c>
      <c r="EL196" s="231">
        <v>478907.87</v>
      </c>
      <c r="EM196" s="231">
        <v>66161</v>
      </c>
      <c r="EN196" s="231">
        <v>1790372.09</v>
      </c>
      <c r="EO196" s="231">
        <v>1953016.77</v>
      </c>
      <c r="EP196" s="231">
        <v>-162644.68</v>
      </c>
      <c r="EQ196" s="229">
        <v>-8.3299999999999999E-2</v>
      </c>
      <c r="ER196" s="231">
        <v>495429</v>
      </c>
      <c r="ES196" s="231">
        <v>320477</v>
      </c>
      <c r="ET196" s="231">
        <v>868254</v>
      </c>
      <c r="EU196" s="231">
        <v>123298271</v>
      </c>
      <c r="EV196" s="231">
        <v>1684159</v>
      </c>
      <c r="EW196" s="231">
        <v>1777913</v>
      </c>
      <c r="EX196" s="231">
        <v>-93754</v>
      </c>
      <c r="EY196" s="229">
        <v>-5.2699999999999997E-2</v>
      </c>
      <c r="EZ196" s="229">
        <v>0.44130000000000003</v>
      </c>
      <c r="FA196" s="227" t="s">
        <v>556</v>
      </c>
      <c r="FB196" s="161">
        <f t="shared" si="5"/>
        <v>0</v>
      </c>
    </row>
    <row r="197" spans="1:158" ht="17.25" thickBot="1" x14ac:dyDescent="0.3">
      <c r="A197" s="226">
        <v>45957</v>
      </c>
      <c r="B197" s="227" t="s">
        <v>221</v>
      </c>
      <c r="C197" s="227" t="s">
        <v>296</v>
      </c>
      <c r="D197" s="228">
        <v>600</v>
      </c>
      <c r="E197" s="231">
        <v>1463.2</v>
      </c>
      <c r="F197" s="231">
        <v>1453.4</v>
      </c>
      <c r="G197" s="228">
        <v>9.8000000000000007</v>
      </c>
      <c r="H197" s="229">
        <v>6.7000000000000002E-3</v>
      </c>
      <c r="I197" s="231">
        <v>1462.8</v>
      </c>
      <c r="J197" s="231">
        <v>1453.7</v>
      </c>
      <c r="K197" s="228">
        <v>9.1</v>
      </c>
      <c r="L197" s="229">
        <v>6.3E-3</v>
      </c>
      <c r="M197" s="231">
        <v>1463.2</v>
      </c>
      <c r="N197" s="231">
        <v>1453.4</v>
      </c>
      <c r="O197" s="228">
        <v>9.8000000000000007</v>
      </c>
      <c r="P197" s="229">
        <v>6.7000000000000002E-3</v>
      </c>
      <c r="Q197" s="231">
        <v>1471.2</v>
      </c>
      <c r="R197" s="231">
        <v>1461.3</v>
      </c>
      <c r="S197" s="228">
        <v>9.9</v>
      </c>
      <c r="T197" s="229">
        <v>6.7999999999999996E-3</v>
      </c>
      <c r="U197" s="231">
        <v>1481.4</v>
      </c>
      <c r="V197" s="231">
        <v>1470.8</v>
      </c>
      <c r="W197" s="228">
        <v>10.6</v>
      </c>
      <c r="X197" s="229">
        <v>7.1999999999999998E-3</v>
      </c>
      <c r="Y197" s="228">
        <v>0.4</v>
      </c>
      <c r="Z197" s="228">
        <v>-0.3</v>
      </c>
      <c r="AA197" s="228">
        <v>0.7</v>
      </c>
      <c r="AB197" s="229">
        <v>2.9999999999999997E-4</v>
      </c>
      <c r="AC197" s="228">
        <v>0.4</v>
      </c>
      <c r="AD197" s="228">
        <v>-0.3</v>
      </c>
      <c r="AE197" s="228">
        <v>0.7</v>
      </c>
      <c r="AF197" s="229">
        <v>2.9999999999999997E-4</v>
      </c>
      <c r="AG197" s="228">
        <v>8.4</v>
      </c>
      <c r="AH197" s="228">
        <v>7.6</v>
      </c>
      <c r="AI197" s="228">
        <v>0.8</v>
      </c>
      <c r="AJ197" s="229">
        <v>5.7000000000000002E-3</v>
      </c>
      <c r="AK197" s="228">
        <v>18.600000000000001</v>
      </c>
      <c r="AL197" s="228">
        <v>17.100000000000001</v>
      </c>
      <c r="AM197" s="228">
        <v>1.5</v>
      </c>
      <c r="AN197" s="229">
        <v>1.2699999999999999E-2</v>
      </c>
      <c r="AO197" s="231">
        <v>1466.89</v>
      </c>
      <c r="AP197" s="231">
        <v>1474.72</v>
      </c>
      <c r="AQ197" s="228">
        <v>0</v>
      </c>
      <c r="AR197" s="230">
        <v>13363200</v>
      </c>
      <c r="AS197" s="230">
        <v>9340200</v>
      </c>
      <c r="AT197" s="230">
        <v>4023000</v>
      </c>
      <c r="AU197" s="229">
        <v>0.43070000000000003</v>
      </c>
      <c r="AV197" s="230">
        <v>6524400</v>
      </c>
      <c r="AW197" s="230">
        <v>4656000</v>
      </c>
      <c r="AX197" s="230">
        <v>1868400</v>
      </c>
      <c r="AY197" s="229">
        <v>0.40129999999999999</v>
      </c>
      <c r="AZ197" s="230">
        <v>6779400</v>
      </c>
      <c r="BA197" s="230">
        <v>4644600</v>
      </c>
      <c r="BB197" s="230">
        <v>2134800</v>
      </c>
      <c r="BC197" s="229">
        <v>0.45960000000000001</v>
      </c>
      <c r="BD197" s="230">
        <v>59400</v>
      </c>
      <c r="BE197" s="230">
        <v>39600</v>
      </c>
      <c r="BF197" s="230">
        <v>19800</v>
      </c>
      <c r="BG197" s="229">
        <v>0.5</v>
      </c>
      <c r="BH197" s="230">
        <v>8131800</v>
      </c>
      <c r="BI197" s="230">
        <v>7742400</v>
      </c>
      <c r="BJ197" s="230">
        <v>389400</v>
      </c>
      <c r="BK197" s="229">
        <v>5.0299999999999997E-2</v>
      </c>
      <c r="BL197" s="230">
        <v>4527600</v>
      </c>
      <c r="BM197" s="230">
        <v>3234000</v>
      </c>
      <c r="BN197" s="230">
        <v>1293600</v>
      </c>
      <c r="BO197" s="229">
        <v>0.4</v>
      </c>
      <c r="BP197" s="230">
        <v>26022600</v>
      </c>
      <c r="BQ197" s="230">
        <v>20316600</v>
      </c>
      <c r="BR197" s="230">
        <v>5706000</v>
      </c>
      <c r="BS197" s="229">
        <v>0.28089999999999998</v>
      </c>
      <c r="BT197" s="230">
        <v>1052267</v>
      </c>
      <c r="BU197" s="230">
        <v>1028518</v>
      </c>
      <c r="BV197" s="230">
        <v>23749</v>
      </c>
      <c r="BW197" s="229">
        <v>2.3099999999999999E-2</v>
      </c>
      <c r="BX197" s="230">
        <v>17566800</v>
      </c>
      <c r="BY197" s="230">
        <v>17884200</v>
      </c>
      <c r="BZ197" s="230">
        <v>-317400</v>
      </c>
      <c r="CA197" s="229">
        <v>-1.77E-2</v>
      </c>
      <c r="CB197" s="230">
        <v>2971800</v>
      </c>
      <c r="CC197" s="230">
        <v>7900200</v>
      </c>
      <c r="CD197" s="230">
        <v>-4928400</v>
      </c>
      <c r="CE197" s="229">
        <v>-0.62380000000000002</v>
      </c>
      <c r="CF197" s="230">
        <v>14427000</v>
      </c>
      <c r="CG197" s="230">
        <v>9843000</v>
      </c>
      <c r="CH197" s="230">
        <v>4584000</v>
      </c>
      <c r="CI197" s="229">
        <v>0.4657</v>
      </c>
      <c r="CJ197" s="230">
        <v>168000</v>
      </c>
      <c r="CK197" s="230">
        <v>141000</v>
      </c>
      <c r="CL197" s="230">
        <v>27000</v>
      </c>
      <c r="CM197" s="229">
        <v>0.1915</v>
      </c>
      <c r="CN197" s="230">
        <v>5544000</v>
      </c>
      <c r="CO197" s="230">
        <v>6327600</v>
      </c>
      <c r="CP197" s="230">
        <v>-783600</v>
      </c>
      <c r="CQ197" s="229">
        <v>-0.12379999999999999</v>
      </c>
      <c r="CR197" s="230">
        <v>4786200</v>
      </c>
      <c r="CS197" s="230">
        <v>4912800</v>
      </c>
      <c r="CT197" s="230">
        <v>-126600</v>
      </c>
      <c r="CU197" s="229">
        <v>-2.58E-2</v>
      </c>
      <c r="CV197" s="230">
        <v>27897000</v>
      </c>
      <c r="CW197" s="230">
        <v>29124600</v>
      </c>
      <c r="CX197" s="230">
        <v>-1227600</v>
      </c>
      <c r="CY197" s="229">
        <v>-4.2099999999999999E-2</v>
      </c>
      <c r="CZ197" s="228">
        <v>22.5</v>
      </c>
      <c r="DA197" s="228">
        <v>22.67</v>
      </c>
      <c r="DB197" s="228">
        <v>-0.17</v>
      </c>
      <c r="DC197" s="228">
        <v>-0.17</v>
      </c>
      <c r="DD197" s="228">
        <v>29.63</v>
      </c>
      <c r="DE197" s="228">
        <v>29.7</v>
      </c>
      <c r="DF197" s="228">
        <v>-7.13</v>
      </c>
      <c r="DG197" s="228">
        <v>-7.0000000000000007E-2</v>
      </c>
      <c r="DH197" s="228">
        <v>22.69</v>
      </c>
      <c r="DI197" s="228">
        <v>22.78</v>
      </c>
      <c r="DJ197" s="228">
        <v>-0.09</v>
      </c>
      <c r="DK197" s="228">
        <v>-0.09</v>
      </c>
      <c r="DL197" s="228">
        <v>22.09</v>
      </c>
      <c r="DM197" s="228">
        <v>22.39</v>
      </c>
      <c r="DN197" s="228">
        <v>-0.3</v>
      </c>
      <c r="DO197" s="228">
        <v>-0.3</v>
      </c>
      <c r="DP197" s="228">
        <v>0.86</v>
      </c>
      <c r="DQ197" s="228">
        <v>0.78</v>
      </c>
      <c r="DR197" s="228">
        <v>0.08</v>
      </c>
      <c r="DS197" s="229">
        <v>0.1026</v>
      </c>
      <c r="DT197" s="231">
        <v>1500</v>
      </c>
      <c r="DU197" s="231">
        <v>1400</v>
      </c>
      <c r="DV197" s="228">
        <v>0.56000000000000005</v>
      </c>
      <c r="DW197" s="228">
        <v>0.42</v>
      </c>
      <c r="DX197" s="228">
        <v>0.14000000000000001</v>
      </c>
      <c r="DY197" s="229">
        <v>0.33329999999999999</v>
      </c>
      <c r="DZ197" s="229">
        <v>0.83079999999999998</v>
      </c>
      <c r="EA197" s="230">
        <v>9984000</v>
      </c>
      <c r="EB197" s="229">
        <v>5.4999999999999997E-3</v>
      </c>
      <c r="EC197" s="229">
        <v>0.83079999999999998</v>
      </c>
      <c r="ED197" s="228">
        <v>7.83</v>
      </c>
      <c r="EE197" s="229">
        <v>5.3E-3</v>
      </c>
      <c r="EF197" s="230">
        <v>581458</v>
      </c>
      <c r="EG197" s="230">
        <v>613895</v>
      </c>
      <c r="EH197" s="229">
        <v>-5.28E-2</v>
      </c>
      <c r="EI197" s="229">
        <v>0.55259999999999998</v>
      </c>
      <c r="EJ197" s="231">
        <v>123010.56</v>
      </c>
      <c r="EK197" s="231">
        <v>65984.62</v>
      </c>
      <c r="EL197" s="231">
        <v>196563.67</v>
      </c>
      <c r="EM197" s="231">
        <v>11174</v>
      </c>
      <c r="EN197" s="231">
        <v>385558.85</v>
      </c>
      <c r="EO197" s="231">
        <v>300605.56</v>
      </c>
      <c r="EP197" s="231">
        <v>84953.29</v>
      </c>
      <c r="EQ197" s="229">
        <v>0.28260000000000002</v>
      </c>
      <c r="ER197" s="231">
        <v>85010</v>
      </c>
      <c r="ES197" s="231">
        <v>67314</v>
      </c>
      <c r="ET197" s="231">
        <v>258222</v>
      </c>
      <c r="EU197" s="231">
        <v>76137451</v>
      </c>
      <c r="EV197" s="231">
        <v>410546</v>
      </c>
      <c r="EW197" s="231">
        <v>426425</v>
      </c>
      <c r="EX197" s="231">
        <v>-15879</v>
      </c>
      <c r="EY197" s="229">
        <v>-3.7199999999999997E-2</v>
      </c>
      <c r="EZ197" s="229">
        <v>0.3664</v>
      </c>
      <c r="FA197" s="227" t="s">
        <v>556</v>
      </c>
      <c r="FB197" s="161">
        <f t="shared" si="5"/>
        <v>0</v>
      </c>
    </row>
    <row r="198" spans="1:158" ht="17.25" thickBot="1" x14ac:dyDescent="0.3">
      <c r="A198" s="226">
        <v>45957</v>
      </c>
      <c r="B198" s="227" t="s">
        <v>184</v>
      </c>
      <c r="C198" s="227" t="s">
        <v>595</v>
      </c>
      <c r="D198" s="228">
        <v>200</v>
      </c>
      <c r="E198" s="231">
        <v>3128.6</v>
      </c>
      <c r="F198" s="231">
        <v>3158.6</v>
      </c>
      <c r="G198" s="228">
        <v>-30</v>
      </c>
      <c r="H198" s="229">
        <v>-9.4999999999999998E-3</v>
      </c>
      <c r="I198" s="231">
        <v>3133.8</v>
      </c>
      <c r="J198" s="231">
        <v>3159.2</v>
      </c>
      <c r="K198" s="228">
        <v>-25.4</v>
      </c>
      <c r="L198" s="229">
        <v>-8.0000000000000002E-3</v>
      </c>
      <c r="M198" s="231">
        <v>3128.6</v>
      </c>
      <c r="N198" s="231">
        <v>3158.6</v>
      </c>
      <c r="O198" s="228">
        <v>-30</v>
      </c>
      <c r="P198" s="229">
        <v>-9.4999999999999998E-3</v>
      </c>
      <c r="Q198" s="231">
        <v>3146.4</v>
      </c>
      <c r="R198" s="231">
        <v>3175.2</v>
      </c>
      <c r="S198" s="228">
        <v>-28.8</v>
      </c>
      <c r="T198" s="229">
        <v>-9.1000000000000004E-3</v>
      </c>
      <c r="U198" s="231">
        <v>3167</v>
      </c>
      <c r="V198" s="231">
        <v>3205</v>
      </c>
      <c r="W198" s="228">
        <v>-38</v>
      </c>
      <c r="X198" s="229">
        <v>-1.1900000000000001E-2</v>
      </c>
      <c r="Y198" s="228">
        <v>-5.2</v>
      </c>
      <c r="Z198" s="228">
        <v>-0.6</v>
      </c>
      <c r="AA198" s="228">
        <v>-4.5999999999999996</v>
      </c>
      <c r="AB198" s="229">
        <v>-1.6999999999999999E-3</v>
      </c>
      <c r="AC198" s="228">
        <v>-5.2</v>
      </c>
      <c r="AD198" s="228">
        <v>-0.6</v>
      </c>
      <c r="AE198" s="228">
        <v>-4.5999999999999996</v>
      </c>
      <c r="AF198" s="229">
        <v>-1.6999999999999999E-3</v>
      </c>
      <c r="AG198" s="228">
        <v>12.6</v>
      </c>
      <c r="AH198" s="228">
        <v>16</v>
      </c>
      <c r="AI198" s="228">
        <v>-3.4</v>
      </c>
      <c r="AJ198" s="229">
        <v>4.0000000000000001E-3</v>
      </c>
      <c r="AK198" s="228">
        <v>33.200000000000003</v>
      </c>
      <c r="AL198" s="228">
        <v>45.8</v>
      </c>
      <c r="AM198" s="228">
        <v>-12.6</v>
      </c>
      <c r="AN198" s="229">
        <v>1.06E-2</v>
      </c>
      <c r="AO198" s="231">
        <v>3138.42</v>
      </c>
      <c r="AP198" s="231">
        <v>3156.14</v>
      </c>
      <c r="AQ198" s="228">
        <v>0</v>
      </c>
      <c r="AR198" s="230">
        <v>1485200</v>
      </c>
      <c r="AS198" s="230">
        <v>1781800</v>
      </c>
      <c r="AT198" s="230">
        <v>-296600</v>
      </c>
      <c r="AU198" s="229">
        <v>-0.16650000000000001</v>
      </c>
      <c r="AV198" s="230">
        <v>724400</v>
      </c>
      <c r="AW198" s="230">
        <v>890400</v>
      </c>
      <c r="AX198" s="230">
        <v>-166000</v>
      </c>
      <c r="AY198" s="229">
        <v>-0.18640000000000001</v>
      </c>
      <c r="AZ198" s="230">
        <v>757800</v>
      </c>
      <c r="BA198" s="230">
        <v>888400</v>
      </c>
      <c r="BB198" s="230">
        <v>-130600</v>
      </c>
      <c r="BC198" s="229">
        <v>-0.14699999999999999</v>
      </c>
      <c r="BD198" s="230">
        <v>3000</v>
      </c>
      <c r="BE198" s="230">
        <v>3000</v>
      </c>
      <c r="BF198" s="228">
        <v>0</v>
      </c>
      <c r="BG198" s="229">
        <v>0</v>
      </c>
      <c r="BH198" s="230">
        <v>1779200</v>
      </c>
      <c r="BI198" s="230">
        <v>4438600</v>
      </c>
      <c r="BJ198" s="230">
        <v>-2659400</v>
      </c>
      <c r="BK198" s="229">
        <v>-0.59919999999999995</v>
      </c>
      <c r="BL198" s="230">
        <v>408200</v>
      </c>
      <c r="BM198" s="230">
        <v>1156800</v>
      </c>
      <c r="BN198" s="230">
        <v>-748600</v>
      </c>
      <c r="BO198" s="229">
        <v>-0.64710000000000001</v>
      </c>
      <c r="BP198" s="230">
        <v>3672600</v>
      </c>
      <c r="BQ198" s="230">
        <v>7377200</v>
      </c>
      <c r="BR198" s="230">
        <v>-3704600</v>
      </c>
      <c r="BS198" s="229">
        <v>-0.50219999999999998</v>
      </c>
      <c r="BT198" s="230">
        <v>161908</v>
      </c>
      <c r="BU198" s="230">
        <v>324139</v>
      </c>
      <c r="BV198" s="230">
        <v>-162231</v>
      </c>
      <c r="BW198" s="229">
        <v>-0.50049999999999994</v>
      </c>
      <c r="BX198" s="230">
        <v>1987800</v>
      </c>
      <c r="BY198" s="230">
        <v>1979000</v>
      </c>
      <c r="BZ198" s="230">
        <v>8800</v>
      </c>
      <c r="CA198" s="229">
        <v>4.4000000000000003E-3</v>
      </c>
      <c r="CB198" s="230">
        <v>226200</v>
      </c>
      <c r="CC198" s="230">
        <v>811400</v>
      </c>
      <c r="CD198" s="230">
        <v>-585200</v>
      </c>
      <c r="CE198" s="229">
        <v>-0.72119999999999995</v>
      </c>
      <c r="CF198" s="230">
        <v>1749400</v>
      </c>
      <c r="CG198" s="230">
        <v>1158200</v>
      </c>
      <c r="CH198" s="230">
        <v>591200</v>
      </c>
      <c r="CI198" s="229">
        <v>0.51039999999999996</v>
      </c>
      <c r="CJ198" s="230">
        <v>12200</v>
      </c>
      <c r="CK198" s="230">
        <v>9400</v>
      </c>
      <c r="CL198" s="230">
        <v>2800</v>
      </c>
      <c r="CM198" s="229">
        <v>0.2979</v>
      </c>
      <c r="CN198" s="230">
        <v>658200</v>
      </c>
      <c r="CO198" s="230">
        <v>770400</v>
      </c>
      <c r="CP198" s="230">
        <v>-112200</v>
      </c>
      <c r="CQ198" s="229">
        <v>-0.14560000000000001</v>
      </c>
      <c r="CR198" s="230">
        <v>282600</v>
      </c>
      <c r="CS198" s="230">
        <v>315600</v>
      </c>
      <c r="CT198" s="230">
        <v>-33000</v>
      </c>
      <c r="CU198" s="229">
        <v>-0.1046</v>
      </c>
      <c r="CV198" s="230">
        <v>2928600</v>
      </c>
      <c r="CW198" s="230">
        <v>3065000</v>
      </c>
      <c r="CX198" s="230">
        <v>-136400</v>
      </c>
      <c r="CY198" s="229">
        <v>-4.4499999999999998E-2</v>
      </c>
      <c r="CZ198" s="228">
        <v>34.14</v>
      </c>
      <c r="DA198" s="228">
        <v>32.89</v>
      </c>
      <c r="DB198" s="228">
        <v>1.25</v>
      </c>
      <c r="DC198" s="228">
        <v>1.25</v>
      </c>
      <c r="DD198" s="228">
        <v>42.47</v>
      </c>
      <c r="DE198" s="228">
        <v>42.56</v>
      </c>
      <c r="DF198" s="228">
        <v>-8.33</v>
      </c>
      <c r="DG198" s="228">
        <v>-0.09</v>
      </c>
      <c r="DH198" s="228">
        <v>33.97</v>
      </c>
      <c r="DI198" s="228">
        <v>32.86</v>
      </c>
      <c r="DJ198" s="228">
        <v>1.1100000000000001</v>
      </c>
      <c r="DK198" s="228">
        <v>1.1100000000000001</v>
      </c>
      <c r="DL198" s="228">
        <v>34.71</v>
      </c>
      <c r="DM198" s="228">
        <v>33</v>
      </c>
      <c r="DN198" s="228">
        <v>1.71</v>
      </c>
      <c r="DO198" s="228">
        <v>1.71</v>
      </c>
      <c r="DP198" s="228">
        <v>0.43</v>
      </c>
      <c r="DQ198" s="228">
        <v>0.41</v>
      </c>
      <c r="DR198" s="228">
        <v>0.02</v>
      </c>
      <c r="DS198" s="229">
        <v>4.8800000000000003E-2</v>
      </c>
      <c r="DT198" s="231">
        <v>3300</v>
      </c>
      <c r="DU198" s="231">
        <v>3050</v>
      </c>
      <c r="DV198" s="228">
        <v>0.23</v>
      </c>
      <c r="DW198" s="228">
        <v>0.26</v>
      </c>
      <c r="DX198" s="228">
        <v>-0.03</v>
      </c>
      <c r="DY198" s="229">
        <v>-0.1154</v>
      </c>
      <c r="DZ198" s="229">
        <v>0.88619999999999999</v>
      </c>
      <c r="EA198" s="230">
        <v>1167600</v>
      </c>
      <c r="EB198" s="229">
        <v>5.7000000000000002E-3</v>
      </c>
      <c r="EC198" s="229">
        <v>0.88619999999999999</v>
      </c>
      <c r="ED198" s="228">
        <v>17.72</v>
      </c>
      <c r="EE198" s="229">
        <v>5.5999999999999999E-3</v>
      </c>
      <c r="EF198" s="230">
        <v>100175</v>
      </c>
      <c r="EG198" s="230">
        <v>115043</v>
      </c>
      <c r="EH198" s="229">
        <v>-0.12920000000000001</v>
      </c>
      <c r="EI198" s="229">
        <v>0.61870000000000003</v>
      </c>
      <c r="EJ198" s="231">
        <v>57885.599999999999</v>
      </c>
      <c r="EK198" s="231">
        <v>12805.41</v>
      </c>
      <c r="EL198" s="231">
        <v>46747.05</v>
      </c>
      <c r="EM198" s="231">
        <v>4131</v>
      </c>
      <c r="EN198" s="231">
        <v>117438.06</v>
      </c>
      <c r="EO198" s="231">
        <v>240361.2</v>
      </c>
      <c r="EP198" s="231">
        <v>-122923.14</v>
      </c>
      <c r="EQ198" s="229">
        <v>-0.51139999999999997</v>
      </c>
      <c r="ER198" s="231">
        <v>21753</v>
      </c>
      <c r="ES198" s="231">
        <v>8732</v>
      </c>
      <c r="ET198" s="231">
        <v>62506</v>
      </c>
      <c r="EU198" s="231">
        <v>14039249</v>
      </c>
      <c r="EV198" s="231">
        <v>92992</v>
      </c>
      <c r="EW198" s="231">
        <v>97942</v>
      </c>
      <c r="EX198" s="231">
        <v>-4950</v>
      </c>
      <c r="EY198" s="229">
        <v>-5.0500000000000003E-2</v>
      </c>
      <c r="EZ198" s="229">
        <v>0.20860000000000001</v>
      </c>
      <c r="FA198" s="227" t="s">
        <v>567</v>
      </c>
      <c r="FB198" s="161">
        <f t="shared" si="5"/>
        <v>0</v>
      </c>
    </row>
    <row r="199" spans="1:158" ht="17.25" thickBot="1" x14ac:dyDescent="0.3">
      <c r="A199" s="226">
        <v>45957</v>
      </c>
      <c r="B199" s="227" t="s">
        <v>184</v>
      </c>
      <c r="C199" s="227" t="s">
        <v>663</v>
      </c>
      <c r="D199" s="228">
        <v>725</v>
      </c>
      <c r="E199" s="228">
        <v>898.4</v>
      </c>
      <c r="F199" s="228">
        <v>875.2</v>
      </c>
      <c r="G199" s="228">
        <v>23.2</v>
      </c>
      <c r="H199" s="229">
        <v>2.6499999999999999E-2</v>
      </c>
      <c r="I199" s="228">
        <v>895.9</v>
      </c>
      <c r="J199" s="228">
        <v>874.7</v>
      </c>
      <c r="K199" s="228">
        <v>21.2</v>
      </c>
      <c r="L199" s="229">
        <v>2.4199999999999999E-2</v>
      </c>
      <c r="M199" s="228">
        <v>898.4</v>
      </c>
      <c r="N199" s="228">
        <v>875.2</v>
      </c>
      <c r="O199" s="228">
        <v>23.2</v>
      </c>
      <c r="P199" s="229">
        <v>2.6499999999999999E-2</v>
      </c>
      <c r="Q199" s="228">
        <v>901.85</v>
      </c>
      <c r="R199" s="228">
        <v>875.75</v>
      </c>
      <c r="S199" s="228">
        <v>26.1</v>
      </c>
      <c r="T199" s="229">
        <v>2.98E-2</v>
      </c>
      <c r="U199" s="228">
        <v>905.9</v>
      </c>
      <c r="V199" s="228">
        <v>879.5</v>
      </c>
      <c r="W199" s="228">
        <v>26.4</v>
      </c>
      <c r="X199" s="229">
        <v>0.03</v>
      </c>
      <c r="Y199" s="228">
        <v>2.5</v>
      </c>
      <c r="Z199" s="228">
        <v>0.5</v>
      </c>
      <c r="AA199" s="228">
        <v>2</v>
      </c>
      <c r="AB199" s="229">
        <v>2.8E-3</v>
      </c>
      <c r="AC199" s="228">
        <v>2.5</v>
      </c>
      <c r="AD199" s="228">
        <v>0.5</v>
      </c>
      <c r="AE199" s="228">
        <v>2</v>
      </c>
      <c r="AF199" s="229">
        <v>2.8E-3</v>
      </c>
      <c r="AG199" s="228">
        <v>5.95</v>
      </c>
      <c r="AH199" s="228">
        <v>1.05</v>
      </c>
      <c r="AI199" s="228">
        <v>4.9000000000000004</v>
      </c>
      <c r="AJ199" s="229">
        <v>6.6E-3</v>
      </c>
      <c r="AK199" s="228">
        <v>10</v>
      </c>
      <c r="AL199" s="228">
        <v>4.8</v>
      </c>
      <c r="AM199" s="228">
        <v>5.2</v>
      </c>
      <c r="AN199" s="229">
        <v>1.12E-2</v>
      </c>
      <c r="AO199" s="228">
        <v>891.19</v>
      </c>
      <c r="AP199" s="228">
        <v>894.65</v>
      </c>
      <c r="AQ199" s="228">
        <v>0</v>
      </c>
      <c r="AR199" s="230">
        <v>5549150</v>
      </c>
      <c r="AS199" s="230">
        <v>6190050</v>
      </c>
      <c r="AT199" s="230">
        <v>-640900</v>
      </c>
      <c r="AU199" s="229">
        <v>-0.10349999999999999</v>
      </c>
      <c r="AV199" s="230">
        <v>2685400</v>
      </c>
      <c r="AW199" s="230">
        <v>3040650</v>
      </c>
      <c r="AX199" s="230">
        <v>-355250</v>
      </c>
      <c r="AY199" s="229">
        <v>-0.1168</v>
      </c>
      <c r="AZ199" s="230">
        <v>2786900</v>
      </c>
      <c r="BA199" s="230">
        <v>3078350</v>
      </c>
      <c r="BB199" s="230">
        <v>-291450</v>
      </c>
      <c r="BC199" s="229">
        <v>-9.4700000000000006E-2</v>
      </c>
      <c r="BD199" s="230">
        <v>76850</v>
      </c>
      <c r="BE199" s="230">
        <v>71050</v>
      </c>
      <c r="BF199" s="230">
        <v>5800</v>
      </c>
      <c r="BG199" s="229">
        <v>8.1600000000000006E-2</v>
      </c>
      <c r="BH199" s="230">
        <v>4910425</v>
      </c>
      <c r="BI199" s="230">
        <v>2781100</v>
      </c>
      <c r="BJ199" s="230">
        <v>2129325</v>
      </c>
      <c r="BK199" s="229">
        <v>0.76559999999999995</v>
      </c>
      <c r="BL199" s="230">
        <v>2071325</v>
      </c>
      <c r="BM199" s="230">
        <v>1022975</v>
      </c>
      <c r="BN199" s="230">
        <v>1048350</v>
      </c>
      <c r="BO199" s="229">
        <v>1.0247999999999999</v>
      </c>
      <c r="BP199" s="230">
        <v>12530900</v>
      </c>
      <c r="BQ199" s="230">
        <v>9994125</v>
      </c>
      <c r="BR199" s="230">
        <v>2536775</v>
      </c>
      <c r="BS199" s="229">
        <v>0.25380000000000003</v>
      </c>
      <c r="BT199" s="230">
        <v>1014749</v>
      </c>
      <c r="BU199" s="230">
        <v>375266</v>
      </c>
      <c r="BV199" s="230">
        <v>639483</v>
      </c>
      <c r="BW199" s="229">
        <v>1.7040999999999999</v>
      </c>
      <c r="BX199" s="230">
        <v>6809925</v>
      </c>
      <c r="BY199" s="230">
        <v>7872775</v>
      </c>
      <c r="BZ199" s="230">
        <v>-1062850</v>
      </c>
      <c r="CA199" s="229">
        <v>-0.13500000000000001</v>
      </c>
      <c r="CB199" s="230">
        <v>1502200</v>
      </c>
      <c r="CC199" s="230">
        <v>3339350</v>
      </c>
      <c r="CD199" s="230">
        <v>-1837150</v>
      </c>
      <c r="CE199" s="229">
        <v>-0.55020000000000002</v>
      </c>
      <c r="CF199" s="230">
        <v>5151850</v>
      </c>
      <c r="CG199" s="230">
        <v>4385525</v>
      </c>
      <c r="CH199" s="230">
        <v>766325</v>
      </c>
      <c r="CI199" s="229">
        <v>0.17469999999999999</v>
      </c>
      <c r="CJ199" s="230">
        <v>155875</v>
      </c>
      <c r="CK199" s="230">
        <v>147900</v>
      </c>
      <c r="CL199" s="230">
        <v>7975</v>
      </c>
      <c r="CM199" s="229">
        <v>5.3900000000000003E-2</v>
      </c>
      <c r="CN199" s="230">
        <v>2638275</v>
      </c>
      <c r="CO199" s="230">
        <v>3050075</v>
      </c>
      <c r="CP199" s="230">
        <v>-411800</v>
      </c>
      <c r="CQ199" s="229">
        <v>-0.13500000000000001</v>
      </c>
      <c r="CR199" s="230">
        <v>1445650</v>
      </c>
      <c r="CS199" s="230">
        <v>1497850</v>
      </c>
      <c r="CT199" s="230">
        <v>-52200</v>
      </c>
      <c r="CU199" s="229">
        <v>-3.4799999999999998E-2</v>
      </c>
      <c r="CV199" s="230">
        <v>10893850</v>
      </c>
      <c r="CW199" s="230">
        <v>12420700</v>
      </c>
      <c r="CX199" s="230">
        <v>-1526850</v>
      </c>
      <c r="CY199" s="229">
        <v>-0.1229</v>
      </c>
      <c r="CZ199" s="228">
        <v>38.479999999999997</v>
      </c>
      <c r="DA199" s="228">
        <v>36.770000000000003</v>
      </c>
      <c r="DB199" s="228">
        <v>1.71</v>
      </c>
      <c r="DC199" s="228">
        <v>1.71</v>
      </c>
      <c r="DD199" s="228">
        <v>55.04</v>
      </c>
      <c r="DE199" s="228">
        <v>55.06</v>
      </c>
      <c r="DF199" s="228">
        <v>-16.559999999999999</v>
      </c>
      <c r="DG199" s="228">
        <v>-0.02</v>
      </c>
      <c r="DH199" s="228">
        <v>38.590000000000003</v>
      </c>
      <c r="DI199" s="228">
        <v>37.71</v>
      </c>
      <c r="DJ199" s="228">
        <v>0.88</v>
      </c>
      <c r="DK199" s="228">
        <v>0.88</v>
      </c>
      <c r="DL199" s="228">
        <v>38.270000000000003</v>
      </c>
      <c r="DM199" s="228">
        <v>35.53</v>
      </c>
      <c r="DN199" s="228">
        <v>2.74</v>
      </c>
      <c r="DO199" s="228">
        <v>2.74</v>
      </c>
      <c r="DP199" s="228">
        <v>0.55000000000000004</v>
      </c>
      <c r="DQ199" s="228">
        <v>0.49</v>
      </c>
      <c r="DR199" s="228">
        <v>0.06</v>
      </c>
      <c r="DS199" s="229">
        <v>0.12239999999999999</v>
      </c>
      <c r="DT199" s="228">
        <v>900</v>
      </c>
      <c r="DU199" s="228">
        <v>840</v>
      </c>
      <c r="DV199" s="228">
        <v>0.42</v>
      </c>
      <c r="DW199" s="228">
        <v>0.37</v>
      </c>
      <c r="DX199" s="228">
        <v>0.05</v>
      </c>
      <c r="DY199" s="229">
        <v>0.1351</v>
      </c>
      <c r="DZ199" s="229">
        <v>0.77939999999999998</v>
      </c>
      <c r="EA199" s="230">
        <v>4533425</v>
      </c>
      <c r="EB199" s="229">
        <v>3.8E-3</v>
      </c>
      <c r="EC199" s="229">
        <v>0.77939999999999998</v>
      </c>
      <c r="ED199" s="228">
        <v>3.46</v>
      </c>
      <c r="EE199" s="229">
        <v>3.8999999999999998E-3</v>
      </c>
      <c r="EF199" s="230">
        <v>424383</v>
      </c>
      <c r="EG199" s="230">
        <v>112105</v>
      </c>
      <c r="EH199" s="229">
        <v>2.7856000000000001</v>
      </c>
      <c r="EI199" s="229">
        <v>0.41820000000000002</v>
      </c>
      <c r="EJ199" s="231">
        <v>45583.78</v>
      </c>
      <c r="EK199" s="231">
        <v>18106.689999999999</v>
      </c>
      <c r="EL199" s="231">
        <v>49554.85</v>
      </c>
      <c r="EM199" s="231">
        <v>4172</v>
      </c>
      <c r="EN199" s="231">
        <v>113245.32</v>
      </c>
      <c r="EO199" s="231">
        <v>89227.49</v>
      </c>
      <c r="EP199" s="231">
        <v>24017.83</v>
      </c>
      <c r="EQ199" s="229">
        <v>0.26919999999999999</v>
      </c>
      <c r="ER199" s="231">
        <v>24766</v>
      </c>
      <c r="ES199" s="231">
        <v>12521</v>
      </c>
      <c r="ET199" s="231">
        <v>61370</v>
      </c>
      <c r="EU199" s="231">
        <v>12028036</v>
      </c>
      <c r="EV199" s="231">
        <v>98657</v>
      </c>
      <c r="EW199" s="231">
        <v>110451</v>
      </c>
      <c r="EX199" s="231">
        <v>-11794</v>
      </c>
      <c r="EY199" s="229">
        <v>-0.10680000000000001</v>
      </c>
      <c r="EZ199" s="229">
        <v>0.90569999999999995</v>
      </c>
      <c r="FA199" s="227" t="s">
        <v>556</v>
      </c>
      <c r="FB199" s="161">
        <f t="shared" si="5"/>
        <v>0</v>
      </c>
    </row>
    <row r="200" spans="1:158" ht="17.25" thickBot="1" x14ac:dyDescent="0.3">
      <c r="A200" s="226">
        <v>45957</v>
      </c>
      <c r="B200" s="227" t="s">
        <v>168</v>
      </c>
      <c r="C200" s="227" t="s">
        <v>297</v>
      </c>
      <c r="D200" s="228">
        <v>175</v>
      </c>
      <c r="E200" s="231">
        <v>3742.1</v>
      </c>
      <c r="F200" s="231">
        <v>3712</v>
      </c>
      <c r="G200" s="228">
        <v>30.1</v>
      </c>
      <c r="H200" s="229">
        <v>8.0999999999999996E-3</v>
      </c>
      <c r="I200" s="231">
        <v>3739.8</v>
      </c>
      <c r="J200" s="231">
        <v>3714.9</v>
      </c>
      <c r="K200" s="228">
        <v>24.9</v>
      </c>
      <c r="L200" s="229">
        <v>6.7000000000000002E-3</v>
      </c>
      <c r="M200" s="231">
        <v>3742.1</v>
      </c>
      <c r="N200" s="231">
        <v>3712</v>
      </c>
      <c r="O200" s="228">
        <v>30.1</v>
      </c>
      <c r="P200" s="229">
        <v>8.0999999999999996E-3</v>
      </c>
      <c r="Q200" s="231">
        <v>3764.3</v>
      </c>
      <c r="R200" s="231">
        <v>3733</v>
      </c>
      <c r="S200" s="228">
        <v>31.3</v>
      </c>
      <c r="T200" s="229">
        <v>8.3999999999999995E-3</v>
      </c>
      <c r="U200" s="231">
        <v>3791.7</v>
      </c>
      <c r="V200" s="231">
        <v>3757.2</v>
      </c>
      <c r="W200" s="228">
        <v>34.5</v>
      </c>
      <c r="X200" s="229">
        <v>9.1999999999999998E-3</v>
      </c>
      <c r="Y200" s="228">
        <v>2.2999999999999998</v>
      </c>
      <c r="Z200" s="228">
        <v>-2.9</v>
      </c>
      <c r="AA200" s="228">
        <v>5.2</v>
      </c>
      <c r="AB200" s="229">
        <v>5.9999999999999995E-4</v>
      </c>
      <c r="AC200" s="228">
        <v>2.2999999999999998</v>
      </c>
      <c r="AD200" s="228">
        <v>-2.9</v>
      </c>
      <c r="AE200" s="228">
        <v>5.2</v>
      </c>
      <c r="AF200" s="229">
        <v>5.9999999999999995E-4</v>
      </c>
      <c r="AG200" s="228">
        <v>24.5</v>
      </c>
      <c r="AH200" s="228">
        <v>18.100000000000001</v>
      </c>
      <c r="AI200" s="228">
        <v>6.4</v>
      </c>
      <c r="AJ200" s="229">
        <v>6.6E-3</v>
      </c>
      <c r="AK200" s="228">
        <v>51.9</v>
      </c>
      <c r="AL200" s="228">
        <v>42.3</v>
      </c>
      <c r="AM200" s="228">
        <v>9.6</v>
      </c>
      <c r="AN200" s="229">
        <v>1.3899999999999999E-2</v>
      </c>
      <c r="AO200" s="231">
        <v>3738.76</v>
      </c>
      <c r="AP200" s="231">
        <v>3760.5</v>
      </c>
      <c r="AQ200" s="228">
        <v>0</v>
      </c>
      <c r="AR200" s="230">
        <v>7500150</v>
      </c>
      <c r="AS200" s="230">
        <v>8093750</v>
      </c>
      <c r="AT200" s="230">
        <v>-593600</v>
      </c>
      <c r="AU200" s="229">
        <v>-7.3300000000000004E-2</v>
      </c>
      <c r="AV200" s="230">
        <v>3493875</v>
      </c>
      <c r="AW200" s="230">
        <v>4161500</v>
      </c>
      <c r="AX200" s="230">
        <v>-667625</v>
      </c>
      <c r="AY200" s="229">
        <v>-0.16039999999999999</v>
      </c>
      <c r="AZ200" s="230">
        <v>3975475</v>
      </c>
      <c r="BA200" s="230">
        <v>3920700</v>
      </c>
      <c r="BB200" s="230">
        <v>54775</v>
      </c>
      <c r="BC200" s="229">
        <v>1.4E-2</v>
      </c>
      <c r="BD200" s="230">
        <v>30800</v>
      </c>
      <c r="BE200" s="230">
        <v>11550</v>
      </c>
      <c r="BF200" s="230">
        <v>19250</v>
      </c>
      <c r="BG200" s="229">
        <v>1.6667000000000001</v>
      </c>
      <c r="BH200" s="230">
        <v>5171425</v>
      </c>
      <c r="BI200" s="230">
        <v>4614575</v>
      </c>
      <c r="BJ200" s="230">
        <v>556850</v>
      </c>
      <c r="BK200" s="229">
        <v>0.1207</v>
      </c>
      <c r="BL200" s="230">
        <v>3950975</v>
      </c>
      <c r="BM200" s="230">
        <v>4141200</v>
      </c>
      <c r="BN200" s="230">
        <v>-190225</v>
      </c>
      <c r="BO200" s="229">
        <v>-4.5900000000000003E-2</v>
      </c>
      <c r="BP200" s="230">
        <v>16622550</v>
      </c>
      <c r="BQ200" s="230">
        <v>16849525</v>
      </c>
      <c r="BR200" s="230">
        <v>-226975</v>
      </c>
      <c r="BS200" s="229">
        <v>-1.35E-2</v>
      </c>
      <c r="BT200" s="230">
        <v>880184</v>
      </c>
      <c r="BU200" s="230">
        <v>596541</v>
      </c>
      <c r="BV200" s="230">
        <v>283643</v>
      </c>
      <c r="BW200" s="229">
        <v>0.47549999999999998</v>
      </c>
      <c r="BX200" s="230">
        <v>12232500</v>
      </c>
      <c r="BY200" s="230">
        <v>12131000</v>
      </c>
      <c r="BZ200" s="230">
        <v>101500</v>
      </c>
      <c r="CA200" s="229">
        <v>8.3999999999999995E-3</v>
      </c>
      <c r="CB200" s="230">
        <v>2519125</v>
      </c>
      <c r="CC200" s="230">
        <v>5262075</v>
      </c>
      <c r="CD200" s="230">
        <v>-2742950</v>
      </c>
      <c r="CE200" s="229">
        <v>-0.52129999999999999</v>
      </c>
      <c r="CF200" s="230">
        <v>9652125</v>
      </c>
      <c r="CG200" s="230">
        <v>6819925</v>
      </c>
      <c r="CH200" s="230">
        <v>2832200</v>
      </c>
      <c r="CI200" s="229">
        <v>0.4153</v>
      </c>
      <c r="CJ200" s="230">
        <v>61250</v>
      </c>
      <c r="CK200" s="230">
        <v>49000</v>
      </c>
      <c r="CL200" s="230">
        <v>12250</v>
      </c>
      <c r="CM200" s="229">
        <v>0.25</v>
      </c>
      <c r="CN200" s="230">
        <v>4663750</v>
      </c>
      <c r="CO200" s="230">
        <v>4789575</v>
      </c>
      <c r="CP200" s="230">
        <v>-125825</v>
      </c>
      <c r="CQ200" s="229">
        <v>-2.63E-2</v>
      </c>
      <c r="CR200" s="230">
        <v>3272500</v>
      </c>
      <c r="CS200" s="230">
        <v>3463250</v>
      </c>
      <c r="CT200" s="230">
        <v>-190750</v>
      </c>
      <c r="CU200" s="229">
        <v>-5.5100000000000003E-2</v>
      </c>
      <c r="CV200" s="230">
        <v>20168750</v>
      </c>
      <c r="CW200" s="230">
        <v>20383825</v>
      </c>
      <c r="CX200" s="230">
        <v>-215075</v>
      </c>
      <c r="CY200" s="229">
        <v>-1.06E-2</v>
      </c>
      <c r="CZ200" s="228">
        <v>23.94</v>
      </c>
      <c r="DA200" s="228">
        <v>22.98</v>
      </c>
      <c r="DB200" s="228">
        <v>0.96</v>
      </c>
      <c r="DC200" s="228">
        <v>0.96</v>
      </c>
      <c r="DD200" s="228">
        <v>26.03</v>
      </c>
      <c r="DE200" s="228">
        <v>26.08</v>
      </c>
      <c r="DF200" s="228">
        <v>-2.09</v>
      </c>
      <c r="DG200" s="228">
        <v>-0.05</v>
      </c>
      <c r="DH200" s="228">
        <v>23.95</v>
      </c>
      <c r="DI200" s="228">
        <v>23.16</v>
      </c>
      <c r="DJ200" s="228">
        <v>0.79</v>
      </c>
      <c r="DK200" s="228">
        <v>0.79</v>
      </c>
      <c r="DL200" s="228">
        <v>23.92</v>
      </c>
      <c r="DM200" s="228">
        <v>22.81</v>
      </c>
      <c r="DN200" s="228">
        <v>1.1100000000000001</v>
      </c>
      <c r="DO200" s="228">
        <v>1.1100000000000001</v>
      </c>
      <c r="DP200" s="228">
        <v>0.7</v>
      </c>
      <c r="DQ200" s="228">
        <v>0.72</v>
      </c>
      <c r="DR200" s="228">
        <v>-0.02</v>
      </c>
      <c r="DS200" s="229">
        <v>-2.7799999999999998E-2</v>
      </c>
      <c r="DT200" s="231">
        <v>3400</v>
      </c>
      <c r="DU200" s="231">
        <v>3600</v>
      </c>
      <c r="DV200" s="228">
        <v>0.76</v>
      </c>
      <c r="DW200" s="228">
        <v>0.9</v>
      </c>
      <c r="DX200" s="228">
        <v>-0.14000000000000001</v>
      </c>
      <c r="DY200" s="229">
        <v>-0.15559999999999999</v>
      </c>
      <c r="DZ200" s="229">
        <v>0.79410000000000003</v>
      </c>
      <c r="EA200" s="230">
        <v>6868925</v>
      </c>
      <c r="EB200" s="229">
        <v>5.8999999999999999E-3</v>
      </c>
      <c r="EC200" s="229">
        <v>0.79410000000000003</v>
      </c>
      <c r="ED200" s="228">
        <v>21.74</v>
      </c>
      <c r="EE200" s="229">
        <v>5.7999999999999996E-3</v>
      </c>
      <c r="EF200" s="230">
        <v>612046</v>
      </c>
      <c r="EG200" s="230">
        <v>378365</v>
      </c>
      <c r="EH200" s="229">
        <v>0.61760000000000004</v>
      </c>
      <c r="EI200" s="229">
        <v>0.69540000000000002</v>
      </c>
      <c r="EJ200" s="231">
        <v>197852.62</v>
      </c>
      <c r="EK200" s="231">
        <v>145482.20000000001</v>
      </c>
      <c r="EL200" s="231">
        <v>281291.45</v>
      </c>
      <c r="EM200" s="231">
        <v>25832</v>
      </c>
      <c r="EN200" s="231">
        <v>624626.27</v>
      </c>
      <c r="EO200" s="231">
        <v>631938.76</v>
      </c>
      <c r="EP200" s="231">
        <v>-7312.49</v>
      </c>
      <c r="EQ200" s="229">
        <v>-1.1599999999999999E-2</v>
      </c>
      <c r="ER200" s="231">
        <v>172096</v>
      </c>
      <c r="ES200" s="231">
        <v>116070</v>
      </c>
      <c r="ET200" s="231">
        <v>459926</v>
      </c>
      <c r="EU200" s="231">
        <v>41744334</v>
      </c>
      <c r="EV200" s="231">
        <v>748091</v>
      </c>
      <c r="EW200" s="231">
        <v>750634</v>
      </c>
      <c r="EX200" s="231">
        <v>-2543</v>
      </c>
      <c r="EY200" s="229">
        <v>-3.3999999999999998E-3</v>
      </c>
      <c r="EZ200" s="229">
        <v>0.48309999999999997</v>
      </c>
      <c r="FA200" s="227" t="s">
        <v>555</v>
      </c>
      <c r="FB200" s="161">
        <f t="shared" si="5"/>
        <v>0</v>
      </c>
    </row>
    <row r="201" spans="1:158" ht="17.25" thickBot="1" x14ac:dyDescent="0.3">
      <c r="A201" s="226">
        <v>45957</v>
      </c>
      <c r="B201" s="227" t="s">
        <v>691</v>
      </c>
      <c r="C201" s="227" t="s">
        <v>690</v>
      </c>
      <c r="D201" s="228">
        <v>800</v>
      </c>
      <c r="E201" s="228">
        <v>411.15</v>
      </c>
      <c r="F201" s="228">
        <v>404.25</v>
      </c>
      <c r="G201" s="228">
        <v>6.9</v>
      </c>
      <c r="H201" s="229">
        <v>1.7100000000000001E-2</v>
      </c>
      <c r="I201" s="228">
        <v>410.05</v>
      </c>
      <c r="J201" s="228">
        <v>403.3</v>
      </c>
      <c r="K201" s="228">
        <v>6.75</v>
      </c>
      <c r="L201" s="229">
        <v>1.67E-2</v>
      </c>
      <c r="M201" s="228">
        <v>411.15</v>
      </c>
      <c r="N201" s="228">
        <v>404.25</v>
      </c>
      <c r="O201" s="228">
        <v>6.9</v>
      </c>
      <c r="P201" s="229">
        <v>1.7100000000000001E-2</v>
      </c>
      <c r="Q201" s="228">
        <v>411.35</v>
      </c>
      <c r="R201" s="228">
        <v>404.8</v>
      </c>
      <c r="S201" s="228">
        <v>6.55</v>
      </c>
      <c r="T201" s="229">
        <v>1.6199999999999999E-2</v>
      </c>
      <c r="U201" s="228">
        <v>413.5</v>
      </c>
      <c r="V201" s="228">
        <v>407.25</v>
      </c>
      <c r="W201" s="228">
        <v>6.25</v>
      </c>
      <c r="X201" s="229">
        <v>1.5299999999999999E-2</v>
      </c>
      <c r="Y201" s="228">
        <v>1.1000000000000001</v>
      </c>
      <c r="Z201" s="228">
        <v>0.95</v>
      </c>
      <c r="AA201" s="228">
        <v>0.15</v>
      </c>
      <c r="AB201" s="229">
        <v>2.7000000000000001E-3</v>
      </c>
      <c r="AC201" s="228">
        <v>1.1000000000000001</v>
      </c>
      <c r="AD201" s="228">
        <v>0.95</v>
      </c>
      <c r="AE201" s="228">
        <v>0.15</v>
      </c>
      <c r="AF201" s="229">
        <v>2.7000000000000001E-3</v>
      </c>
      <c r="AG201" s="228">
        <v>1.3</v>
      </c>
      <c r="AH201" s="228">
        <v>1.5</v>
      </c>
      <c r="AI201" s="228">
        <v>-0.2</v>
      </c>
      <c r="AJ201" s="229">
        <v>3.2000000000000002E-3</v>
      </c>
      <c r="AK201" s="228">
        <v>3.45</v>
      </c>
      <c r="AL201" s="228">
        <v>3.95</v>
      </c>
      <c r="AM201" s="228">
        <v>-0.5</v>
      </c>
      <c r="AN201" s="229">
        <v>8.3999999999999995E-3</v>
      </c>
      <c r="AO201" s="228">
        <v>410.35</v>
      </c>
      <c r="AP201" s="228">
        <v>410.59</v>
      </c>
      <c r="AQ201" s="228">
        <v>0</v>
      </c>
      <c r="AR201" s="230">
        <v>39031200</v>
      </c>
      <c r="AS201" s="230">
        <v>37101600</v>
      </c>
      <c r="AT201" s="230">
        <v>1929600</v>
      </c>
      <c r="AU201" s="229">
        <v>5.1999999999999998E-2</v>
      </c>
      <c r="AV201" s="230">
        <v>18872000</v>
      </c>
      <c r="AW201" s="230">
        <v>18832800</v>
      </c>
      <c r="AX201" s="230">
        <v>39200</v>
      </c>
      <c r="AY201" s="229">
        <v>2.0999999999999999E-3</v>
      </c>
      <c r="AZ201" s="230">
        <v>19227200</v>
      </c>
      <c r="BA201" s="230">
        <v>17738400</v>
      </c>
      <c r="BB201" s="230">
        <v>1488800</v>
      </c>
      <c r="BC201" s="229">
        <v>8.3900000000000002E-2</v>
      </c>
      <c r="BD201" s="230">
        <v>932000</v>
      </c>
      <c r="BE201" s="230">
        <v>530400</v>
      </c>
      <c r="BF201" s="230">
        <v>401600</v>
      </c>
      <c r="BG201" s="229">
        <v>0.75719999999999998</v>
      </c>
      <c r="BH201" s="230">
        <v>53212800</v>
      </c>
      <c r="BI201" s="230">
        <v>42757600</v>
      </c>
      <c r="BJ201" s="230">
        <v>10455200</v>
      </c>
      <c r="BK201" s="229">
        <v>0.2445</v>
      </c>
      <c r="BL201" s="230">
        <v>23085600</v>
      </c>
      <c r="BM201" s="230">
        <v>20732800</v>
      </c>
      <c r="BN201" s="230">
        <v>2352800</v>
      </c>
      <c r="BO201" s="229">
        <v>0.1135</v>
      </c>
      <c r="BP201" s="230">
        <v>115329600</v>
      </c>
      <c r="BQ201" s="230">
        <v>100592000</v>
      </c>
      <c r="BR201" s="230">
        <v>14737600</v>
      </c>
      <c r="BS201" s="229">
        <v>0.14649999999999999</v>
      </c>
      <c r="BT201" s="230">
        <v>10699376</v>
      </c>
      <c r="BU201" s="230">
        <v>6311744</v>
      </c>
      <c r="BV201" s="230">
        <v>4387632</v>
      </c>
      <c r="BW201" s="229">
        <v>0.69520000000000004</v>
      </c>
      <c r="BX201" s="230">
        <v>47612000</v>
      </c>
      <c r="BY201" s="230">
        <v>44744800</v>
      </c>
      <c r="BZ201" s="230">
        <v>2867200</v>
      </c>
      <c r="CA201" s="229">
        <v>6.4100000000000004E-2</v>
      </c>
      <c r="CB201" s="230">
        <v>6508000</v>
      </c>
      <c r="CC201" s="230">
        <v>13712000</v>
      </c>
      <c r="CD201" s="230">
        <v>-7204000</v>
      </c>
      <c r="CE201" s="229">
        <v>-0.52539999999999998</v>
      </c>
      <c r="CF201" s="230">
        <v>39254400</v>
      </c>
      <c r="CG201" s="230">
        <v>29256800</v>
      </c>
      <c r="CH201" s="230">
        <v>9997600</v>
      </c>
      <c r="CI201" s="229">
        <v>0.3417</v>
      </c>
      <c r="CJ201" s="230">
        <v>1849600</v>
      </c>
      <c r="CK201" s="230">
        <v>1776000</v>
      </c>
      <c r="CL201" s="230">
        <v>73600</v>
      </c>
      <c r="CM201" s="229">
        <v>4.1399999999999999E-2</v>
      </c>
      <c r="CN201" s="230">
        <v>34969600</v>
      </c>
      <c r="CO201" s="230">
        <v>38435200</v>
      </c>
      <c r="CP201" s="230">
        <v>-3465600</v>
      </c>
      <c r="CQ201" s="229">
        <v>-9.0200000000000002E-2</v>
      </c>
      <c r="CR201" s="230">
        <v>20547200</v>
      </c>
      <c r="CS201" s="230">
        <v>19805600</v>
      </c>
      <c r="CT201" s="230">
        <v>741600</v>
      </c>
      <c r="CU201" s="229">
        <v>3.7400000000000003E-2</v>
      </c>
      <c r="CV201" s="230">
        <v>103128800</v>
      </c>
      <c r="CW201" s="230">
        <v>102985600</v>
      </c>
      <c r="CX201" s="230">
        <v>143200</v>
      </c>
      <c r="CY201" s="229">
        <v>1.4E-3</v>
      </c>
      <c r="CZ201" s="228">
        <v>35.57</v>
      </c>
      <c r="DA201" s="228">
        <v>35.86</v>
      </c>
      <c r="DB201" s="228">
        <v>-0.28999999999999998</v>
      </c>
      <c r="DC201" s="228">
        <v>-0.28999999999999998</v>
      </c>
      <c r="DD201" s="228">
        <v>35.39</v>
      </c>
      <c r="DE201" s="228">
        <v>35.4</v>
      </c>
      <c r="DF201" s="228">
        <v>0.18</v>
      </c>
      <c r="DG201" s="228">
        <v>-0.01</v>
      </c>
      <c r="DH201" s="228">
        <v>35.74</v>
      </c>
      <c r="DI201" s="228">
        <v>36.130000000000003</v>
      </c>
      <c r="DJ201" s="228">
        <v>-0.39</v>
      </c>
      <c r="DK201" s="228">
        <v>-0.39</v>
      </c>
      <c r="DL201" s="228">
        <v>35.29</v>
      </c>
      <c r="DM201" s="228">
        <v>35.409999999999997</v>
      </c>
      <c r="DN201" s="228">
        <v>-0.12</v>
      </c>
      <c r="DO201" s="228">
        <v>-0.12</v>
      </c>
      <c r="DP201" s="228">
        <v>0.59</v>
      </c>
      <c r="DQ201" s="228">
        <v>0.52</v>
      </c>
      <c r="DR201" s="228">
        <v>7.0000000000000007E-2</v>
      </c>
      <c r="DS201" s="229">
        <v>0.1346</v>
      </c>
      <c r="DT201" s="228">
        <v>470</v>
      </c>
      <c r="DU201" s="228">
        <v>400</v>
      </c>
      <c r="DV201" s="228">
        <v>0.43</v>
      </c>
      <c r="DW201" s="228">
        <v>0.48</v>
      </c>
      <c r="DX201" s="228">
        <v>-0.05</v>
      </c>
      <c r="DY201" s="229">
        <v>-0.1042</v>
      </c>
      <c r="DZ201" s="229">
        <v>0.86329999999999996</v>
      </c>
      <c r="EA201" s="230">
        <v>31032800</v>
      </c>
      <c r="EB201" s="229">
        <v>5.0000000000000001E-4</v>
      </c>
      <c r="EC201" s="229">
        <v>0.86329999999999996</v>
      </c>
      <c r="ED201" s="228">
        <v>0.24</v>
      </c>
      <c r="EE201" s="229">
        <v>5.9999999999999995E-4</v>
      </c>
      <c r="EF201" s="230">
        <v>5846817</v>
      </c>
      <c r="EG201" s="230">
        <v>2941675</v>
      </c>
      <c r="EH201" s="229">
        <v>0.98760000000000003</v>
      </c>
      <c r="EI201" s="229">
        <v>0.54649999999999999</v>
      </c>
      <c r="EJ201" s="231">
        <v>228070.62</v>
      </c>
      <c r="EK201" s="231">
        <v>91621.93</v>
      </c>
      <c r="EL201" s="231">
        <v>160230.39999999999</v>
      </c>
      <c r="EM201" s="231">
        <v>46377</v>
      </c>
      <c r="EN201" s="231">
        <v>479922.95</v>
      </c>
      <c r="EO201" s="231">
        <v>418352.75</v>
      </c>
      <c r="EP201" s="231">
        <v>61570.2</v>
      </c>
      <c r="EQ201" s="229">
        <v>0.1472</v>
      </c>
      <c r="ER201" s="231">
        <v>154238</v>
      </c>
      <c r="ES201" s="231">
        <v>77914</v>
      </c>
      <c r="ET201" s="231">
        <v>195879</v>
      </c>
      <c r="EU201" s="231">
        <v>284575867</v>
      </c>
      <c r="EV201" s="231">
        <v>428030</v>
      </c>
      <c r="EW201" s="231">
        <v>423921</v>
      </c>
      <c r="EX201" s="231">
        <v>4109</v>
      </c>
      <c r="EY201" s="229">
        <v>9.7000000000000003E-3</v>
      </c>
      <c r="EZ201" s="229">
        <v>0.3624</v>
      </c>
      <c r="FA201" s="227" t="s">
        <v>555</v>
      </c>
      <c r="FB201" s="161">
        <f t="shared" si="5"/>
        <v>0</v>
      </c>
    </row>
    <row r="202" spans="1:158" ht="17.25" thickBot="1" x14ac:dyDescent="0.3">
      <c r="A202" s="226">
        <v>45957</v>
      </c>
      <c r="B202" s="227" t="s">
        <v>170</v>
      </c>
      <c r="C202" s="227" t="s">
        <v>298</v>
      </c>
      <c r="D202" s="228">
        <v>250</v>
      </c>
      <c r="E202" s="231">
        <v>3594.2</v>
      </c>
      <c r="F202" s="231">
        <v>3583.6</v>
      </c>
      <c r="G202" s="228">
        <v>10.6</v>
      </c>
      <c r="H202" s="229">
        <v>3.0000000000000001E-3</v>
      </c>
      <c r="I202" s="231">
        <v>3596.4</v>
      </c>
      <c r="J202" s="231">
        <v>3581.4</v>
      </c>
      <c r="K202" s="228">
        <v>15</v>
      </c>
      <c r="L202" s="229">
        <v>4.1999999999999997E-3</v>
      </c>
      <c r="M202" s="231">
        <v>3594.2</v>
      </c>
      <c r="N202" s="231">
        <v>3583.6</v>
      </c>
      <c r="O202" s="228">
        <v>10.6</v>
      </c>
      <c r="P202" s="229">
        <v>3.0000000000000001E-3</v>
      </c>
      <c r="Q202" s="231">
        <v>3614.2</v>
      </c>
      <c r="R202" s="231">
        <v>3602.9</v>
      </c>
      <c r="S202" s="228">
        <v>11.3</v>
      </c>
      <c r="T202" s="229">
        <v>3.0999999999999999E-3</v>
      </c>
      <c r="U202" s="231">
        <v>3570.5</v>
      </c>
      <c r="V202" s="231">
        <v>3570.5</v>
      </c>
      <c r="W202" s="228">
        <v>0</v>
      </c>
      <c r="X202" s="229">
        <v>0</v>
      </c>
      <c r="Y202" s="228">
        <v>-2.2000000000000002</v>
      </c>
      <c r="Z202" s="228">
        <v>2.2000000000000002</v>
      </c>
      <c r="AA202" s="228">
        <v>-4.4000000000000004</v>
      </c>
      <c r="AB202" s="229">
        <v>-5.9999999999999995E-4</v>
      </c>
      <c r="AC202" s="228">
        <v>-2.2000000000000002</v>
      </c>
      <c r="AD202" s="228">
        <v>2.2000000000000002</v>
      </c>
      <c r="AE202" s="228">
        <v>-4.4000000000000004</v>
      </c>
      <c r="AF202" s="229">
        <v>-5.9999999999999995E-4</v>
      </c>
      <c r="AG202" s="228">
        <v>17.8</v>
      </c>
      <c r="AH202" s="228">
        <v>21.5</v>
      </c>
      <c r="AI202" s="228">
        <v>-3.7</v>
      </c>
      <c r="AJ202" s="229">
        <v>4.8999999999999998E-3</v>
      </c>
      <c r="AK202" s="228">
        <v>-25.9</v>
      </c>
      <c r="AL202" s="228">
        <v>-10.9</v>
      </c>
      <c r="AM202" s="228">
        <v>-15</v>
      </c>
      <c r="AN202" s="229">
        <v>-7.1999999999999998E-3</v>
      </c>
      <c r="AO202" s="231">
        <v>3586.47</v>
      </c>
      <c r="AP202" s="231">
        <v>3606.75</v>
      </c>
      <c r="AQ202" s="228">
        <v>0</v>
      </c>
      <c r="AR202" s="230">
        <v>1399750</v>
      </c>
      <c r="AS202" s="230">
        <v>1463000</v>
      </c>
      <c r="AT202" s="230">
        <v>-63250</v>
      </c>
      <c r="AU202" s="229">
        <v>-4.3200000000000002E-2</v>
      </c>
      <c r="AV202" s="230">
        <v>673000</v>
      </c>
      <c r="AW202" s="230">
        <v>737000</v>
      </c>
      <c r="AX202" s="230">
        <v>-64000</v>
      </c>
      <c r="AY202" s="229">
        <v>-8.6800000000000002E-2</v>
      </c>
      <c r="AZ202" s="230">
        <v>726750</v>
      </c>
      <c r="BA202" s="230">
        <v>726000</v>
      </c>
      <c r="BB202" s="228">
        <v>750</v>
      </c>
      <c r="BC202" s="229">
        <v>1E-3</v>
      </c>
      <c r="BD202" s="228">
        <v>0</v>
      </c>
      <c r="BE202" s="228">
        <v>0</v>
      </c>
      <c r="BF202" s="228">
        <v>0</v>
      </c>
      <c r="BG202" s="229">
        <v>0</v>
      </c>
      <c r="BH202" s="230">
        <v>1379500</v>
      </c>
      <c r="BI202" s="230">
        <v>1669250</v>
      </c>
      <c r="BJ202" s="230">
        <v>-289750</v>
      </c>
      <c r="BK202" s="229">
        <v>-0.1736</v>
      </c>
      <c r="BL202" s="230">
        <v>702000</v>
      </c>
      <c r="BM202" s="230">
        <v>614750</v>
      </c>
      <c r="BN202" s="230">
        <v>87250</v>
      </c>
      <c r="BO202" s="229">
        <v>0.1419</v>
      </c>
      <c r="BP202" s="230">
        <v>3481250</v>
      </c>
      <c r="BQ202" s="230">
        <v>3747000</v>
      </c>
      <c r="BR202" s="230">
        <v>-265750</v>
      </c>
      <c r="BS202" s="229">
        <v>-7.0900000000000005E-2</v>
      </c>
      <c r="BT202" s="230">
        <v>119436</v>
      </c>
      <c r="BU202" s="230">
        <v>97676</v>
      </c>
      <c r="BV202" s="230">
        <v>21760</v>
      </c>
      <c r="BW202" s="229">
        <v>0.2228</v>
      </c>
      <c r="BX202" s="230">
        <v>2365500</v>
      </c>
      <c r="BY202" s="230">
        <v>2340000</v>
      </c>
      <c r="BZ202" s="230">
        <v>25500</v>
      </c>
      <c r="CA202" s="229">
        <v>1.09E-2</v>
      </c>
      <c r="CB202" s="230">
        <v>360000</v>
      </c>
      <c r="CC202" s="230">
        <v>856750</v>
      </c>
      <c r="CD202" s="230">
        <v>-496750</v>
      </c>
      <c r="CE202" s="229">
        <v>-0.57979999999999998</v>
      </c>
      <c r="CF202" s="230">
        <v>2004750</v>
      </c>
      <c r="CG202" s="230">
        <v>1482500</v>
      </c>
      <c r="CH202" s="230">
        <v>522250</v>
      </c>
      <c r="CI202" s="229">
        <v>0.3523</v>
      </c>
      <c r="CJ202" s="228">
        <v>750</v>
      </c>
      <c r="CK202" s="228">
        <v>750</v>
      </c>
      <c r="CL202" s="228">
        <v>0</v>
      </c>
      <c r="CM202" s="229">
        <v>0</v>
      </c>
      <c r="CN202" s="230">
        <v>683000</v>
      </c>
      <c r="CO202" s="230">
        <v>743000</v>
      </c>
      <c r="CP202" s="230">
        <v>-60000</v>
      </c>
      <c r="CQ202" s="229">
        <v>-8.0799999999999997E-2</v>
      </c>
      <c r="CR202" s="230">
        <v>498000</v>
      </c>
      <c r="CS202" s="230">
        <v>505500</v>
      </c>
      <c r="CT202" s="230">
        <v>-7500</v>
      </c>
      <c r="CU202" s="229">
        <v>-1.4800000000000001E-2</v>
      </c>
      <c r="CV202" s="230">
        <v>3546500</v>
      </c>
      <c r="CW202" s="230">
        <v>3588500</v>
      </c>
      <c r="CX202" s="230">
        <v>-42000</v>
      </c>
      <c r="CY202" s="229">
        <v>-1.17E-2</v>
      </c>
      <c r="CZ202" s="228">
        <v>19.63</v>
      </c>
      <c r="DA202" s="228">
        <v>19.100000000000001</v>
      </c>
      <c r="DB202" s="228">
        <v>0.53</v>
      </c>
      <c r="DC202" s="228">
        <v>0.53</v>
      </c>
      <c r="DD202" s="228">
        <v>25.49</v>
      </c>
      <c r="DE202" s="228">
        <v>25.54</v>
      </c>
      <c r="DF202" s="228">
        <v>-5.86</v>
      </c>
      <c r="DG202" s="228">
        <v>-0.05</v>
      </c>
      <c r="DH202" s="228">
        <v>19.489999999999998</v>
      </c>
      <c r="DI202" s="228">
        <v>18.98</v>
      </c>
      <c r="DJ202" s="228">
        <v>0.51</v>
      </c>
      <c r="DK202" s="228">
        <v>0.51</v>
      </c>
      <c r="DL202" s="228">
        <v>19.940000000000001</v>
      </c>
      <c r="DM202" s="228">
        <v>19.47</v>
      </c>
      <c r="DN202" s="228">
        <v>0.47</v>
      </c>
      <c r="DO202" s="228">
        <v>0.47</v>
      </c>
      <c r="DP202" s="228">
        <v>0.73</v>
      </c>
      <c r="DQ202" s="228">
        <v>0.68</v>
      </c>
      <c r="DR202" s="228">
        <v>0.05</v>
      </c>
      <c r="DS202" s="229">
        <v>7.3499999999999996E-2</v>
      </c>
      <c r="DT202" s="231">
        <v>3600</v>
      </c>
      <c r="DU202" s="231">
        <v>3500</v>
      </c>
      <c r="DV202" s="228">
        <v>0.51</v>
      </c>
      <c r="DW202" s="228">
        <v>0.37</v>
      </c>
      <c r="DX202" s="228">
        <v>0.14000000000000001</v>
      </c>
      <c r="DY202" s="229">
        <v>0.37840000000000001</v>
      </c>
      <c r="DZ202" s="229">
        <v>0.8478</v>
      </c>
      <c r="EA202" s="230">
        <v>1483250</v>
      </c>
      <c r="EB202" s="229">
        <v>5.5999999999999999E-3</v>
      </c>
      <c r="EC202" s="229">
        <v>0.8478</v>
      </c>
      <c r="ED202" s="228">
        <v>20.28</v>
      </c>
      <c r="EE202" s="229">
        <v>5.7000000000000002E-3</v>
      </c>
      <c r="EF202" s="230">
        <v>73911</v>
      </c>
      <c r="EG202" s="230">
        <v>52070</v>
      </c>
      <c r="EH202" s="229">
        <v>0.41949999999999998</v>
      </c>
      <c r="EI202" s="229">
        <v>0.61880000000000002</v>
      </c>
      <c r="EJ202" s="231">
        <v>50699.360000000001</v>
      </c>
      <c r="EK202" s="231">
        <v>24580.639999999999</v>
      </c>
      <c r="EL202" s="231">
        <v>50349.03</v>
      </c>
      <c r="EM202" s="231">
        <v>4004</v>
      </c>
      <c r="EN202" s="231">
        <v>125629.03</v>
      </c>
      <c r="EO202" s="231">
        <v>135241.23000000001</v>
      </c>
      <c r="EP202" s="231">
        <v>-9612.2000000000007</v>
      </c>
      <c r="EQ202" s="229">
        <v>-7.1099999999999997E-2</v>
      </c>
      <c r="ER202" s="231">
        <v>25227</v>
      </c>
      <c r="ES202" s="231">
        <v>17497</v>
      </c>
      <c r="ET202" s="231">
        <v>85422</v>
      </c>
      <c r="EU202" s="231">
        <v>16072672</v>
      </c>
      <c r="EV202" s="231">
        <v>128145</v>
      </c>
      <c r="EW202" s="231">
        <v>129316</v>
      </c>
      <c r="EX202" s="231">
        <v>-1171</v>
      </c>
      <c r="EY202" s="229">
        <v>-9.1000000000000004E-3</v>
      </c>
      <c r="EZ202" s="229">
        <v>0.22070000000000001</v>
      </c>
      <c r="FA202" s="227" t="s">
        <v>555</v>
      </c>
      <c r="FB202" s="161">
        <f t="shared" si="5"/>
        <v>0</v>
      </c>
    </row>
    <row r="203" spans="1:158" ht="17.25" thickBot="1" x14ac:dyDescent="0.3">
      <c r="A203" s="226">
        <v>45957</v>
      </c>
      <c r="B203" s="227" t="s">
        <v>161</v>
      </c>
      <c r="C203" s="227" t="s">
        <v>299</v>
      </c>
      <c r="D203" s="228">
        <v>375</v>
      </c>
      <c r="E203" s="231">
        <v>1322.2</v>
      </c>
      <c r="F203" s="231">
        <v>1324.1</v>
      </c>
      <c r="G203" s="228">
        <v>-1.9</v>
      </c>
      <c r="H203" s="229">
        <v>-1.4E-3</v>
      </c>
      <c r="I203" s="231">
        <v>1321.7</v>
      </c>
      <c r="J203" s="231">
        <v>1325.8</v>
      </c>
      <c r="K203" s="228">
        <v>-4.0999999999999996</v>
      </c>
      <c r="L203" s="229">
        <v>-3.0999999999999999E-3</v>
      </c>
      <c r="M203" s="231">
        <v>1322.2</v>
      </c>
      <c r="N203" s="231">
        <v>1324.1</v>
      </c>
      <c r="O203" s="228">
        <v>-1.9</v>
      </c>
      <c r="P203" s="229">
        <v>-1.4E-3</v>
      </c>
      <c r="Q203" s="231">
        <v>1329.6</v>
      </c>
      <c r="R203" s="231">
        <v>1331.2</v>
      </c>
      <c r="S203" s="228">
        <v>-1.6</v>
      </c>
      <c r="T203" s="229">
        <v>-1.1999999999999999E-3</v>
      </c>
      <c r="U203" s="231">
        <v>1337.5</v>
      </c>
      <c r="V203" s="231">
        <v>1340.1</v>
      </c>
      <c r="W203" s="228">
        <v>-2.6</v>
      </c>
      <c r="X203" s="229">
        <v>-1.9E-3</v>
      </c>
      <c r="Y203" s="228">
        <v>0.5</v>
      </c>
      <c r="Z203" s="228">
        <v>-1.7</v>
      </c>
      <c r="AA203" s="228">
        <v>2.2000000000000002</v>
      </c>
      <c r="AB203" s="229">
        <v>4.0000000000000002E-4</v>
      </c>
      <c r="AC203" s="228">
        <v>0.5</v>
      </c>
      <c r="AD203" s="228">
        <v>-1.7</v>
      </c>
      <c r="AE203" s="228">
        <v>2.2000000000000002</v>
      </c>
      <c r="AF203" s="229">
        <v>4.0000000000000002E-4</v>
      </c>
      <c r="AG203" s="228">
        <v>7.9</v>
      </c>
      <c r="AH203" s="228">
        <v>5.4</v>
      </c>
      <c r="AI203" s="228">
        <v>2.5</v>
      </c>
      <c r="AJ203" s="229">
        <v>6.0000000000000001E-3</v>
      </c>
      <c r="AK203" s="228">
        <v>15.8</v>
      </c>
      <c r="AL203" s="228">
        <v>14.3</v>
      </c>
      <c r="AM203" s="228">
        <v>1.5</v>
      </c>
      <c r="AN203" s="229">
        <v>1.2E-2</v>
      </c>
      <c r="AO203" s="231">
        <v>1324.59</v>
      </c>
      <c r="AP203" s="231">
        <v>1332.04</v>
      </c>
      <c r="AQ203" s="228">
        <v>0</v>
      </c>
      <c r="AR203" s="230">
        <v>2617875</v>
      </c>
      <c r="AS203" s="230">
        <v>2898750</v>
      </c>
      <c r="AT203" s="230">
        <v>-280875</v>
      </c>
      <c r="AU203" s="229">
        <v>-9.69E-2</v>
      </c>
      <c r="AV203" s="230">
        <v>1251000</v>
      </c>
      <c r="AW203" s="230">
        <v>1434750</v>
      </c>
      <c r="AX203" s="230">
        <v>-183750</v>
      </c>
      <c r="AY203" s="229">
        <v>-0.12809999999999999</v>
      </c>
      <c r="AZ203" s="230">
        <v>1360875</v>
      </c>
      <c r="BA203" s="230">
        <v>1459125</v>
      </c>
      <c r="BB203" s="230">
        <v>-98250</v>
      </c>
      <c r="BC203" s="229">
        <v>-6.7299999999999999E-2</v>
      </c>
      <c r="BD203" s="230">
        <v>6000</v>
      </c>
      <c r="BE203" s="230">
        <v>4875</v>
      </c>
      <c r="BF203" s="230">
        <v>1125</v>
      </c>
      <c r="BG203" s="229">
        <v>0.23080000000000001</v>
      </c>
      <c r="BH203" s="230">
        <v>1029375</v>
      </c>
      <c r="BI203" s="230">
        <v>1557000</v>
      </c>
      <c r="BJ203" s="230">
        <v>-527625</v>
      </c>
      <c r="BK203" s="229">
        <v>-0.33889999999999998</v>
      </c>
      <c r="BL203" s="230">
        <v>640125</v>
      </c>
      <c r="BM203" s="230">
        <v>984000</v>
      </c>
      <c r="BN203" s="230">
        <v>-343875</v>
      </c>
      <c r="BO203" s="229">
        <v>-0.34949999999999998</v>
      </c>
      <c r="BP203" s="230">
        <v>4287375</v>
      </c>
      <c r="BQ203" s="230">
        <v>5439750</v>
      </c>
      <c r="BR203" s="230">
        <v>-1152375</v>
      </c>
      <c r="BS203" s="229">
        <v>-0.21179999999999999</v>
      </c>
      <c r="BT203" s="230">
        <v>175902</v>
      </c>
      <c r="BU203" s="230">
        <v>371008</v>
      </c>
      <c r="BV203" s="230">
        <v>-195106</v>
      </c>
      <c r="BW203" s="229">
        <v>-0.52590000000000003</v>
      </c>
      <c r="BX203" s="230">
        <v>3510375</v>
      </c>
      <c r="BY203" s="230">
        <v>3492000</v>
      </c>
      <c r="BZ203" s="230">
        <v>18375</v>
      </c>
      <c r="CA203" s="229">
        <v>5.3E-3</v>
      </c>
      <c r="CB203" s="230">
        <v>688875</v>
      </c>
      <c r="CC203" s="230">
        <v>1721250</v>
      </c>
      <c r="CD203" s="230">
        <v>-1032375</v>
      </c>
      <c r="CE203" s="229">
        <v>-0.5998</v>
      </c>
      <c r="CF203" s="230">
        <v>2796000</v>
      </c>
      <c r="CG203" s="230">
        <v>1749375</v>
      </c>
      <c r="CH203" s="230">
        <v>1046625</v>
      </c>
      <c r="CI203" s="229">
        <v>0.59830000000000005</v>
      </c>
      <c r="CJ203" s="230">
        <v>25500</v>
      </c>
      <c r="CK203" s="230">
        <v>21375</v>
      </c>
      <c r="CL203" s="230">
        <v>4125</v>
      </c>
      <c r="CM203" s="229">
        <v>0.193</v>
      </c>
      <c r="CN203" s="230">
        <v>1262625</v>
      </c>
      <c r="CO203" s="230">
        <v>1374375</v>
      </c>
      <c r="CP203" s="230">
        <v>-111750</v>
      </c>
      <c r="CQ203" s="229">
        <v>-8.1299999999999997E-2</v>
      </c>
      <c r="CR203" s="230">
        <v>925125</v>
      </c>
      <c r="CS203" s="230">
        <v>939750</v>
      </c>
      <c r="CT203" s="230">
        <v>-14625</v>
      </c>
      <c r="CU203" s="229">
        <v>-1.5599999999999999E-2</v>
      </c>
      <c r="CV203" s="230">
        <v>5698125</v>
      </c>
      <c r="CW203" s="230">
        <v>5806125</v>
      </c>
      <c r="CX203" s="230">
        <v>-108000</v>
      </c>
      <c r="CY203" s="229">
        <v>-1.8599999999999998E-2</v>
      </c>
      <c r="CZ203" s="228">
        <v>31.57</v>
      </c>
      <c r="DA203" s="228">
        <v>31.18</v>
      </c>
      <c r="DB203" s="228">
        <v>0.39</v>
      </c>
      <c r="DC203" s="228">
        <v>0.39</v>
      </c>
      <c r="DD203" s="228">
        <v>41.63</v>
      </c>
      <c r="DE203" s="228">
        <v>41.73</v>
      </c>
      <c r="DF203" s="228">
        <v>-10.06</v>
      </c>
      <c r="DG203" s="228">
        <v>-0.1</v>
      </c>
      <c r="DH203" s="228">
        <v>31.65</v>
      </c>
      <c r="DI203" s="228">
        <v>31.45</v>
      </c>
      <c r="DJ203" s="228">
        <v>0.2</v>
      </c>
      <c r="DK203" s="228">
        <v>0.2</v>
      </c>
      <c r="DL203" s="228">
        <v>31.39</v>
      </c>
      <c r="DM203" s="228">
        <v>30.7</v>
      </c>
      <c r="DN203" s="228">
        <v>0.69</v>
      </c>
      <c r="DO203" s="228">
        <v>0.69</v>
      </c>
      <c r="DP203" s="228">
        <v>0.73</v>
      </c>
      <c r="DQ203" s="228">
        <v>0.68</v>
      </c>
      <c r="DR203" s="228">
        <v>0.05</v>
      </c>
      <c r="DS203" s="229">
        <v>7.3499999999999996E-2</v>
      </c>
      <c r="DT203" s="231">
        <v>1360</v>
      </c>
      <c r="DU203" s="231">
        <v>1300</v>
      </c>
      <c r="DV203" s="228">
        <v>0.62</v>
      </c>
      <c r="DW203" s="228">
        <v>0.63</v>
      </c>
      <c r="DX203" s="228">
        <v>-0.01</v>
      </c>
      <c r="DY203" s="229">
        <v>-1.5900000000000001E-2</v>
      </c>
      <c r="DZ203" s="229">
        <v>0.80379999999999996</v>
      </c>
      <c r="EA203" s="230">
        <v>1770750</v>
      </c>
      <c r="EB203" s="229">
        <v>5.5999999999999999E-3</v>
      </c>
      <c r="EC203" s="229">
        <v>0.80379999999999996</v>
      </c>
      <c r="ED203" s="228">
        <v>7.45</v>
      </c>
      <c r="EE203" s="229">
        <v>5.5999999999999999E-3</v>
      </c>
      <c r="EF203" s="230">
        <v>58029</v>
      </c>
      <c r="EG203" s="230">
        <v>179492</v>
      </c>
      <c r="EH203" s="229">
        <v>-0.67669999999999997</v>
      </c>
      <c r="EI203" s="229">
        <v>0.32990000000000003</v>
      </c>
      <c r="EJ203" s="231">
        <v>14009.25</v>
      </c>
      <c r="EK203" s="231">
        <v>8044.26</v>
      </c>
      <c r="EL203" s="231">
        <v>34778.49</v>
      </c>
      <c r="EM203" s="231">
        <v>3258</v>
      </c>
      <c r="EN203" s="231">
        <v>56832</v>
      </c>
      <c r="EO203" s="231">
        <v>72050.539999999994</v>
      </c>
      <c r="EP203" s="231">
        <v>-15218.54</v>
      </c>
      <c r="EQ203" s="229">
        <v>-0.2112</v>
      </c>
      <c r="ER203" s="231">
        <v>16983</v>
      </c>
      <c r="ES203" s="231">
        <v>11596</v>
      </c>
      <c r="ET203" s="231">
        <v>46625</v>
      </c>
      <c r="EU203" s="231">
        <v>24646022</v>
      </c>
      <c r="EV203" s="231">
        <v>75204</v>
      </c>
      <c r="EW203" s="231">
        <v>76639</v>
      </c>
      <c r="EX203" s="231">
        <v>-1435</v>
      </c>
      <c r="EY203" s="229">
        <v>-1.8700000000000001E-2</v>
      </c>
      <c r="EZ203" s="229">
        <v>0.23119999999999999</v>
      </c>
      <c r="FA203" s="227" t="s">
        <v>567</v>
      </c>
      <c r="FB203" s="161">
        <f t="shared" si="5"/>
        <v>0</v>
      </c>
    </row>
    <row r="204" spans="1:158" ht="17.25" thickBot="1" x14ac:dyDescent="0.3">
      <c r="A204" s="226">
        <v>45957</v>
      </c>
      <c r="B204" s="227" t="s">
        <v>197</v>
      </c>
      <c r="C204" s="227" t="s">
        <v>482</v>
      </c>
      <c r="D204" s="228">
        <v>100</v>
      </c>
      <c r="E204" s="231">
        <v>4806.3</v>
      </c>
      <c r="F204" s="231">
        <v>4784.3</v>
      </c>
      <c r="G204" s="228">
        <v>22</v>
      </c>
      <c r="H204" s="229">
        <v>4.5999999999999999E-3</v>
      </c>
      <c r="I204" s="231">
        <v>4798.7</v>
      </c>
      <c r="J204" s="231">
        <v>4789.6000000000004</v>
      </c>
      <c r="K204" s="228">
        <v>9.1</v>
      </c>
      <c r="L204" s="229">
        <v>1.9E-3</v>
      </c>
      <c r="M204" s="231">
        <v>4806.3</v>
      </c>
      <c r="N204" s="231">
        <v>4784.3</v>
      </c>
      <c r="O204" s="228">
        <v>22</v>
      </c>
      <c r="P204" s="229">
        <v>4.5999999999999999E-3</v>
      </c>
      <c r="Q204" s="231">
        <v>4830.8999999999996</v>
      </c>
      <c r="R204" s="231">
        <v>4808.8</v>
      </c>
      <c r="S204" s="228">
        <v>22.1</v>
      </c>
      <c r="T204" s="229">
        <v>4.5999999999999999E-3</v>
      </c>
      <c r="U204" s="231">
        <v>4865.8999999999996</v>
      </c>
      <c r="V204" s="231">
        <v>4842.3</v>
      </c>
      <c r="W204" s="228">
        <v>23.6</v>
      </c>
      <c r="X204" s="229">
        <v>4.8999999999999998E-3</v>
      </c>
      <c r="Y204" s="228">
        <v>7.6</v>
      </c>
      <c r="Z204" s="228">
        <v>-5.3</v>
      </c>
      <c r="AA204" s="228">
        <v>12.9</v>
      </c>
      <c r="AB204" s="229">
        <v>1.6000000000000001E-3</v>
      </c>
      <c r="AC204" s="228">
        <v>7.6</v>
      </c>
      <c r="AD204" s="228">
        <v>-5.3</v>
      </c>
      <c r="AE204" s="228">
        <v>12.9</v>
      </c>
      <c r="AF204" s="229">
        <v>1.6000000000000001E-3</v>
      </c>
      <c r="AG204" s="228">
        <v>32.200000000000003</v>
      </c>
      <c r="AH204" s="228">
        <v>19.2</v>
      </c>
      <c r="AI204" s="228">
        <v>13</v>
      </c>
      <c r="AJ204" s="229">
        <v>6.7000000000000002E-3</v>
      </c>
      <c r="AK204" s="228">
        <v>67.2</v>
      </c>
      <c r="AL204" s="228">
        <v>52.7</v>
      </c>
      <c r="AM204" s="228">
        <v>14.5</v>
      </c>
      <c r="AN204" s="229">
        <v>1.4E-2</v>
      </c>
      <c r="AO204" s="231">
        <v>4808.01</v>
      </c>
      <c r="AP204" s="231">
        <v>4833.5200000000004</v>
      </c>
      <c r="AQ204" s="228">
        <v>0</v>
      </c>
      <c r="AR204" s="230">
        <v>4854000</v>
      </c>
      <c r="AS204" s="230">
        <v>4768600</v>
      </c>
      <c r="AT204" s="230">
        <v>85400</v>
      </c>
      <c r="AU204" s="229">
        <v>1.7899999999999999E-2</v>
      </c>
      <c r="AV204" s="230">
        <v>2397200</v>
      </c>
      <c r="AW204" s="230">
        <v>2478500</v>
      </c>
      <c r="AX204" s="230">
        <v>-81300</v>
      </c>
      <c r="AY204" s="229">
        <v>-3.2800000000000003E-2</v>
      </c>
      <c r="AZ204" s="230">
        <v>2395500</v>
      </c>
      <c r="BA204" s="230">
        <v>2268100</v>
      </c>
      <c r="BB204" s="230">
        <v>127400</v>
      </c>
      <c r="BC204" s="229">
        <v>5.62E-2</v>
      </c>
      <c r="BD204" s="230">
        <v>61300</v>
      </c>
      <c r="BE204" s="230">
        <v>22000</v>
      </c>
      <c r="BF204" s="230">
        <v>39300</v>
      </c>
      <c r="BG204" s="229">
        <v>1.7864</v>
      </c>
      <c r="BH204" s="230">
        <v>6350000</v>
      </c>
      <c r="BI204" s="230">
        <v>4430300</v>
      </c>
      <c r="BJ204" s="230">
        <v>1919700</v>
      </c>
      <c r="BK204" s="229">
        <v>0.43330000000000002</v>
      </c>
      <c r="BL204" s="230">
        <v>2648300</v>
      </c>
      <c r="BM204" s="230">
        <v>1987700</v>
      </c>
      <c r="BN204" s="230">
        <v>660600</v>
      </c>
      <c r="BO204" s="229">
        <v>0.33229999999999998</v>
      </c>
      <c r="BP204" s="230">
        <v>13852300</v>
      </c>
      <c r="BQ204" s="230">
        <v>11186600</v>
      </c>
      <c r="BR204" s="230">
        <v>2665700</v>
      </c>
      <c r="BS204" s="229">
        <v>0.23830000000000001</v>
      </c>
      <c r="BT204" s="230">
        <v>427023</v>
      </c>
      <c r="BU204" s="230">
        <v>533100</v>
      </c>
      <c r="BV204" s="230">
        <v>-106077</v>
      </c>
      <c r="BW204" s="229">
        <v>-0.19900000000000001</v>
      </c>
      <c r="BX204" s="230">
        <v>8277400</v>
      </c>
      <c r="BY204" s="230">
        <v>8378300</v>
      </c>
      <c r="BZ204" s="230">
        <v>-100900</v>
      </c>
      <c r="CA204" s="229">
        <v>-1.2E-2</v>
      </c>
      <c r="CB204" s="230">
        <v>1670300</v>
      </c>
      <c r="CC204" s="230">
        <v>3462900</v>
      </c>
      <c r="CD204" s="230">
        <v>-1792600</v>
      </c>
      <c r="CE204" s="229">
        <v>-0.51770000000000005</v>
      </c>
      <c r="CF204" s="230">
        <v>6471000</v>
      </c>
      <c r="CG204" s="230">
        <v>4819100</v>
      </c>
      <c r="CH204" s="230">
        <v>1651900</v>
      </c>
      <c r="CI204" s="229">
        <v>0.34279999999999999</v>
      </c>
      <c r="CJ204" s="230">
        <v>136100</v>
      </c>
      <c r="CK204" s="230">
        <v>96300</v>
      </c>
      <c r="CL204" s="230">
        <v>39800</v>
      </c>
      <c r="CM204" s="229">
        <v>0.4133</v>
      </c>
      <c r="CN204" s="230">
        <v>4237100</v>
      </c>
      <c r="CO204" s="230">
        <v>4961200</v>
      </c>
      <c r="CP204" s="230">
        <v>-724100</v>
      </c>
      <c r="CQ204" s="229">
        <v>-0.14599999999999999</v>
      </c>
      <c r="CR204" s="230">
        <v>2318600</v>
      </c>
      <c r="CS204" s="230">
        <v>2493100</v>
      </c>
      <c r="CT204" s="230">
        <v>-174500</v>
      </c>
      <c r="CU204" s="229">
        <v>-7.0000000000000007E-2</v>
      </c>
      <c r="CV204" s="230">
        <v>14833100</v>
      </c>
      <c r="CW204" s="230">
        <v>15832600</v>
      </c>
      <c r="CX204" s="230">
        <v>-999500</v>
      </c>
      <c r="CY204" s="229">
        <v>-6.3100000000000003E-2</v>
      </c>
      <c r="CZ204" s="228">
        <v>33.35</v>
      </c>
      <c r="DA204" s="228">
        <v>33.700000000000003</v>
      </c>
      <c r="DB204" s="228">
        <v>-0.35</v>
      </c>
      <c r="DC204" s="228">
        <v>-0.35</v>
      </c>
      <c r="DD204" s="228">
        <v>44.41</v>
      </c>
      <c r="DE204" s="228">
        <v>44.51</v>
      </c>
      <c r="DF204" s="228">
        <v>-11.06</v>
      </c>
      <c r="DG204" s="228">
        <v>-0.1</v>
      </c>
      <c r="DH204" s="228">
        <v>33.6</v>
      </c>
      <c r="DI204" s="228">
        <v>33.86</v>
      </c>
      <c r="DJ204" s="228">
        <v>-0.26</v>
      </c>
      <c r="DK204" s="228">
        <v>-0.26</v>
      </c>
      <c r="DL204" s="228">
        <v>32.93</v>
      </c>
      <c r="DM204" s="228">
        <v>33.43</v>
      </c>
      <c r="DN204" s="228">
        <v>-0.5</v>
      </c>
      <c r="DO204" s="228">
        <v>-0.5</v>
      </c>
      <c r="DP204" s="228">
        <v>0.55000000000000004</v>
      </c>
      <c r="DQ204" s="228">
        <v>0.5</v>
      </c>
      <c r="DR204" s="228">
        <v>0.05</v>
      </c>
      <c r="DS204" s="229">
        <v>0.1</v>
      </c>
      <c r="DT204" s="231">
        <v>5000</v>
      </c>
      <c r="DU204" s="231">
        <v>4500</v>
      </c>
      <c r="DV204" s="228">
        <v>0.42</v>
      </c>
      <c r="DW204" s="228">
        <v>0.45</v>
      </c>
      <c r="DX204" s="228">
        <v>-0.03</v>
      </c>
      <c r="DY204" s="229">
        <v>-6.6699999999999995E-2</v>
      </c>
      <c r="DZ204" s="229">
        <v>0.79820000000000002</v>
      </c>
      <c r="EA204" s="230">
        <v>4915400</v>
      </c>
      <c r="EB204" s="229">
        <v>5.1000000000000004E-3</v>
      </c>
      <c r="EC204" s="229">
        <v>0.79820000000000002</v>
      </c>
      <c r="ED204" s="228">
        <v>25.51</v>
      </c>
      <c r="EE204" s="229">
        <v>5.3E-3</v>
      </c>
      <c r="EF204" s="230">
        <v>207545</v>
      </c>
      <c r="EG204" s="230">
        <v>306272</v>
      </c>
      <c r="EH204" s="229">
        <v>-0.32240000000000002</v>
      </c>
      <c r="EI204" s="229">
        <v>0.48599999999999999</v>
      </c>
      <c r="EJ204" s="231">
        <v>321938.53000000003</v>
      </c>
      <c r="EK204" s="231">
        <v>126847.48</v>
      </c>
      <c r="EL204" s="231">
        <v>234027.2</v>
      </c>
      <c r="EM204" s="231">
        <v>28140</v>
      </c>
      <c r="EN204" s="231">
        <v>682813.21</v>
      </c>
      <c r="EO204" s="231">
        <v>547515.30000000005</v>
      </c>
      <c r="EP204" s="231">
        <v>135297.91</v>
      </c>
      <c r="EQ204" s="229">
        <v>0.24709999999999999</v>
      </c>
      <c r="ER204" s="231">
        <v>218548</v>
      </c>
      <c r="ES204" s="231">
        <v>109471</v>
      </c>
      <c r="ET204" s="231">
        <v>399510</v>
      </c>
      <c r="EU204" s="231">
        <v>33590487</v>
      </c>
      <c r="EV204" s="231">
        <v>727528</v>
      </c>
      <c r="EW204" s="231">
        <v>775010</v>
      </c>
      <c r="EX204" s="231">
        <v>-47482</v>
      </c>
      <c r="EY204" s="229">
        <v>-6.13E-2</v>
      </c>
      <c r="EZ204" s="229">
        <v>0.44159999999999999</v>
      </c>
      <c r="FA204" s="227" t="s">
        <v>556</v>
      </c>
      <c r="FB204" s="161">
        <f t="shared" si="5"/>
        <v>0</v>
      </c>
    </row>
    <row r="205" spans="1:158" ht="17.25" thickBot="1" x14ac:dyDescent="0.3">
      <c r="A205" s="226">
        <v>45957</v>
      </c>
      <c r="B205" s="227" t="s">
        <v>162</v>
      </c>
      <c r="C205" s="227" t="s">
        <v>300</v>
      </c>
      <c r="D205" s="228">
        <v>350</v>
      </c>
      <c r="E205" s="231">
        <v>3636.4</v>
      </c>
      <c r="F205" s="231">
        <v>3596.2</v>
      </c>
      <c r="G205" s="228">
        <v>40.200000000000003</v>
      </c>
      <c r="H205" s="229">
        <v>1.12E-2</v>
      </c>
      <c r="I205" s="231">
        <v>3639.9</v>
      </c>
      <c r="J205" s="231">
        <v>3599.8</v>
      </c>
      <c r="K205" s="228">
        <v>40.1</v>
      </c>
      <c r="L205" s="229">
        <v>1.11E-2</v>
      </c>
      <c r="M205" s="231">
        <v>3636.4</v>
      </c>
      <c r="N205" s="231">
        <v>3596.2</v>
      </c>
      <c r="O205" s="228">
        <v>40.200000000000003</v>
      </c>
      <c r="P205" s="229">
        <v>1.12E-2</v>
      </c>
      <c r="Q205" s="231">
        <v>3657</v>
      </c>
      <c r="R205" s="231">
        <v>3616.5</v>
      </c>
      <c r="S205" s="228">
        <v>40.5</v>
      </c>
      <c r="T205" s="229">
        <v>1.12E-2</v>
      </c>
      <c r="U205" s="231">
        <v>3680</v>
      </c>
      <c r="V205" s="231">
        <v>3640.7</v>
      </c>
      <c r="W205" s="228">
        <v>39.299999999999997</v>
      </c>
      <c r="X205" s="229">
        <v>1.0800000000000001E-2</v>
      </c>
      <c r="Y205" s="228">
        <v>-3.5</v>
      </c>
      <c r="Z205" s="228">
        <v>-3.6</v>
      </c>
      <c r="AA205" s="228">
        <v>0.1</v>
      </c>
      <c r="AB205" s="229">
        <v>-1E-3</v>
      </c>
      <c r="AC205" s="228">
        <v>-3.5</v>
      </c>
      <c r="AD205" s="228">
        <v>-3.6</v>
      </c>
      <c r="AE205" s="228">
        <v>0.1</v>
      </c>
      <c r="AF205" s="229">
        <v>-1E-3</v>
      </c>
      <c r="AG205" s="228">
        <v>17.100000000000001</v>
      </c>
      <c r="AH205" s="228">
        <v>16.7</v>
      </c>
      <c r="AI205" s="228">
        <v>0.4</v>
      </c>
      <c r="AJ205" s="229">
        <v>4.7000000000000002E-3</v>
      </c>
      <c r="AK205" s="228">
        <v>40.1</v>
      </c>
      <c r="AL205" s="228">
        <v>40.9</v>
      </c>
      <c r="AM205" s="228">
        <v>-0.8</v>
      </c>
      <c r="AN205" s="229">
        <v>1.0999999999999999E-2</v>
      </c>
      <c r="AO205" s="231">
        <v>3624.62</v>
      </c>
      <c r="AP205" s="231">
        <v>3645.25</v>
      </c>
      <c r="AQ205" s="228">
        <v>0</v>
      </c>
      <c r="AR205" s="230">
        <v>5971350</v>
      </c>
      <c r="AS205" s="230">
        <v>6084400</v>
      </c>
      <c r="AT205" s="230">
        <v>-113050</v>
      </c>
      <c r="AU205" s="229">
        <v>-1.8599999999999998E-2</v>
      </c>
      <c r="AV205" s="230">
        <v>2754500</v>
      </c>
      <c r="AW205" s="230">
        <v>3037300</v>
      </c>
      <c r="AX205" s="230">
        <v>-282800</v>
      </c>
      <c r="AY205" s="229">
        <v>-9.3100000000000002E-2</v>
      </c>
      <c r="AZ205" s="230">
        <v>3175900</v>
      </c>
      <c r="BA205" s="230">
        <v>3040450</v>
      </c>
      <c r="BB205" s="230">
        <v>135450</v>
      </c>
      <c r="BC205" s="229">
        <v>4.4499999999999998E-2</v>
      </c>
      <c r="BD205" s="230">
        <v>40950</v>
      </c>
      <c r="BE205" s="230">
        <v>6650</v>
      </c>
      <c r="BF205" s="230">
        <v>34300</v>
      </c>
      <c r="BG205" s="229">
        <v>5.1578999999999997</v>
      </c>
      <c r="BH205" s="230">
        <v>4642050</v>
      </c>
      <c r="BI205" s="230">
        <v>3634750</v>
      </c>
      <c r="BJ205" s="230">
        <v>1007300</v>
      </c>
      <c r="BK205" s="229">
        <v>0.27710000000000001</v>
      </c>
      <c r="BL205" s="230">
        <v>2306150</v>
      </c>
      <c r="BM205" s="230">
        <v>2160200</v>
      </c>
      <c r="BN205" s="230">
        <v>145950</v>
      </c>
      <c r="BO205" s="229">
        <v>6.7599999999999993E-2</v>
      </c>
      <c r="BP205" s="230">
        <v>12919550</v>
      </c>
      <c r="BQ205" s="230">
        <v>11879350</v>
      </c>
      <c r="BR205" s="230">
        <v>1040200</v>
      </c>
      <c r="BS205" s="229">
        <v>8.7599999999999997E-2</v>
      </c>
      <c r="BT205" s="230">
        <v>373627</v>
      </c>
      <c r="BU205" s="230">
        <v>462418</v>
      </c>
      <c r="BV205" s="230">
        <v>-88791</v>
      </c>
      <c r="BW205" s="229">
        <v>-0.192</v>
      </c>
      <c r="BX205" s="230">
        <v>9425850</v>
      </c>
      <c r="BY205" s="230">
        <v>9318050</v>
      </c>
      <c r="BZ205" s="230">
        <v>107800</v>
      </c>
      <c r="CA205" s="229">
        <v>1.1599999999999999E-2</v>
      </c>
      <c r="CB205" s="230">
        <v>1595650</v>
      </c>
      <c r="CC205" s="230">
        <v>3726100</v>
      </c>
      <c r="CD205" s="230">
        <v>-2130450</v>
      </c>
      <c r="CE205" s="229">
        <v>-0.57179999999999997</v>
      </c>
      <c r="CF205" s="230">
        <v>7783650</v>
      </c>
      <c r="CG205" s="230">
        <v>5558000</v>
      </c>
      <c r="CH205" s="230">
        <v>2225650</v>
      </c>
      <c r="CI205" s="229">
        <v>0.40039999999999998</v>
      </c>
      <c r="CJ205" s="230">
        <v>46550</v>
      </c>
      <c r="CK205" s="230">
        <v>33950</v>
      </c>
      <c r="CL205" s="230">
        <v>12600</v>
      </c>
      <c r="CM205" s="229">
        <v>0.37109999999999999</v>
      </c>
      <c r="CN205" s="230">
        <v>2579150</v>
      </c>
      <c r="CO205" s="230">
        <v>2571800</v>
      </c>
      <c r="CP205" s="230">
        <v>7350</v>
      </c>
      <c r="CQ205" s="229">
        <v>2.8999999999999998E-3</v>
      </c>
      <c r="CR205" s="230">
        <v>1890000</v>
      </c>
      <c r="CS205" s="230">
        <v>2044350</v>
      </c>
      <c r="CT205" s="230">
        <v>-154350</v>
      </c>
      <c r="CU205" s="229">
        <v>-7.5499999999999998E-2</v>
      </c>
      <c r="CV205" s="230">
        <v>13895000</v>
      </c>
      <c r="CW205" s="230">
        <v>13934200</v>
      </c>
      <c r="CX205" s="230">
        <v>-39200</v>
      </c>
      <c r="CY205" s="229">
        <v>-2.8E-3</v>
      </c>
      <c r="CZ205" s="228">
        <v>28.73</v>
      </c>
      <c r="DA205" s="228">
        <v>27.63</v>
      </c>
      <c r="DB205" s="228">
        <v>1.1000000000000001</v>
      </c>
      <c r="DC205" s="228">
        <v>1.1000000000000001</v>
      </c>
      <c r="DD205" s="228">
        <v>30.93</v>
      </c>
      <c r="DE205" s="228">
        <v>30.97</v>
      </c>
      <c r="DF205" s="228">
        <v>-2.2000000000000002</v>
      </c>
      <c r="DG205" s="228">
        <v>-0.04</v>
      </c>
      <c r="DH205" s="228">
        <v>28.91</v>
      </c>
      <c r="DI205" s="228">
        <v>27.68</v>
      </c>
      <c r="DJ205" s="228">
        <v>1.23</v>
      </c>
      <c r="DK205" s="228">
        <v>1.23</v>
      </c>
      <c r="DL205" s="228">
        <v>28.3</v>
      </c>
      <c r="DM205" s="228">
        <v>27.58</v>
      </c>
      <c r="DN205" s="228">
        <v>0.72</v>
      </c>
      <c r="DO205" s="228">
        <v>0.72</v>
      </c>
      <c r="DP205" s="228">
        <v>0.73</v>
      </c>
      <c r="DQ205" s="228">
        <v>0.79</v>
      </c>
      <c r="DR205" s="228">
        <v>-0.06</v>
      </c>
      <c r="DS205" s="229">
        <v>-7.5899999999999995E-2</v>
      </c>
      <c r="DT205" s="231">
        <v>3700</v>
      </c>
      <c r="DU205" s="231">
        <v>3500</v>
      </c>
      <c r="DV205" s="228">
        <v>0.5</v>
      </c>
      <c r="DW205" s="228">
        <v>0.59</v>
      </c>
      <c r="DX205" s="228">
        <v>-0.09</v>
      </c>
      <c r="DY205" s="229">
        <v>-0.1525</v>
      </c>
      <c r="DZ205" s="229">
        <v>0.83069999999999999</v>
      </c>
      <c r="EA205" s="230">
        <v>5591950</v>
      </c>
      <c r="EB205" s="229">
        <v>5.7000000000000002E-3</v>
      </c>
      <c r="EC205" s="229">
        <v>0.83069999999999999</v>
      </c>
      <c r="ED205" s="228">
        <v>20.63</v>
      </c>
      <c r="EE205" s="229">
        <v>5.7000000000000002E-3</v>
      </c>
      <c r="EF205" s="230">
        <v>231660</v>
      </c>
      <c r="EG205" s="230">
        <v>266282</v>
      </c>
      <c r="EH205" s="229">
        <v>-0.13</v>
      </c>
      <c r="EI205" s="229">
        <v>0.62</v>
      </c>
      <c r="EJ205" s="231">
        <v>175367.23</v>
      </c>
      <c r="EK205" s="231">
        <v>81080.17</v>
      </c>
      <c r="EL205" s="231">
        <v>217108.38</v>
      </c>
      <c r="EM205" s="231">
        <v>9959</v>
      </c>
      <c r="EN205" s="231">
        <v>473555.78</v>
      </c>
      <c r="EO205" s="231">
        <v>432574.96</v>
      </c>
      <c r="EP205" s="231">
        <v>40980.82</v>
      </c>
      <c r="EQ205" s="229">
        <v>9.4700000000000006E-2</v>
      </c>
      <c r="ER205" s="231">
        <v>96014</v>
      </c>
      <c r="ES205" s="231">
        <v>64543</v>
      </c>
      <c r="ET205" s="231">
        <v>344385</v>
      </c>
      <c r="EU205" s="231">
        <v>35369445</v>
      </c>
      <c r="EV205" s="231">
        <v>504942</v>
      </c>
      <c r="EW205" s="231">
        <v>501304</v>
      </c>
      <c r="EX205" s="231">
        <v>3638</v>
      </c>
      <c r="EY205" s="229">
        <v>7.3000000000000001E-3</v>
      </c>
      <c r="EZ205" s="229">
        <v>0.39290000000000003</v>
      </c>
      <c r="FA205" s="227" t="s">
        <v>555</v>
      </c>
      <c r="FB205" s="161">
        <f t="shared" si="5"/>
        <v>0</v>
      </c>
    </row>
    <row r="206" spans="1:158" ht="17.25" thickBot="1" x14ac:dyDescent="0.3">
      <c r="A206" s="226">
        <v>45957</v>
      </c>
      <c r="B206" s="227" t="s">
        <v>157</v>
      </c>
      <c r="C206" s="227" t="s">
        <v>302</v>
      </c>
      <c r="D206" s="228">
        <v>50</v>
      </c>
      <c r="E206" s="231">
        <v>12036</v>
      </c>
      <c r="F206" s="231">
        <v>11930</v>
      </c>
      <c r="G206" s="228">
        <v>106</v>
      </c>
      <c r="H206" s="229">
        <v>8.8999999999999999E-3</v>
      </c>
      <c r="I206" s="231">
        <v>12015</v>
      </c>
      <c r="J206" s="231">
        <v>11918</v>
      </c>
      <c r="K206" s="228">
        <v>97</v>
      </c>
      <c r="L206" s="229">
        <v>8.0999999999999996E-3</v>
      </c>
      <c r="M206" s="231">
        <v>12036</v>
      </c>
      <c r="N206" s="231">
        <v>11930</v>
      </c>
      <c r="O206" s="228">
        <v>106</v>
      </c>
      <c r="P206" s="229">
        <v>8.8999999999999999E-3</v>
      </c>
      <c r="Q206" s="231">
        <v>12102</v>
      </c>
      <c r="R206" s="231">
        <v>11997</v>
      </c>
      <c r="S206" s="228">
        <v>105</v>
      </c>
      <c r="T206" s="229">
        <v>8.8000000000000005E-3</v>
      </c>
      <c r="U206" s="231">
        <v>12181</v>
      </c>
      <c r="V206" s="231">
        <v>12078</v>
      </c>
      <c r="W206" s="228">
        <v>103</v>
      </c>
      <c r="X206" s="229">
        <v>8.5000000000000006E-3</v>
      </c>
      <c r="Y206" s="228">
        <v>21</v>
      </c>
      <c r="Z206" s="228">
        <v>12</v>
      </c>
      <c r="AA206" s="228">
        <v>9</v>
      </c>
      <c r="AB206" s="229">
        <v>1.6999999999999999E-3</v>
      </c>
      <c r="AC206" s="228">
        <v>21</v>
      </c>
      <c r="AD206" s="228">
        <v>12</v>
      </c>
      <c r="AE206" s="228">
        <v>9</v>
      </c>
      <c r="AF206" s="229">
        <v>1.6999999999999999E-3</v>
      </c>
      <c r="AG206" s="228">
        <v>87</v>
      </c>
      <c r="AH206" s="228">
        <v>79</v>
      </c>
      <c r="AI206" s="228">
        <v>8</v>
      </c>
      <c r="AJ206" s="229">
        <v>7.1999999999999998E-3</v>
      </c>
      <c r="AK206" s="228">
        <v>166</v>
      </c>
      <c r="AL206" s="228">
        <v>160</v>
      </c>
      <c r="AM206" s="228">
        <v>6</v>
      </c>
      <c r="AN206" s="229">
        <v>1.38E-2</v>
      </c>
      <c r="AO206" s="231">
        <v>12001.39</v>
      </c>
      <c r="AP206" s="231">
        <v>12068.32</v>
      </c>
      <c r="AQ206" s="228">
        <v>0</v>
      </c>
      <c r="AR206" s="230">
        <v>1626400</v>
      </c>
      <c r="AS206" s="230">
        <v>1535100</v>
      </c>
      <c r="AT206" s="230">
        <v>91300</v>
      </c>
      <c r="AU206" s="229">
        <v>5.9499999999999997E-2</v>
      </c>
      <c r="AV206" s="230">
        <v>763850</v>
      </c>
      <c r="AW206" s="230">
        <v>743100</v>
      </c>
      <c r="AX206" s="230">
        <v>20750</v>
      </c>
      <c r="AY206" s="229">
        <v>2.7900000000000001E-2</v>
      </c>
      <c r="AZ206" s="230">
        <v>854250</v>
      </c>
      <c r="BA206" s="230">
        <v>785200</v>
      </c>
      <c r="BB206" s="230">
        <v>69050</v>
      </c>
      <c r="BC206" s="229">
        <v>8.7900000000000006E-2</v>
      </c>
      <c r="BD206" s="230">
        <v>8300</v>
      </c>
      <c r="BE206" s="230">
        <v>6800</v>
      </c>
      <c r="BF206" s="230">
        <v>1500</v>
      </c>
      <c r="BG206" s="229">
        <v>0.22059999999999999</v>
      </c>
      <c r="BH206" s="230">
        <v>1825400</v>
      </c>
      <c r="BI206" s="230">
        <v>2101100</v>
      </c>
      <c r="BJ206" s="230">
        <v>-275700</v>
      </c>
      <c r="BK206" s="229">
        <v>-0.13120000000000001</v>
      </c>
      <c r="BL206" s="230">
        <v>967850</v>
      </c>
      <c r="BM206" s="230">
        <v>1457850</v>
      </c>
      <c r="BN206" s="230">
        <v>-490000</v>
      </c>
      <c r="BO206" s="229">
        <v>-0.33610000000000001</v>
      </c>
      <c r="BP206" s="230">
        <v>4419650</v>
      </c>
      <c r="BQ206" s="230">
        <v>5094050</v>
      </c>
      <c r="BR206" s="230">
        <v>-674400</v>
      </c>
      <c r="BS206" s="229">
        <v>-0.13239999999999999</v>
      </c>
      <c r="BT206" s="230">
        <v>464806</v>
      </c>
      <c r="BU206" s="230">
        <v>399375</v>
      </c>
      <c r="BV206" s="230">
        <v>65431</v>
      </c>
      <c r="BW206" s="229">
        <v>0.1638</v>
      </c>
      <c r="BX206" s="230">
        <v>2510650</v>
      </c>
      <c r="BY206" s="230">
        <v>2479950</v>
      </c>
      <c r="BZ206" s="230">
        <v>30700</v>
      </c>
      <c r="CA206" s="229">
        <v>1.24E-2</v>
      </c>
      <c r="CB206" s="230">
        <v>515650</v>
      </c>
      <c r="CC206" s="230">
        <v>1083850</v>
      </c>
      <c r="CD206" s="230">
        <v>-568200</v>
      </c>
      <c r="CE206" s="229">
        <v>-0.5242</v>
      </c>
      <c r="CF206" s="230">
        <v>1978450</v>
      </c>
      <c r="CG206" s="230">
        <v>1383300</v>
      </c>
      <c r="CH206" s="230">
        <v>595150</v>
      </c>
      <c r="CI206" s="229">
        <v>0.43020000000000003</v>
      </c>
      <c r="CJ206" s="230">
        <v>16550</v>
      </c>
      <c r="CK206" s="230">
        <v>12800</v>
      </c>
      <c r="CL206" s="230">
        <v>3750</v>
      </c>
      <c r="CM206" s="229">
        <v>0.29299999999999998</v>
      </c>
      <c r="CN206" s="230">
        <v>826100</v>
      </c>
      <c r="CO206" s="230">
        <v>942200</v>
      </c>
      <c r="CP206" s="230">
        <v>-116100</v>
      </c>
      <c r="CQ206" s="229">
        <v>-0.1232</v>
      </c>
      <c r="CR206" s="230">
        <v>492750</v>
      </c>
      <c r="CS206" s="230">
        <v>504200</v>
      </c>
      <c r="CT206" s="230">
        <v>-11450</v>
      </c>
      <c r="CU206" s="229">
        <v>-2.2700000000000001E-2</v>
      </c>
      <c r="CV206" s="230">
        <v>3829500</v>
      </c>
      <c r="CW206" s="230">
        <v>3926350</v>
      </c>
      <c r="CX206" s="230">
        <v>-96850</v>
      </c>
      <c r="CY206" s="229">
        <v>-2.47E-2</v>
      </c>
      <c r="CZ206" s="228">
        <v>18.86</v>
      </c>
      <c r="DA206" s="228">
        <v>19.63</v>
      </c>
      <c r="DB206" s="228">
        <v>-0.77</v>
      </c>
      <c r="DC206" s="228">
        <v>-0.77</v>
      </c>
      <c r="DD206" s="228">
        <v>25.3</v>
      </c>
      <c r="DE206" s="228">
        <v>25.34</v>
      </c>
      <c r="DF206" s="228">
        <v>-6.44</v>
      </c>
      <c r="DG206" s="228">
        <v>-0.04</v>
      </c>
      <c r="DH206" s="228">
        <v>18.93</v>
      </c>
      <c r="DI206" s="228">
        <v>19.809999999999999</v>
      </c>
      <c r="DJ206" s="228">
        <v>-0.88</v>
      </c>
      <c r="DK206" s="228">
        <v>-0.88</v>
      </c>
      <c r="DL206" s="228">
        <v>18.73</v>
      </c>
      <c r="DM206" s="228">
        <v>19.34</v>
      </c>
      <c r="DN206" s="228">
        <v>-0.61</v>
      </c>
      <c r="DO206" s="228">
        <v>-0.61</v>
      </c>
      <c r="DP206" s="228">
        <v>0.6</v>
      </c>
      <c r="DQ206" s="228">
        <v>0.54</v>
      </c>
      <c r="DR206" s="228">
        <v>0.06</v>
      </c>
      <c r="DS206" s="229">
        <v>0.1111</v>
      </c>
      <c r="DT206" s="231">
        <v>13000</v>
      </c>
      <c r="DU206" s="231">
        <v>12200</v>
      </c>
      <c r="DV206" s="228">
        <v>0.53</v>
      </c>
      <c r="DW206" s="228">
        <v>0.69</v>
      </c>
      <c r="DX206" s="228">
        <v>-0.16</v>
      </c>
      <c r="DY206" s="229">
        <v>-0.2319</v>
      </c>
      <c r="DZ206" s="229">
        <v>0.79459999999999997</v>
      </c>
      <c r="EA206" s="230">
        <v>1396100</v>
      </c>
      <c r="EB206" s="229">
        <v>5.4999999999999997E-3</v>
      </c>
      <c r="EC206" s="229">
        <v>0.79459999999999997</v>
      </c>
      <c r="ED206" s="228">
        <v>66.930000000000007</v>
      </c>
      <c r="EE206" s="229">
        <v>5.5999999999999999E-3</v>
      </c>
      <c r="EF206" s="230">
        <v>381416</v>
      </c>
      <c r="EG206" s="230">
        <v>301744</v>
      </c>
      <c r="EH206" s="229">
        <v>0.26400000000000001</v>
      </c>
      <c r="EI206" s="229">
        <v>0.8206</v>
      </c>
      <c r="EJ206" s="231">
        <v>225886.26</v>
      </c>
      <c r="EK206" s="231">
        <v>115491.98</v>
      </c>
      <c r="EL206" s="231">
        <v>195773.86</v>
      </c>
      <c r="EM206" s="231">
        <v>17839</v>
      </c>
      <c r="EN206" s="231">
        <v>537152.1</v>
      </c>
      <c r="EO206" s="231">
        <v>619629.63</v>
      </c>
      <c r="EP206" s="231">
        <v>-82477.53</v>
      </c>
      <c r="EQ206" s="229">
        <v>-0.1331</v>
      </c>
      <c r="ER206" s="231">
        <v>104537</v>
      </c>
      <c r="ES206" s="231">
        <v>58063</v>
      </c>
      <c r="ET206" s="231">
        <v>303512</v>
      </c>
      <c r="EU206" s="231">
        <v>11962066</v>
      </c>
      <c r="EV206" s="231">
        <v>466112</v>
      </c>
      <c r="EW206" s="231">
        <v>475193</v>
      </c>
      <c r="EX206" s="231">
        <v>-9081</v>
      </c>
      <c r="EY206" s="229">
        <v>-1.9099999999999999E-2</v>
      </c>
      <c r="EZ206" s="229">
        <v>0.3201</v>
      </c>
      <c r="FA206" s="227" t="s">
        <v>555</v>
      </c>
      <c r="FB206" s="161">
        <f t="shared" si="5"/>
        <v>0</v>
      </c>
    </row>
    <row r="207" spans="1:158" ht="17.25" thickBot="1" x14ac:dyDescent="0.3">
      <c r="A207" s="226">
        <v>45957</v>
      </c>
      <c r="B207" s="227" t="s">
        <v>172</v>
      </c>
      <c r="C207" s="227" t="s">
        <v>593</v>
      </c>
      <c r="D207" s="228">
        <v>4425</v>
      </c>
      <c r="E207" s="228">
        <v>144.93</v>
      </c>
      <c r="F207" s="228">
        <v>141.6</v>
      </c>
      <c r="G207" s="228">
        <v>3.33</v>
      </c>
      <c r="H207" s="229">
        <v>2.35E-2</v>
      </c>
      <c r="I207" s="228">
        <v>144.96</v>
      </c>
      <c r="J207" s="228">
        <v>141.77000000000001</v>
      </c>
      <c r="K207" s="228">
        <v>3.19</v>
      </c>
      <c r="L207" s="229">
        <v>2.2499999999999999E-2</v>
      </c>
      <c r="M207" s="228">
        <v>144.93</v>
      </c>
      <c r="N207" s="228">
        <v>141.6</v>
      </c>
      <c r="O207" s="228">
        <v>3.33</v>
      </c>
      <c r="P207" s="229">
        <v>2.35E-2</v>
      </c>
      <c r="Q207" s="228">
        <v>146.11000000000001</v>
      </c>
      <c r="R207" s="228">
        <v>142.4</v>
      </c>
      <c r="S207" s="228">
        <v>3.71</v>
      </c>
      <c r="T207" s="229">
        <v>2.6100000000000002E-2</v>
      </c>
      <c r="U207" s="228">
        <v>146.99</v>
      </c>
      <c r="V207" s="228">
        <v>143.26</v>
      </c>
      <c r="W207" s="228">
        <v>3.73</v>
      </c>
      <c r="X207" s="229">
        <v>2.5999999999999999E-2</v>
      </c>
      <c r="Y207" s="228">
        <v>-0.03</v>
      </c>
      <c r="Z207" s="228">
        <v>-0.17</v>
      </c>
      <c r="AA207" s="228">
        <v>0.14000000000000001</v>
      </c>
      <c r="AB207" s="229">
        <v>-2.0000000000000001E-4</v>
      </c>
      <c r="AC207" s="228">
        <v>-0.03</v>
      </c>
      <c r="AD207" s="228">
        <v>-0.17</v>
      </c>
      <c r="AE207" s="228">
        <v>0.14000000000000001</v>
      </c>
      <c r="AF207" s="229">
        <v>-2.0000000000000001E-4</v>
      </c>
      <c r="AG207" s="228">
        <v>1.1499999999999999</v>
      </c>
      <c r="AH207" s="228">
        <v>0.63</v>
      </c>
      <c r="AI207" s="228">
        <v>0.52</v>
      </c>
      <c r="AJ207" s="229">
        <v>7.9000000000000008E-3</v>
      </c>
      <c r="AK207" s="228">
        <v>2.0299999999999998</v>
      </c>
      <c r="AL207" s="228">
        <v>1.49</v>
      </c>
      <c r="AM207" s="228">
        <v>0.54</v>
      </c>
      <c r="AN207" s="229">
        <v>1.4E-2</v>
      </c>
      <c r="AO207" s="228">
        <v>143.77000000000001</v>
      </c>
      <c r="AP207" s="228">
        <v>144.76</v>
      </c>
      <c r="AQ207" s="228">
        <v>0</v>
      </c>
      <c r="AR207" s="230">
        <v>69379575</v>
      </c>
      <c r="AS207" s="230">
        <v>63312900</v>
      </c>
      <c r="AT207" s="230">
        <v>6066675</v>
      </c>
      <c r="AU207" s="229">
        <v>9.5799999999999996E-2</v>
      </c>
      <c r="AV207" s="230">
        <v>29262525</v>
      </c>
      <c r="AW207" s="230">
        <v>30846675</v>
      </c>
      <c r="AX207" s="230">
        <v>-1584150</v>
      </c>
      <c r="AY207" s="229">
        <v>-5.1400000000000001E-2</v>
      </c>
      <c r="AZ207" s="230">
        <v>39417900</v>
      </c>
      <c r="BA207" s="230">
        <v>32116650</v>
      </c>
      <c r="BB207" s="230">
        <v>7301250</v>
      </c>
      <c r="BC207" s="229">
        <v>0.2273</v>
      </c>
      <c r="BD207" s="230">
        <v>699150</v>
      </c>
      <c r="BE207" s="230">
        <v>349575</v>
      </c>
      <c r="BF207" s="230">
        <v>349575</v>
      </c>
      <c r="BG207" s="229">
        <v>1</v>
      </c>
      <c r="BH207" s="230">
        <v>40873725</v>
      </c>
      <c r="BI207" s="230">
        <v>30014775</v>
      </c>
      <c r="BJ207" s="230">
        <v>10858950</v>
      </c>
      <c r="BK207" s="229">
        <v>0.36180000000000001</v>
      </c>
      <c r="BL207" s="230">
        <v>17930100</v>
      </c>
      <c r="BM207" s="230">
        <v>17434500</v>
      </c>
      <c r="BN207" s="230">
        <v>495600</v>
      </c>
      <c r="BO207" s="229">
        <v>2.8400000000000002E-2</v>
      </c>
      <c r="BP207" s="230">
        <v>128183400</v>
      </c>
      <c r="BQ207" s="230">
        <v>110762175</v>
      </c>
      <c r="BR207" s="230">
        <v>17421225</v>
      </c>
      <c r="BS207" s="229">
        <v>0.1573</v>
      </c>
      <c r="BT207" s="230">
        <v>10531121</v>
      </c>
      <c r="BU207" s="230">
        <v>5869904</v>
      </c>
      <c r="BV207" s="230">
        <v>4661217</v>
      </c>
      <c r="BW207" s="229">
        <v>0.79410000000000003</v>
      </c>
      <c r="BX207" s="230">
        <v>81119100</v>
      </c>
      <c r="BY207" s="230">
        <v>78260550</v>
      </c>
      <c r="BZ207" s="230">
        <v>2858550</v>
      </c>
      <c r="CA207" s="229">
        <v>3.6499999999999998E-2</v>
      </c>
      <c r="CB207" s="230">
        <v>8124300</v>
      </c>
      <c r="CC207" s="230">
        <v>26811075</v>
      </c>
      <c r="CD207" s="230">
        <v>-18686775</v>
      </c>
      <c r="CE207" s="229">
        <v>-0.69699999999999995</v>
      </c>
      <c r="CF207" s="230">
        <v>71950500</v>
      </c>
      <c r="CG207" s="230">
        <v>50661825</v>
      </c>
      <c r="CH207" s="230">
        <v>21288675</v>
      </c>
      <c r="CI207" s="229">
        <v>0.42020000000000002</v>
      </c>
      <c r="CJ207" s="230">
        <v>1044300</v>
      </c>
      <c r="CK207" s="230">
        <v>787650</v>
      </c>
      <c r="CL207" s="230">
        <v>256650</v>
      </c>
      <c r="CM207" s="229">
        <v>0.32579999999999998</v>
      </c>
      <c r="CN207" s="230">
        <v>29036850</v>
      </c>
      <c r="CO207" s="230">
        <v>29328900</v>
      </c>
      <c r="CP207" s="230">
        <v>-292050</v>
      </c>
      <c r="CQ207" s="229">
        <v>-0.01</v>
      </c>
      <c r="CR207" s="230">
        <v>21425850</v>
      </c>
      <c r="CS207" s="230">
        <v>20403675</v>
      </c>
      <c r="CT207" s="230">
        <v>1022175</v>
      </c>
      <c r="CU207" s="229">
        <v>5.0099999999999999E-2</v>
      </c>
      <c r="CV207" s="230">
        <v>131581800</v>
      </c>
      <c r="CW207" s="230">
        <v>127993125</v>
      </c>
      <c r="CX207" s="230">
        <v>3588675</v>
      </c>
      <c r="CY207" s="229">
        <v>2.8000000000000001E-2</v>
      </c>
      <c r="CZ207" s="228">
        <v>33.200000000000003</v>
      </c>
      <c r="DA207" s="228">
        <v>30.9</v>
      </c>
      <c r="DB207" s="228">
        <v>2.2999999999999998</v>
      </c>
      <c r="DC207" s="228">
        <v>2.2999999999999998</v>
      </c>
      <c r="DD207" s="228">
        <v>42.34</v>
      </c>
      <c r="DE207" s="228">
        <v>42.33</v>
      </c>
      <c r="DF207" s="228">
        <v>-9.14</v>
      </c>
      <c r="DG207" s="228">
        <v>0.01</v>
      </c>
      <c r="DH207" s="228">
        <v>33.26</v>
      </c>
      <c r="DI207" s="228">
        <v>31.19</v>
      </c>
      <c r="DJ207" s="228">
        <v>2.0699999999999998</v>
      </c>
      <c r="DK207" s="228">
        <v>2.0699999999999998</v>
      </c>
      <c r="DL207" s="228">
        <v>33.049999999999997</v>
      </c>
      <c r="DM207" s="228">
        <v>30.34</v>
      </c>
      <c r="DN207" s="228">
        <v>2.71</v>
      </c>
      <c r="DO207" s="228">
        <v>2.71</v>
      </c>
      <c r="DP207" s="228">
        <v>0.74</v>
      </c>
      <c r="DQ207" s="228">
        <v>0.7</v>
      </c>
      <c r="DR207" s="228">
        <v>0.04</v>
      </c>
      <c r="DS207" s="229">
        <v>5.7099999999999998E-2</v>
      </c>
      <c r="DT207" s="228">
        <v>150</v>
      </c>
      <c r="DU207" s="228">
        <v>145</v>
      </c>
      <c r="DV207" s="228">
        <v>0.44</v>
      </c>
      <c r="DW207" s="228">
        <v>0.57999999999999996</v>
      </c>
      <c r="DX207" s="228">
        <v>-0.14000000000000001</v>
      </c>
      <c r="DY207" s="229">
        <v>-0.2414</v>
      </c>
      <c r="DZ207" s="229">
        <v>0.89980000000000004</v>
      </c>
      <c r="EA207" s="230">
        <v>51449475</v>
      </c>
      <c r="EB207" s="229">
        <v>8.0999999999999996E-3</v>
      </c>
      <c r="EC207" s="229">
        <v>0.89980000000000004</v>
      </c>
      <c r="ED207" s="228">
        <v>0.99</v>
      </c>
      <c r="EE207" s="229">
        <v>6.8999999999999999E-3</v>
      </c>
      <c r="EF207" s="230">
        <v>5380757</v>
      </c>
      <c r="EG207" s="230">
        <v>2343287</v>
      </c>
      <c r="EH207" s="229">
        <v>1.2962</v>
      </c>
      <c r="EI207" s="229">
        <v>0.51090000000000002</v>
      </c>
      <c r="EJ207" s="231">
        <v>61156.72</v>
      </c>
      <c r="EK207" s="231">
        <v>25506.27</v>
      </c>
      <c r="EL207" s="231">
        <v>100148.83</v>
      </c>
      <c r="EM207" s="231">
        <v>9316</v>
      </c>
      <c r="EN207" s="231">
        <v>186811.82</v>
      </c>
      <c r="EO207" s="231">
        <v>159553.39000000001</v>
      </c>
      <c r="EP207" s="231">
        <v>27258.43</v>
      </c>
      <c r="EQ207" s="229">
        <v>0.17080000000000001</v>
      </c>
      <c r="ER207" s="231">
        <v>42552</v>
      </c>
      <c r="ES207" s="231">
        <v>29465</v>
      </c>
      <c r="ET207" s="231">
        <v>118436</v>
      </c>
      <c r="EU207" s="231">
        <v>289041713</v>
      </c>
      <c r="EV207" s="231">
        <v>190454</v>
      </c>
      <c r="EW207" s="231">
        <v>182049</v>
      </c>
      <c r="EX207" s="231">
        <v>8405</v>
      </c>
      <c r="EY207" s="229">
        <v>4.6199999999999998E-2</v>
      </c>
      <c r="EZ207" s="229">
        <v>0.45519999999999999</v>
      </c>
      <c r="FA207" s="227" t="s">
        <v>555</v>
      </c>
      <c r="FB207" s="161">
        <f t="shared" si="5"/>
        <v>0</v>
      </c>
    </row>
    <row r="208" spans="1:158" ht="17.25" thickBot="1" x14ac:dyDescent="0.3">
      <c r="A208" s="226">
        <v>45957</v>
      </c>
      <c r="B208" s="227" t="s">
        <v>168</v>
      </c>
      <c r="C208" s="227" t="s">
        <v>569</v>
      </c>
      <c r="D208" s="228">
        <v>400</v>
      </c>
      <c r="E208" s="231">
        <v>1351.8</v>
      </c>
      <c r="F208" s="231">
        <v>1355.8</v>
      </c>
      <c r="G208" s="228">
        <v>-4</v>
      </c>
      <c r="H208" s="229">
        <v>-3.0000000000000001E-3</v>
      </c>
      <c r="I208" s="231">
        <v>1353.1</v>
      </c>
      <c r="J208" s="231">
        <v>1357.4</v>
      </c>
      <c r="K208" s="228">
        <v>-4.3</v>
      </c>
      <c r="L208" s="229">
        <v>-3.2000000000000002E-3</v>
      </c>
      <c r="M208" s="231">
        <v>1351.8</v>
      </c>
      <c r="N208" s="231">
        <v>1355.8</v>
      </c>
      <c r="O208" s="228">
        <v>-4</v>
      </c>
      <c r="P208" s="229">
        <v>-3.0000000000000001E-3</v>
      </c>
      <c r="Q208" s="231">
        <v>1359</v>
      </c>
      <c r="R208" s="231">
        <v>1362.8</v>
      </c>
      <c r="S208" s="228">
        <v>-3.8</v>
      </c>
      <c r="T208" s="229">
        <v>-2.8E-3</v>
      </c>
      <c r="U208" s="231">
        <v>1368.1</v>
      </c>
      <c r="V208" s="231">
        <v>1370.2</v>
      </c>
      <c r="W208" s="228">
        <v>-2.1</v>
      </c>
      <c r="X208" s="229">
        <v>-1.5E-3</v>
      </c>
      <c r="Y208" s="228">
        <v>-1.3</v>
      </c>
      <c r="Z208" s="228">
        <v>-1.6</v>
      </c>
      <c r="AA208" s="228">
        <v>0.3</v>
      </c>
      <c r="AB208" s="229">
        <v>-1E-3</v>
      </c>
      <c r="AC208" s="228">
        <v>-1.3</v>
      </c>
      <c r="AD208" s="228">
        <v>-1.6</v>
      </c>
      <c r="AE208" s="228">
        <v>0.3</v>
      </c>
      <c r="AF208" s="229">
        <v>-1E-3</v>
      </c>
      <c r="AG208" s="228">
        <v>5.9</v>
      </c>
      <c r="AH208" s="228">
        <v>5.4</v>
      </c>
      <c r="AI208" s="228">
        <v>0.5</v>
      </c>
      <c r="AJ208" s="229">
        <v>4.4000000000000003E-3</v>
      </c>
      <c r="AK208" s="228">
        <v>15</v>
      </c>
      <c r="AL208" s="228">
        <v>12.8</v>
      </c>
      <c r="AM208" s="228">
        <v>2.2000000000000002</v>
      </c>
      <c r="AN208" s="229">
        <v>1.11E-2</v>
      </c>
      <c r="AO208" s="231">
        <v>1351.09</v>
      </c>
      <c r="AP208" s="231">
        <v>1358.55</v>
      </c>
      <c r="AQ208" s="228">
        <v>0</v>
      </c>
      <c r="AR208" s="230">
        <v>6326400</v>
      </c>
      <c r="AS208" s="230">
        <v>7722800</v>
      </c>
      <c r="AT208" s="230">
        <v>-1396400</v>
      </c>
      <c r="AU208" s="229">
        <v>-0.18079999999999999</v>
      </c>
      <c r="AV208" s="230">
        <v>3058400</v>
      </c>
      <c r="AW208" s="230">
        <v>3970800</v>
      </c>
      <c r="AX208" s="230">
        <v>-912400</v>
      </c>
      <c r="AY208" s="229">
        <v>-0.2298</v>
      </c>
      <c r="AZ208" s="230">
        <v>3227600</v>
      </c>
      <c r="BA208" s="230">
        <v>3732400</v>
      </c>
      <c r="BB208" s="230">
        <v>-504800</v>
      </c>
      <c r="BC208" s="229">
        <v>-0.13519999999999999</v>
      </c>
      <c r="BD208" s="230">
        <v>40400</v>
      </c>
      <c r="BE208" s="230">
        <v>19600</v>
      </c>
      <c r="BF208" s="230">
        <v>20800</v>
      </c>
      <c r="BG208" s="229">
        <v>1.0611999999999999</v>
      </c>
      <c r="BH208" s="230">
        <v>3183200</v>
      </c>
      <c r="BI208" s="230">
        <v>2948400</v>
      </c>
      <c r="BJ208" s="230">
        <v>234800</v>
      </c>
      <c r="BK208" s="229">
        <v>7.9600000000000004E-2</v>
      </c>
      <c r="BL208" s="230">
        <v>1422000</v>
      </c>
      <c r="BM208" s="230">
        <v>1534400</v>
      </c>
      <c r="BN208" s="230">
        <v>-112400</v>
      </c>
      <c r="BO208" s="229">
        <v>-7.3300000000000004E-2</v>
      </c>
      <c r="BP208" s="230">
        <v>10931600</v>
      </c>
      <c r="BQ208" s="230">
        <v>12205600</v>
      </c>
      <c r="BR208" s="230">
        <v>-1274000</v>
      </c>
      <c r="BS208" s="229">
        <v>-0.10440000000000001</v>
      </c>
      <c r="BT208" s="230">
        <v>432894</v>
      </c>
      <c r="BU208" s="230">
        <v>571731</v>
      </c>
      <c r="BV208" s="230">
        <v>-138837</v>
      </c>
      <c r="BW208" s="229">
        <v>-0.24279999999999999</v>
      </c>
      <c r="BX208" s="230">
        <v>13092000</v>
      </c>
      <c r="BY208" s="230">
        <v>12940400</v>
      </c>
      <c r="BZ208" s="230">
        <v>151600</v>
      </c>
      <c r="CA208" s="229">
        <v>1.17E-2</v>
      </c>
      <c r="CB208" s="230">
        <v>2569200</v>
      </c>
      <c r="CC208" s="230">
        <v>5161200</v>
      </c>
      <c r="CD208" s="230">
        <v>-2592000</v>
      </c>
      <c r="CE208" s="229">
        <v>-0.50219999999999998</v>
      </c>
      <c r="CF208" s="230">
        <v>10429600</v>
      </c>
      <c r="CG208" s="230">
        <v>7711200</v>
      </c>
      <c r="CH208" s="230">
        <v>2718400</v>
      </c>
      <c r="CI208" s="229">
        <v>0.35249999999999998</v>
      </c>
      <c r="CJ208" s="230">
        <v>93200</v>
      </c>
      <c r="CK208" s="230">
        <v>68000</v>
      </c>
      <c r="CL208" s="230">
        <v>25200</v>
      </c>
      <c r="CM208" s="229">
        <v>0.37059999999999998</v>
      </c>
      <c r="CN208" s="230">
        <v>3690400</v>
      </c>
      <c r="CO208" s="230">
        <v>3981200</v>
      </c>
      <c r="CP208" s="230">
        <v>-290800</v>
      </c>
      <c r="CQ208" s="229">
        <v>-7.2999999999999995E-2</v>
      </c>
      <c r="CR208" s="230">
        <v>2644400</v>
      </c>
      <c r="CS208" s="230">
        <v>2682400</v>
      </c>
      <c r="CT208" s="230">
        <v>-38000</v>
      </c>
      <c r="CU208" s="229">
        <v>-1.4200000000000001E-2</v>
      </c>
      <c r="CV208" s="230">
        <v>19426800</v>
      </c>
      <c r="CW208" s="230">
        <v>19604000</v>
      </c>
      <c r="CX208" s="230">
        <v>-177200</v>
      </c>
      <c r="CY208" s="229">
        <v>-8.9999999999999993E-3</v>
      </c>
      <c r="CZ208" s="228">
        <v>23.49</v>
      </c>
      <c r="DA208" s="228">
        <v>23.64</v>
      </c>
      <c r="DB208" s="228">
        <v>-0.15</v>
      </c>
      <c r="DC208" s="228">
        <v>-0.15</v>
      </c>
      <c r="DD208" s="228">
        <v>27.92</v>
      </c>
      <c r="DE208" s="228">
        <v>27.98</v>
      </c>
      <c r="DF208" s="228">
        <v>-4.43</v>
      </c>
      <c r="DG208" s="228">
        <v>-0.06</v>
      </c>
      <c r="DH208" s="228">
        <v>23.6</v>
      </c>
      <c r="DI208" s="228">
        <v>23.58</v>
      </c>
      <c r="DJ208" s="228">
        <v>0.02</v>
      </c>
      <c r="DK208" s="228">
        <v>0.02</v>
      </c>
      <c r="DL208" s="228">
        <v>23.37</v>
      </c>
      <c r="DM208" s="228">
        <v>23.73</v>
      </c>
      <c r="DN208" s="228">
        <v>-0.36</v>
      </c>
      <c r="DO208" s="228">
        <v>-0.36</v>
      </c>
      <c r="DP208" s="228">
        <v>0.72</v>
      </c>
      <c r="DQ208" s="228">
        <v>0.67</v>
      </c>
      <c r="DR208" s="228">
        <v>0.05</v>
      </c>
      <c r="DS208" s="229">
        <v>7.46E-2</v>
      </c>
      <c r="DT208" s="231">
        <v>1400</v>
      </c>
      <c r="DU208" s="231">
        <v>1600</v>
      </c>
      <c r="DV208" s="228">
        <v>0.45</v>
      </c>
      <c r="DW208" s="228">
        <v>0.52</v>
      </c>
      <c r="DX208" s="228">
        <v>-7.0000000000000007E-2</v>
      </c>
      <c r="DY208" s="229">
        <v>-0.1346</v>
      </c>
      <c r="DZ208" s="229">
        <v>0.80379999999999996</v>
      </c>
      <c r="EA208" s="230">
        <v>7779200</v>
      </c>
      <c r="EB208" s="229">
        <v>5.3E-3</v>
      </c>
      <c r="EC208" s="229">
        <v>0.80379999999999996</v>
      </c>
      <c r="ED208" s="228">
        <v>7.46</v>
      </c>
      <c r="EE208" s="229">
        <v>5.4999999999999997E-3</v>
      </c>
      <c r="EF208" s="230">
        <v>225834</v>
      </c>
      <c r="EG208" s="230">
        <v>360070</v>
      </c>
      <c r="EH208" s="229">
        <v>-0.37280000000000002</v>
      </c>
      <c r="EI208" s="229">
        <v>0.52170000000000005</v>
      </c>
      <c r="EJ208" s="231">
        <v>44471.7</v>
      </c>
      <c r="EK208" s="231">
        <v>19281.63</v>
      </c>
      <c r="EL208" s="231">
        <v>85722.94</v>
      </c>
      <c r="EM208" s="231">
        <v>9784</v>
      </c>
      <c r="EN208" s="231">
        <v>149476.26999999999</v>
      </c>
      <c r="EO208" s="231">
        <v>167802.78</v>
      </c>
      <c r="EP208" s="231">
        <v>-18326.509999999998</v>
      </c>
      <c r="EQ208" s="229">
        <v>-0.10920000000000001</v>
      </c>
      <c r="ER208" s="231">
        <v>52099</v>
      </c>
      <c r="ES208" s="231">
        <v>36341</v>
      </c>
      <c r="ET208" s="231">
        <v>177744</v>
      </c>
      <c r="EU208" s="231">
        <v>47269416</v>
      </c>
      <c r="EV208" s="231">
        <v>266184</v>
      </c>
      <c r="EW208" s="231">
        <v>269060</v>
      </c>
      <c r="EX208" s="231">
        <v>-2876</v>
      </c>
      <c r="EY208" s="229">
        <v>-1.0699999999999999E-2</v>
      </c>
      <c r="EZ208" s="229">
        <v>0.41099999999999998</v>
      </c>
      <c r="FA208" s="227" t="s">
        <v>567</v>
      </c>
      <c r="FB208" s="161">
        <f t="shared" si="5"/>
        <v>0</v>
      </c>
    </row>
    <row r="209" spans="1:158" ht="17.25" thickBot="1" x14ac:dyDescent="0.3">
      <c r="A209" s="226">
        <v>45957</v>
      </c>
      <c r="B209" s="227" t="s">
        <v>162</v>
      </c>
      <c r="C209" s="227" t="s">
        <v>675</v>
      </c>
      <c r="D209" s="228">
        <v>550</v>
      </c>
      <c r="E209" s="231">
        <v>1203.3</v>
      </c>
      <c r="F209" s="231">
        <v>1194.9000000000001</v>
      </c>
      <c r="G209" s="228">
        <v>8.4</v>
      </c>
      <c r="H209" s="229">
        <v>7.0000000000000001E-3</v>
      </c>
      <c r="I209" s="231">
        <v>1200.0999999999999</v>
      </c>
      <c r="J209" s="231">
        <v>1192</v>
      </c>
      <c r="K209" s="228">
        <v>8.1</v>
      </c>
      <c r="L209" s="229">
        <v>6.7999999999999996E-3</v>
      </c>
      <c r="M209" s="231">
        <v>1203.3</v>
      </c>
      <c r="N209" s="231">
        <v>1194.9000000000001</v>
      </c>
      <c r="O209" s="228">
        <v>8.4</v>
      </c>
      <c r="P209" s="229">
        <v>7.0000000000000001E-3</v>
      </c>
      <c r="Q209" s="231">
        <v>1207.8</v>
      </c>
      <c r="R209" s="231">
        <v>1200.4000000000001</v>
      </c>
      <c r="S209" s="228">
        <v>7.4</v>
      </c>
      <c r="T209" s="229">
        <v>6.1999999999999998E-3</v>
      </c>
      <c r="U209" s="231">
        <v>1207.4000000000001</v>
      </c>
      <c r="V209" s="231">
        <v>1202.9000000000001</v>
      </c>
      <c r="W209" s="228">
        <v>4.5</v>
      </c>
      <c r="X209" s="229">
        <v>3.7000000000000002E-3</v>
      </c>
      <c r="Y209" s="228">
        <v>3.2</v>
      </c>
      <c r="Z209" s="228">
        <v>2.9</v>
      </c>
      <c r="AA209" s="228">
        <v>0.3</v>
      </c>
      <c r="AB209" s="229">
        <v>2.7000000000000001E-3</v>
      </c>
      <c r="AC209" s="228">
        <v>3.2</v>
      </c>
      <c r="AD209" s="228">
        <v>2.9</v>
      </c>
      <c r="AE209" s="228">
        <v>0.3</v>
      </c>
      <c r="AF209" s="229">
        <v>2.7000000000000001E-3</v>
      </c>
      <c r="AG209" s="228">
        <v>7.7</v>
      </c>
      <c r="AH209" s="228">
        <v>8.4</v>
      </c>
      <c r="AI209" s="228">
        <v>-0.7</v>
      </c>
      <c r="AJ209" s="229">
        <v>6.4000000000000003E-3</v>
      </c>
      <c r="AK209" s="228">
        <v>7.3</v>
      </c>
      <c r="AL209" s="228">
        <v>10.9</v>
      </c>
      <c r="AM209" s="228">
        <v>-3.6</v>
      </c>
      <c r="AN209" s="229">
        <v>6.1000000000000004E-3</v>
      </c>
      <c r="AO209" s="231">
        <v>1197.33</v>
      </c>
      <c r="AP209" s="231">
        <v>1202.47</v>
      </c>
      <c r="AQ209" s="228">
        <v>0</v>
      </c>
      <c r="AR209" s="230">
        <v>4090350</v>
      </c>
      <c r="AS209" s="230">
        <v>3001900</v>
      </c>
      <c r="AT209" s="230">
        <v>1088450</v>
      </c>
      <c r="AU209" s="229">
        <v>0.36259999999999998</v>
      </c>
      <c r="AV209" s="230">
        <v>1799600</v>
      </c>
      <c r="AW209" s="230">
        <v>1467400</v>
      </c>
      <c r="AX209" s="230">
        <v>332200</v>
      </c>
      <c r="AY209" s="229">
        <v>0.22639999999999999</v>
      </c>
      <c r="AZ209" s="230">
        <v>2284150</v>
      </c>
      <c r="BA209" s="230">
        <v>1524050</v>
      </c>
      <c r="BB209" s="230">
        <v>760100</v>
      </c>
      <c r="BC209" s="229">
        <v>0.49869999999999998</v>
      </c>
      <c r="BD209" s="230">
        <v>6600</v>
      </c>
      <c r="BE209" s="230">
        <v>10450</v>
      </c>
      <c r="BF209" s="230">
        <v>-3850</v>
      </c>
      <c r="BG209" s="229">
        <v>-0.36840000000000001</v>
      </c>
      <c r="BH209" s="230">
        <v>2608650</v>
      </c>
      <c r="BI209" s="230">
        <v>3013450</v>
      </c>
      <c r="BJ209" s="230">
        <v>-404800</v>
      </c>
      <c r="BK209" s="229">
        <v>-0.1343</v>
      </c>
      <c r="BL209" s="230">
        <v>975150</v>
      </c>
      <c r="BM209" s="230">
        <v>1241350</v>
      </c>
      <c r="BN209" s="230">
        <v>-266200</v>
      </c>
      <c r="BO209" s="229">
        <v>-0.21440000000000001</v>
      </c>
      <c r="BP209" s="230">
        <v>7674150</v>
      </c>
      <c r="BQ209" s="230">
        <v>7256700</v>
      </c>
      <c r="BR209" s="230">
        <v>417450</v>
      </c>
      <c r="BS209" s="229">
        <v>5.7500000000000002E-2</v>
      </c>
      <c r="BT209" s="230">
        <v>645679</v>
      </c>
      <c r="BU209" s="230">
        <v>317095</v>
      </c>
      <c r="BV209" s="230">
        <v>328584</v>
      </c>
      <c r="BW209" s="229">
        <v>1.0362</v>
      </c>
      <c r="BX209" s="230">
        <v>3901700</v>
      </c>
      <c r="BY209" s="230">
        <v>4055700</v>
      </c>
      <c r="BZ209" s="230">
        <v>-154000</v>
      </c>
      <c r="CA209" s="229">
        <v>-3.7999999999999999E-2</v>
      </c>
      <c r="CB209" s="230">
        <v>663300</v>
      </c>
      <c r="CC209" s="230">
        <v>1771000</v>
      </c>
      <c r="CD209" s="230">
        <v>-1107700</v>
      </c>
      <c r="CE209" s="229">
        <v>-0.62549999999999994</v>
      </c>
      <c r="CF209" s="230">
        <v>3176250</v>
      </c>
      <c r="CG209" s="230">
        <v>2224750</v>
      </c>
      <c r="CH209" s="230">
        <v>951500</v>
      </c>
      <c r="CI209" s="229">
        <v>0.42770000000000002</v>
      </c>
      <c r="CJ209" s="230">
        <v>62150</v>
      </c>
      <c r="CK209" s="230">
        <v>59950</v>
      </c>
      <c r="CL209" s="230">
        <v>2200</v>
      </c>
      <c r="CM209" s="229">
        <v>3.6700000000000003E-2</v>
      </c>
      <c r="CN209" s="230">
        <v>2561900</v>
      </c>
      <c r="CO209" s="230">
        <v>3042050</v>
      </c>
      <c r="CP209" s="230">
        <v>-480150</v>
      </c>
      <c r="CQ209" s="229">
        <v>-0.1578</v>
      </c>
      <c r="CR209" s="230">
        <v>1433300</v>
      </c>
      <c r="CS209" s="230">
        <v>1521850</v>
      </c>
      <c r="CT209" s="230">
        <v>-88550</v>
      </c>
      <c r="CU209" s="229">
        <v>-5.8200000000000002E-2</v>
      </c>
      <c r="CV209" s="230">
        <v>7896900</v>
      </c>
      <c r="CW209" s="230">
        <v>8619600</v>
      </c>
      <c r="CX209" s="230">
        <v>-722700</v>
      </c>
      <c r="CY209" s="229">
        <v>-8.3799999999999999E-2</v>
      </c>
      <c r="CZ209" s="228">
        <v>33.65</v>
      </c>
      <c r="DA209" s="228">
        <v>32.97</v>
      </c>
      <c r="DB209" s="228">
        <v>0.68</v>
      </c>
      <c r="DC209" s="228">
        <v>0.68</v>
      </c>
      <c r="DD209" s="228">
        <v>42.01</v>
      </c>
      <c r="DE209" s="228">
        <v>42.1</v>
      </c>
      <c r="DF209" s="228">
        <v>-8.36</v>
      </c>
      <c r="DG209" s="228">
        <v>-0.09</v>
      </c>
      <c r="DH209" s="228">
        <v>33.869999999999997</v>
      </c>
      <c r="DI209" s="228">
        <v>33.25</v>
      </c>
      <c r="DJ209" s="228">
        <v>0.62</v>
      </c>
      <c r="DK209" s="228">
        <v>0.62</v>
      </c>
      <c r="DL209" s="228">
        <v>33.39</v>
      </c>
      <c r="DM209" s="228">
        <v>32.65</v>
      </c>
      <c r="DN209" s="228">
        <v>0.74</v>
      </c>
      <c r="DO209" s="228">
        <v>0.74</v>
      </c>
      <c r="DP209" s="228">
        <v>0.56000000000000005</v>
      </c>
      <c r="DQ209" s="228">
        <v>0.5</v>
      </c>
      <c r="DR209" s="228">
        <v>0.06</v>
      </c>
      <c r="DS209" s="229">
        <v>0.12</v>
      </c>
      <c r="DT209" s="231">
        <v>1300</v>
      </c>
      <c r="DU209" s="231">
        <v>1200</v>
      </c>
      <c r="DV209" s="228">
        <v>0.37</v>
      </c>
      <c r="DW209" s="228">
        <v>0.41</v>
      </c>
      <c r="DX209" s="228">
        <v>-0.04</v>
      </c>
      <c r="DY209" s="229">
        <v>-9.7600000000000006E-2</v>
      </c>
      <c r="DZ209" s="229">
        <v>0.83</v>
      </c>
      <c r="EA209" s="230">
        <v>2284700</v>
      </c>
      <c r="EB209" s="229">
        <v>3.7000000000000002E-3</v>
      </c>
      <c r="EC209" s="229">
        <v>0.83</v>
      </c>
      <c r="ED209" s="228">
        <v>5.14</v>
      </c>
      <c r="EE209" s="229">
        <v>4.3E-3</v>
      </c>
      <c r="EF209" s="230">
        <v>404274</v>
      </c>
      <c r="EG209" s="230">
        <v>152373</v>
      </c>
      <c r="EH209" s="229">
        <v>1.6532</v>
      </c>
      <c r="EI209" s="229">
        <v>0.62609999999999999</v>
      </c>
      <c r="EJ209" s="231">
        <v>33413.39</v>
      </c>
      <c r="EK209" s="231">
        <v>11668.93</v>
      </c>
      <c r="EL209" s="231">
        <v>49092.79</v>
      </c>
      <c r="EM209" s="231">
        <v>3379</v>
      </c>
      <c r="EN209" s="231">
        <v>94175.11</v>
      </c>
      <c r="EO209" s="231">
        <v>89267.69</v>
      </c>
      <c r="EP209" s="231">
        <v>4907.42</v>
      </c>
      <c r="EQ209" s="229">
        <v>5.5E-2</v>
      </c>
      <c r="ER209" s="231">
        <v>33673</v>
      </c>
      <c r="ES209" s="231">
        <v>17475</v>
      </c>
      <c r="ET209" s="231">
        <v>47095</v>
      </c>
      <c r="EU209" s="231">
        <v>22813802</v>
      </c>
      <c r="EV209" s="231">
        <v>98242</v>
      </c>
      <c r="EW209" s="231">
        <v>107170</v>
      </c>
      <c r="EX209" s="231">
        <v>-8928</v>
      </c>
      <c r="EY209" s="229">
        <v>-8.3299999999999999E-2</v>
      </c>
      <c r="EZ209" s="229">
        <v>0.34610000000000002</v>
      </c>
      <c r="FA209" s="227" t="s">
        <v>556</v>
      </c>
      <c r="FB209" s="161">
        <f t="shared" si="5"/>
        <v>0</v>
      </c>
    </row>
    <row r="210" spans="1:158" ht="17.25" thickBot="1" x14ac:dyDescent="0.3">
      <c r="A210" s="226">
        <v>45957</v>
      </c>
      <c r="B210" s="227" t="s">
        <v>498</v>
      </c>
      <c r="C210" s="227" t="s">
        <v>303</v>
      </c>
      <c r="D210" s="228">
        <v>1355</v>
      </c>
      <c r="E210" s="228">
        <v>680.75</v>
      </c>
      <c r="F210" s="228">
        <v>672.35</v>
      </c>
      <c r="G210" s="228">
        <v>8.4</v>
      </c>
      <c r="H210" s="229">
        <v>1.2500000000000001E-2</v>
      </c>
      <c r="I210" s="228">
        <v>679.85</v>
      </c>
      <c r="J210" s="228">
        <v>672.05</v>
      </c>
      <c r="K210" s="228">
        <v>7.8</v>
      </c>
      <c r="L210" s="229">
        <v>1.1599999999999999E-2</v>
      </c>
      <c r="M210" s="228">
        <v>680.75</v>
      </c>
      <c r="N210" s="228">
        <v>672.35</v>
      </c>
      <c r="O210" s="228">
        <v>8.4</v>
      </c>
      <c r="P210" s="229">
        <v>1.2500000000000001E-2</v>
      </c>
      <c r="Q210" s="228">
        <v>684.6</v>
      </c>
      <c r="R210" s="228">
        <v>675.95</v>
      </c>
      <c r="S210" s="228">
        <v>8.65</v>
      </c>
      <c r="T210" s="229">
        <v>1.2800000000000001E-2</v>
      </c>
      <c r="U210" s="228">
        <v>688.85</v>
      </c>
      <c r="V210" s="228">
        <v>680.1</v>
      </c>
      <c r="W210" s="228">
        <v>8.75</v>
      </c>
      <c r="X210" s="229">
        <v>1.29E-2</v>
      </c>
      <c r="Y210" s="228">
        <v>0.9</v>
      </c>
      <c r="Z210" s="228">
        <v>0.3</v>
      </c>
      <c r="AA210" s="228">
        <v>0.6</v>
      </c>
      <c r="AB210" s="229">
        <v>1.2999999999999999E-3</v>
      </c>
      <c r="AC210" s="228">
        <v>0.9</v>
      </c>
      <c r="AD210" s="228">
        <v>0.3</v>
      </c>
      <c r="AE210" s="228">
        <v>0.6</v>
      </c>
      <c r="AF210" s="229">
        <v>1.2999999999999999E-3</v>
      </c>
      <c r="AG210" s="228">
        <v>4.75</v>
      </c>
      <c r="AH210" s="228">
        <v>3.9</v>
      </c>
      <c r="AI210" s="228">
        <v>0.85</v>
      </c>
      <c r="AJ210" s="229">
        <v>7.0000000000000001E-3</v>
      </c>
      <c r="AK210" s="228">
        <v>9</v>
      </c>
      <c r="AL210" s="228">
        <v>8.0500000000000007</v>
      </c>
      <c r="AM210" s="228">
        <v>0.95</v>
      </c>
      <c r="AN210" s="229">
        <v>1.32E-2</v>
      </c>
      <c r="AO210" s="228">
        <v>679.68</v>
      </c>
      <c r="AP210" s="228">
        <v>683.49</v>
      </c>
      <c r="AQ210" s="228">
        <v>0</v>
      </c>
      <c r="AR210" s="230">
        <v>25063435</v>
      </c>
      <c r="AS210" s="230">
        <v>21274855</v>
      </c>
      <c r="AT210" s="230">
        <v>3788580</v>
      </c>
      <c r="AU210" s="229">
        <v>0.17810000000000001</v>
      </c>
      <c r="AV210" s="230">
        <v>12188225</v>
      </c>
      <c r="AW210" s="230">
        <v>10979565</v>
      </c>
      <c r="AX210" s="230">
        <v>1208660</v>
      </c>
      <c r="AY210" s="229">
        <v>0.1101</v>
      </c>
      <c r="AZ210" s="230">
        <v>12755970</v>
      </c>
      <c r="BA210" s="230">
        <v>10226185</v>
      </c>
      <c r="BB210" s="230">
        <v>2529785</v>
      </c>
      <c r="BC210" s="229">
        <v>0.24740000000000001</v>
      </c>
      <c r="BD210" s="230">
        <v>119240</v>
      </c>
      <c r="BE210" s="230">
        <v>69105</v>
      </c>
      <c r="BF210" s="230">
        <v>50135</v>
      </c>
      <c r="BG210" s="229">
        <v>0.72550000000000003</v>
      </c>
      <c r="BH210" s="230">
        <v>8821050</v>
      </c>
      <c r="BI210" s="230">
        <v>10100170</v>
      </c>
      <c r="BJ210" s="230">
        <v>-1279120</v>
      </c>
      <c r="BK210" s="229">
        <v>-0.12659999999999999</v>
      </c>
      <c r="BL210" s="230">
        <v>5241140</v>
      </c>
      <c r="BM210" s="230">
        <v>5262820</v>
      </c>
      <c r="BN210" s="230">
        <v>-21680</v>
      </c>
      <c r="BO210" s="229">
        <v>-4.1000000000000003E-3</v>
      </c>
      <c r="BP210" s="230">
        <v>39125625</v>
      </c>
      <c r="BQ210" s="230">
        <v>36637845</v>
      </c>
      <c r="BR210" s="230">
        <v>2487780</v>
      </c>
      <c r="BS210" s="229">
        <v>6.7900000000000002E-2</v>
      </c>
      <c r="BT210" s="230">
        <v>1378659</v>
      </c>
      <c r="BU210" s="230">
        <v>596647</v>
      </c>
      <c r="BV210" s="230">
        <v>782012</v>
      </c>
      <c r="BW210" s="229">
        <v>1.3107</v>
      </c>
      <c r="BX210" s="230">
        <v>33547090</v>
      </c>
      <c r="BY210" s="230">
        <v>34178520</v>
      </c>
      <c r="BZ210" s="230">
        <v>-631430</v>
      </c>
      <c r="CA210" s="229">
        <v>-1.8499999999999999E-2</v>
      </c>
      <c r="CB210" s="230">
        <v>6938955</v>
      </c>
      <c r="CC210" s="230">
        <v>16753220</v>
      </c>
      <c r="CD210" s="230">
        <v>-9814265</v>
      </c>
      <c r="CE210" s="229">
        <v>-0.58579999999999999</v>
      </c>
      <c r="CF210" s="230">
        <v>26375075</v>
      </c>
      <c r="CG210" s="230">
        <v>17272185</v>
      </c>
      <c r="CH210" s="230">
        <v>9102890</v>
      </c>
      <c r="CI210" s="229">
        <v>0.52700000000000002</v>
      </c>
      <c r="CJ210" s="230">
        <v>233060</v>
      </c>
      <c r="CK210" s="230">
        <v>153115</v>
      </c>
      <c r="CL210" s="230">
        <v>79945</v>
      </c>
      <c r="CM210" s="229">
        <v>0.52210000000000001</v>
      </c>
      <c r="CN210" s="230">
        <v>7861710</v>
      </c>
      <c r="CO210" s="230">
        <v>9094760</v>
      </c>
      <c r="CP210" s="230">
        <v>-1233050</v>
      </c>
      <c r="CQ210" s="229">
        <v>-0.1356</v>
      </c>
      <c r="CR210" s="230">
        <v>5300760</v>
      </c>
      <c r="CS210" s="230">
        <v>5731650</v>
      </c>
      <c r="CT210" s="230">
        <v>-430890</v>
      </c>
      <c r="CU210" s="229">
        <v>-7.5200000000000003E-2</v>
      </c>
      <c r="CV210" s="230">
        <v>46709560</v>
      </c>
      <c r="CW210" s="230">
        <v>49004930</v>
      </c>
      <c r="CX210" s="230">
        <v>-2295370</v>
      </c>
      <c r="CY210" s="229">
        <v>-4.6800000000000001E-2</v>
      </c>
      <c r="CZ210" s="228">
        <v>26.99</v>
      </c>
      <c r="DA210" s="228">
        <v>25.88</v>
      </c>
      <c r="DB210" s="228">
        <v>1.1100000000000001</v>
      </c>
      <c r="DC210" s="228">
        <v>1.1100000000000001</v>
      </c>
      <c r="DD210" s="228">
        <v>33.479999999999997</v>
      </c>
      <c r="DE210" s="228">
        <v>33.520000000000003</v>
      </c>
      <c r="DF210" s="228">
        <v>-6.49</v>
      </c>
      <c r="DG210" s="228">
        <v>-0.04</v>
      </c>
      <c r="DH210" s="228">
        <v>27.02</v>
      </c>
      <c r="DI210" s="228">
        <v>26.07</v>
      </c>
      <c r="DJ210" s="228">
        <v>0.95</v>
      </c>
      <c r="DK210" s="228">
        <v>0.95</v>
      </c>
      <c r="DL210" s="228">
        <v>26.94</v>
      </c>
      <c r="DM210" s="228">
        <v>25.63</v>
      </c>
      <c r="DN210" s="228">
        <v>1.31</v>
      </c>
      <c r="DO210" s="228">
        <v>1.31</v>
      </c>
      <c r="DP210" s="228">
        <v>0.67</v>
      </c>
      <c r="DQ210" s="228">
        <v>0.63</v>
      </c>
      <c r="DR210" s="228">
        <v>0.04</v>
      </c>
      <c r="DS210" s="229">
        <v>6.3500000000000001E-2</v>
      </c>
      <c r="DT210" s="228">
        <v>690</v>
      </c>
      <c r="DU210" s="228">
        <v>660</v>
      </c>
      <c r="DV210" s="228">
        <v>0.59</v>
      </c>
      <c r="DW210" s="228">
        <v>0.52</v>
      </c>
      <c r="DX210" s="228">
        <v>7.0000000000000007E-2</v>
      </c>
      <c r="DY210" s="229">
        <v>0.1346</v>
      </c>
      <c r="DZ210" s="229">
        <v>0.79320000000000002</v>
      </c>
      <c r="EA210" s="230">
        <v>17425300</v>
      </c>
      <c r="EB210" s="229">
        <v>5.7000000000000002E-3</v>
      </c>
      <c r="EC210" s="229">
        <v>0.79320000000000002</v>
      </c>
      <c r="ED210" s="228">
        <v>3.81</v>
      </c>
      <c r="EE210" s="229">
        <v>5.5999999999999999E-3</v>
      </c>
      <c r="EF210" s="230">
        <v>860887</v>
      </c>
      <c r="EG210" s="230">
        <v>272616</v>
      </c>
      <c r="EH210" s="229">
        <v>2.1579000000000002</v>
      </c>
      <c r="EI210" s="229">
        <v>0.62439999999999996</v>
      </c>
      <c r="EJ210" s="231">
        <v>62047.47</v>
      </c>
      <c r="EK210" s="231">
        <v>35261.599999999999</v>
      </c>
      <c r="EL210" s="231">
        <v>170846.65</v>
      </c>
      <c r="EM210" s="231">
        <v>8533</v>
      </c>
      <c r="EN210" s="231">
        <v>268155.71999999997</v>
      </c>
      <c r="EO210" s="231">
        <v>249520.76</v>
      </c>
      <c r="EP210" s="231">
        <v>18634.96</v>
      </c>
      <c r="EQ210" s="229">
        <v>7.4700000000000003E-2</v>
      </c>
      <c r="ER210" s="231">
        <v>55595</v>
      </c>
      <c r="ES210" s="231">
        <v>34899</v>
      </c>
      <c r="ET210" s="231">
        <v>229406</v>
      </c>
      <c r="EU210" s="231">
        <v>82588393</v>
      </c>
      <c r="EV210" s="231">
        <v>319900</v>
      </c>
      <c r="EW210" s="231">
        <v>332275</v>
      </c>
      <c r="EX210" s="231">
        <v>-12375</v>
      </c>
      <c r="EY210" s="229">
        <v>-3.7199999999999997E-2</v>
      </c>
      <c r="EZ210" s="229">
        <v>0.56559999999999999</v>
      </c>
      <c r="FA210" s="227" t="s">
        <v>556</v>
      </c>
      <c r="FB210" s="161">
        <f t="shared" si="5"/>
        <v>0</v>
      </c>
    </row>
    <row r="211" spans="1:158" ht="17.25" thickBot="1" x14ac:dyDescent="0.3">
      <c r="A211" s="226">
        <v>45957</v>
      </c>
      <c r="B211" s="227" t="s">
        <v>168</v>
      </c>
      <c r="C211" s="227" t="s">
        <v>586</v>
      </c>
      <c r="D211" s="228">
        <v>1025</v>
      </c>
      <c r="E211" s="228">
        <v>459.6</v>
      </c>
      <c r="F211" s="228">
        <v>460.8</v>
      </c>
      <c r="G211" s="228">
        <v>-1.2</v>
      </c>
      <c r="H211" s="229">
        <v>-2.5999999999999999E-3</v>
      </c>
      <c r="I211" s="228">
        <v>459.35</v>
      </c>
      <c r="J211" s="228">
        <v>461.4</v>
      </c>
      <c r="K211" s="228">
        <v>-2.0499999999999998</v>
      </c>
      <c r="L211" s="229">
        <v>-4.4000000000000003E-3</v>
      </c>
      <c r="M211" s="228">
        <v>459.6</v>
      </c>
      <c r="N211" s="228">
        <v>460.8</v>
      </c>
      <c r="O211" s="228">
        <v>-1.2</v>
      </c>
      <c r="P211" s="229">
        <v>-2.5999999999999999E-3</v>
      </c>
      <c r="Q211" s="228">
        <v>462.35</v>
      </c>
      <c r="R211" s="228">
        <v>463.25</v>
      </c>
      <c r="S211" s="228">
        <v>-0.9</v>
      </c>
      <c r="T211" s="229">
        <v>-1.9E-3</v>
      </c>
      <c r="U211" s="228">
        <v>465.95</v>
      </c>
      <c r="V211" s="228">
        <v>466.65</v>
      </c>
      <c r="W211" s="228">
        <v>-0.7</v>
      </c>
      <c r="X211" s="229">
        <v>-1.5E-3</v>
      </c>
      <c r="Y211" s="228">
        <v>0.25</v>
      </c>
      <c r="Z211" s="228">
        <v>-0.6</v>
      </c>
      <c r="AA211" s="228">
        <v>0.85</v>
      </c>
      <c r="AB211" s="229">
        <v>5.0000000000000001E-4</v>
      </c>
      <c r="AC211" s="228">
        <v>0.25</v>
      </c>
      <c r="AD211" s="228">
        <v>-0.6</v>
      </c>
      <c r="AE211" s="228">
        <v>0.85</v>
      </c>
      <c r="AF211" s="229">
        <v>5.0000000000000001E-4</v>
      </c>
      <c r="AG211" s="228">
        <v>3</v>
      </c>
      <c r="AH211" s="228">
        <v>1.85</v>
      </c>
      <c r="AI211" s="228">
        <v>1.1499999999999999</v>
      </c>
      <c r="AJ211" s="229">
        <v>6.4999999999999997E-3</v>
      </c>
      <c r="AK211" s="228">
        <v>6.6</v>
      </c>
      <c r="AL211" s="228">
        <v>5.25</v>
      </c>
      <c r="AM211" s="228">
        <v>1.35</v>
      </c>
      <c r="AN211" s="229">
        <v>1.44E-2</v>
      </c>
      <c r="AO211" s="228">
        <v>462.12</v>
      </c>
      <c r="AP211" s="228">
        <v>464.85</v>
      </c>
      <c r="AQ211" s="228">
        <v>0</v>
      </c>
      <c r="AR211" s="230">
        <v>29244275</v>
      </c>
      <c r="AS211" s="230">
        <v>24100825</v>
      </c>
      <c r="AT211" s="230">
        <v>5143450</v>
      </c>
      <c r="AU211" s="229">
        <v>0.21340000000000001</v>
      </c>
      <c r="AV211" s="230">
        <v>13045175</v>
      </c>
      <c r="AW211" s="230">
        <v>12121650</v>
      </c>
      <c r="AX211" s="230">
        <v>923525</v>
      </c>
      <c r="AY211" s="229">
        <v>7.6200000000000004E-2</v>
      </c>
      <c r="AZ211" s="230">
        <v>15892625</v>
      </c>
      <c r="BA211" s="230">
        <v>11880775</v>
      </c>
      <c r="BB211" s="230">
        <v>4011850</v>
      </c>
      <c r="BC211" s="229">
        <v>0.3377</v>
      </c>
      <c r="BD211" s="230">
        <v>306475</v>
      </c>
      <c r="BE211" s="230">
        <v>98400</v>
      </c>
      <c r="BF211" s="230">
        <v>208075</v>
      </c>
      <c r="BG211" s="229">
        <v>2.1145999999999998</v>
      </c>
      <c r="BH211" s="230">
        <v>15080825</v>
      </c>
      <c r="BI211" s="230">
        <v>9801050</v>
      </c>
      <c r="BJ211" s="230">
        <v>5279775</v>
      </c>
      <c r="BK211" s="229">
        <v>0.53869999999999996</v>
      </c>
      <c r="BL211" s="230">
        <v>7704925</v>
      </c>
      <c r="BM211" s="230">
        <v>5343325</v>
      </c>
      <c r="BN211" s="230">
        <v>2361600</v>
      </c>
      <c r="BO211" s="229">
        <v>0.442</v>
      </c>
      <c r="BP211" s="230">
        <v>52030025</v>
      </c>
      <c r="BQ211" s="230">
        <v>39245200</v>
      </c>
      <c r="BR211" s="230">
        <v>12784825</v>
      </c>
      <c r="BS211" s="229">
        <v>0.32579999999999998</v>
      </c>
      <c r="BT211" s="230">
        <v>7693413</v>
      </c>
      <c r="BU211" s="230">
        <v>3782190</v>
      </c>
      <c r="BV211" s="230">
        <v>3911223</v>
      </c>
      <c r="BW211" s="229">
        <v>1.0341</v>
      </c>
      <c r="BX211" s="230">
        <v>38679400</v>
      </c>
      <c r="BY211" s="230">
        <v>38236600</v>
      </c>
      <c r="BZ211" s="230">
        <v>442800</v>
      </c>
      <c r="CA211" s="229">
        <v>1.1599999999999999E-2</v>
      </c>
      <c r="CB211" s="230">
        <v>3782250</v>
      </c>
      <c r="CC211" s="230">
        <v>14463775</v>
      </c>
      <c r="CD211" s="230">
        <v>-10681525</v>
      </c>
      <c r="CE211" s="229">
        <v>-0.73850000000000005</v>
      </c>
      <c r="CF211" s="230">
        <v>34459475</v>
      </c>
      <c r="CG211" s="230">
        <v>23484800</v>
      </c>
      <c r="CH211" s="230">
        <v>10974675</v>
      </c>
      <c r="CI211" s="229">
        <v>0.46729999999999999</v>
      </c>
      <c r="CJ211" s="230">
        <v>437675</v>
      </c>
      <c r="CK211" s="230">
        <v>288025</v>
      </c>
      <c r="CL211" s="230">
        <v>149650</v>
      </c>
      <c r="CM211" s="229">
        <v>0.51959999999999995</v>
      </c>
      <c r="CN211" s="230">
        <v>10282800</v>
      </c>
      <c r="CO211" s="230">
        <v>10277675</v>
      </c>
      <c r="CP211" s="230">
        <v>5125</v>
      </c>
      <c r="CQ211" s="229">
        <v>5.0000000000000001E-4</v>
      </c>
      <c r="CR211" s="230">
        <v>7259050</v>
      </c>
      <c r="CS211" s="230">
        <v>6947450</v>
      </c>
      <c r="CT211" s="230">
        <v>311600</v>
      </c>
      <c r="CU211" s="229">
        <v>4.4900000000000002E-2</v>
      </c>
      <c r="CV211" s="230">
        <v>56221250</v>
      </c>
      <c r="CW211" s="230">
        <v>55461725</v>
      </c>
      <c r="CX211" s="230">
        <v>759525</v>
      </c>
      <c r="CY211" s="229">
        <v>1.37E-2</v>
      </c>
      <c r="CZ211" s="228">
        <v>34.72</v>
      </c>
      <c r="DA211" s="228">
        <v>33.78</v>
      </c>
      <c r="DB211" s="228">
        <v>0.94</v>
      </c>
      <c r="DC211" s="228">
        <v>0.94</v>
      </c>
      <c r="DD211" s="228">
        <v>37.950000000000003</v>
      </c>
      <c r="DE211" s="228">
        <v>38.04</v>
      </c>
      <c r="DF211" s="228">
        <v>-3.23</v>
      </c>
      <c r="DG211" s="228">
        <v>-0.09</v>
      </c>
      <c r="DH211" s="228">
        <v>34.94</v>
      </c>
      <c r="DI211" s="228">
        <v>34.020000000000003</v>
      </c>
      <c r="DJ211" s="228">
        <v>0.92</v>
      </c>
      <c r="DK211" s="228">
        <v>0.92</v>
      </c>
      <c r="DL211" s="228">
        <v>34.229999999999997</v>
      </c>
      <c r="DM211" s="228">
        <v>33.42</v>
      </c>
      <c r="DN211" s="228">
        <v>0.81</v>
      </c>
      <c r="DO211" s="228">
        <v>0.81</v>
      </c>
      <c r="DP211" s="228">
        <v>0.71</v>
      </c>
      <c r="DQ211" s="228">
        <v>0.68</v>
      </c>
      <c r="DR211" s="228">
        <v>0.03</v>
      </c>
      <c r="DS211" s="229">
        <v>4.41E-2</v>
      </c>
      <c r="DT211" s="228">
        <v>500</v>
      </c>
      <c r="DU211" s="228">
        <v>440</v>
      </c>
      <c r="DV211" s="228">
        <v>0.51</v>
      </c>
      <c r="DW211" s="228">
        <v>0.55000000000000004</v>
      </c>
      <c r="DX211" s="228">
        <v>-0.04</v>
      </c>
      <c r="DY211" s="229">
        <v>-7.2700000000000001E-2</v>
      </c>
      <c r="DZ211" s="229">
        <v>0.9022</v>
      </c>
      <c r="EA211" s="230">
        <v>23772825</v>
      </c>
      <c r="EB211" s="229">
        <v>6.0000000000000001E-3</v>
      </c>
      <c r="EC211" s="229">
        <v>0.9022</v>
      </c>
      <c r="ED211" s="228">
        <v>2.73</v>
      </c>
      <c r="EE211" s="229">
        <v>5.8999999999999999E-3</v>
      </c>
      <c r="EF211" s="230">
        <v>5127519</v>
      </c>
      <c r="EG211" s="230">
        <v>2448090</v>
      </c>
      <c r="EH211" s="229">
        <v>1.0945</v>
      </c>
      <c r="EI211" s="229">
        <v>0.66649999999999998</v>
      </c>
      <c r="EJ211" s="231">
        <v>72584.649999999994</v>
      </c>
      <c r="EK211" s="231">
        <v>35542.31</v>
      </c>
      <c r="EL211" s="231">
        <v>135593.74</v>
      </c>
      <c r="EM211" s="231">
        <v>14413</v>
      </c>
      <c r="EN211" s="231">
        <v>243720.7</v>
      </c>
      <c r="EO211" s="231">
        <v>183127.17</v>
      </c>
      <c r="EP211" s="231">
        <v>60593.53</v>
      </c>
      <c r="EQ211" s="229">
        <v>0.33090000000000003</v>
      </c>
      <c r="ER211" s="231">
        <v>49411</v>
      </c>
      <c r="ES211" s="231">
        <v>32010</v>
      </c>
      <c r="ET211" s="231">
        <v>178746</v>
      </c>
      <c r="EU211" s="231">
        <v>203804339</v>
      </c>
      <c r="EV211" s="231">
        <v>260168</v>
      </c>
      <c r="EW211" s="231">
        <v>256971</v>
      </c>
      <c r="EX211" s="231">
        <v>3197</v>
      </c>
      <c r="EY211" s="229">
        <v>1.24E-2</v>
      </c>
      <c r="EZ211" s="229">
        <v>0.27589999999999998</v>
      </c>
      <c r="FA211" s="227" t="s">
        <v>567</v>
      </c>
      <c r="FB211" s="161">
        <f t="shared" si="5"/>
        <v>0</v>
      </c>
    </row>
    <row r="212" spans="1:158" ht="17.25" thickBot="1" x14ac:dyDescent="0.3">
      <c r="A212" s="226">
        <v>45957</v>
      </c>
      <c r="B212" s="227" t="s">
        <v>227</v>
      </c>
      <c r="C212" s="227" t="s">
        <v>304</v>
      </c>
      <c r="D212" s="228">
        <v>1150</v>
      </c>
      <c r="E212" s="228">
        <v>504.65</v>
      </c>
      <c r="F212" s="228">
        <v>496.6</v>
      </c>
      <c r="G212" s="228">
        <v>8.0500000000000007</v>
      </c>
      <c r="H212" s="229">
        <v>1.6199999999999999E-2</v>
      </c>
      <c r="I212" s="228">
        <v>505.25</v>
      </c>
      <c r="J212" s="228">
        <v>495.6</v>
      </c>
      <c r="K212" s="228">
        <v>9.65</v>
      </c>
      <c r="L212" s="229">
        <v>1.95E-2</v>
      </c>
      <c r="M212" s="228">
        <v>504.65</v>
      </c>
      <c r="N212" s="228">
        <v>496.6</v>
      </c>
      <c r="O212" s="228">
        <v>8.0500000000000007</v>
      </c>
      <c r="P212" s="229">
        <v>1.6199999999999999E-2</v>
      </c>
      <c r="Q212" s="228">
        <v>507.6</v>
      </c>
      <c r="R212" s="228">
        <v>499.55</v>
      </c>
      <c r="S212" s="228">
        <v>8.0500000000000007</v>
      </c>
      <c r="T212" s="229">
        <v>1.61E-2</v>
      </c>
      <c r="U212" s="228">
        <v>508.9</v>
      </c>
      <c r="V212" s="228">
        <v>499.75</v>
      </c>
      <c r="W212" s="228">
        <v>9.15</v>
      </c>
      <c r="X212" s="229">
        <v>1.83E-2</v>
      </c>
      <c r="Y212" s="228">
        <v>-0.6</v>
      </c>
      <c r="Z212" s="228">
        <v>1</v>
      </c>
      <c r="AA212" s="228">
        <v>-1.6</v>
      </c>
      <c r="AB212" s="229">
        <v>-1.1999999999999999E-3</v>
      </c>
      <c r="AC212" s="228">
        <v>-0.6</v>
      </c>
      <c r="AD212" s="228">
        <v>1</v>
      </c>
      <c r="AE212" s="228">
        <v>-1.6</v>
      </c>
      <c r="AF212" s="229">
        <v>-1.1999999999999999E-3</v>
      </c>
      <c r="AG212" s="228">
        <v>2.35</v>
      </c>
      <c r="AH212" s="228">
        <v>3.95</v>
      </c>
      <c r="AI212" s="228">
        <v>-1.6</v>
      </c>
      <c r="AJ212" s="229">
        <v>4.7000000000000002E-3</v>
      </c>
      <c r="AK212" s="228">
        <v>3.65</v>
      </c>
      <c r="AL212" s="228">
        <v>4.1500000000000004</v>
      </c>
      <c r="AM212" s="228">
        <v>-0.5</v>
      </c>
      <c r="AN212" s="229">
        <v>7.1999999999999998E-3</v>
      </c>
      <c r="AO212" s="228">
        <v>501.99</v>
      </c>
      <c r="AP212" s="228">
        <v>505.05</v>
      </c>
      <c r="AQ212" s="228">
        <v>0</v>
      </c>
      <c r="AR212" s="230">
        <v>50406800</v>
      </c>
      <c r="AS212" s="230">
        <v>105242250</v>
      </c>
      <c r="AT212" s="230">
        <v>-54835450</v>
      </c>
      <c r="AU212" s="229">
        <v>-0.52100000000000002</v>
      </c>
      <c r="AV212" s="230">
        <v>23994750</v>
      </c>
      <c r="AW212" s="230">
        <v>52408950</v>
      </c>
      <c r="AX212" s="230">
        <v>-28414200</v>
      </c>
      <c r="AY212" s="229">
        <v>-0.54220000000000002</v>
      </c>
      <c r="AZ212" s="230">
        <v>25815200</v>
      </c>
      <c r="BA212" s="230">
        <v>52151350</v>
      </c>
      <c r="BB212" s="230">
        <v>-26336150</v>
      </c>
      <c r="BC212" s="229">
        <v>-0.505</v>
      </c>
      <c r="BD212" s="230">
        <v>596850</v>
      </c>
      <c r="BE212" s="230">
        <v>681950</v>
      </c>
      <c r="BF212" s="230">
        <v>-85100</v>
      </c>
      <c r="BG212" s="229">
        <v>-0.12479999999999999</v>
      </c>
      <c r="BH212" s="230">
        <v>94294250</v>
      </c>
      <c r="BI212" s="230">
        <v>156219450</v>
      </c>
      <c r="BJ212" s="230">
        <v>-61925200</v>
      </c>
      <c r="BK212" s="229">
        <v>-0.39639999999999997</v>
      </c>
      <c r="BL212" s="230">
        <v>36929950</v>
      </c>
      <c r="BM212" s="230">
        <v>62531250</v>
      </c>
      <c r="BN212" s="230">
        <v>-25601300</v>
      </c>
      <c r="BO212" s="229">
        <v>-0.40939999999999999</v>
      </c>
      <c r="BP212" s="230">
        <v>181631000</v>
      </c>
      <c r="BQ212" s="230">
        <v>323992950</v>
      </c>
      <c r="BR212" s="230">
        <v>-142361950</v>
      </c>
      <c r="BS212" s="229">
        <v>-0.43940000000000001</v>
      </c>
      <c r="BT212" s="230">
        <v>14890628</v>
      </c>
      <c r="BU212" s="230">
        <v>27641214</v>
      </c>
      <c r="BV212" s="230">
        <v>-12750586</v>
      </c>
      <c r="BW212" s="229">
        <v>-0.46129999999999999</v>
      </c>
      <c r="BX212" s="230">
        <v>110466700</v>
      </c>
      <c r="BY212" s="230">
        <v>109569700</v>
      </c>
      <c r="BZ212" s="230">
        <v>897000</v>
      </c>
      <c r="CA212" s="229">
        <v>8.2000000000000007E-3</v>
      </c>
      <c r="CB212" s="230">
        <v>15473250</v>
      </c>
      <c r="CC212" s="230">
        <v>32388600</v>
      </c>
      <c r="CD212" s="230">
        <v>-16915350</v>
      </c>
      <c r="CE212" s="229">
        <v>-0.52229999999999999</v>
      </c>
      <c r="CF212" s="230">
        <v>93912450</v>
      </c>
      <c r="CG212" s="230">
        <v>76251900</v>
      </c>
      <c r="CH212" s="230">
        <v>17660550</v>
      </c>
      <c r="CI212" s="229">
        <v>0.2316</v>
      </c>
      <c r="CJ212" s="230">
        <v>1081000</v>
      </c>
      <c r="CK212" s="230">
        <v>929200</v>
      </c>
      <c r="CL212" s="230">
        <v>151800</v>
      </c>
      <c r="CM212" s="229">
        <v>0.16339999999999999</v>
      </c>
      <c r="CN212" s="230">
        <v>28827050</v>
      </c>
      <c r="CO212" s="230">
        <v>34502300</v>
      </c>
      <c r="CP212" s="230">
        <v>-5675250</v>
      </c>
      <c r="CQ212" s="229">
        <v>-0.16450000000000001</v>
      </c>
      <c r="CR212" s="230">
        <v>26976700</v>
      </c>
      <c r="CS212" s="230">
        <v>27286050</v>
      </c>
      <c r="CT212" s="230">
        <v>-309350</v>
      </c>
      <c r="CU212" s="229">
        <v>-1.1299999999999999E-2</v>
      </c>
      <c r="CV212" s="230">
        <v>166270450</v>
      </c>
      <c r="CW212" s="230">
        <v>171358050</v>
      </c>
      <c r="CX212" s="230">
        <v>-5087600</v>
      </c>
      <c r="CY212" s="229">
        <v>-2.9700000000000001E-2</v>
      </c>
      <c r="CZ212" s="228">
        <v>32.119999999999997</v>
      </c>
      <c r="DA212" s="228">
        <v>31.65</v>
      </c>
      <c r="DB212" s="228">
        <v>0.47</v>
      </c>
      <c r="DC212" s="228">
        <v>0.47</v>
      </c>
      <c r="DD212" s="228">
        <v>38.01</v>
      </c>
      <c r="DE212" s="228">
        <v>38.04</v>
      </c>
      <c r="DF212" s="228">
        <v>-5.89</v>
      </c>
      <c r="DG212" s="228">
        <v>-0.03</v>
      </c>
      <c r="DH212" s="228">
        <v>31.88</v>
      </c>
      <c r="DI212" s="228">
        <v>31.63</v>
      </c>
      <c r="DJ212" s="228">
        <v>0.25</v>
      </c>
      <c r="DK212" s="228">
        <v>0.25</v>
      </c>
      <c r="DL212" s="228">
        <v>32.61</v>
      </c>
      <c r="DM212" s="228">
        <v>31.69</v>
      </c>
      <c r="DN212" s="228">
        <v>0.92</v>
      </c>
      <c r="DO212" s="228">
        <v>0.92</v>
      </c>
      <c r="DP212" s="228">
        <v>0.94</v>
      </c>
      <c r="DQ212" s="228">
        <v>0.79</v>
      </c>
      <c r="DR212" s="228">
        <v>0.15</v>
      </c>
      <c r="DS212" s="229">
        <v>0.18990000000000001</v>
      </c>
      <c r="DT212" s="228">
        <v>500</v>
      </c>
      <c r="DU212" s="228">
        <v>500</v>
      </c>
      <c r="DV212" s="228">
        <v>0.39</v>
      </c>
      <c r="DW212" s="228">
        <v>0.4</v>
      </c>
      <c r="DX212" s="228">
        <v>-0.01</v>
      </c>
      <c r="DY212" s="229">
        <v>-2.5000000000000001E-2</v>
      </c>
      <c r="DZ212" s="229">
        <v>0.8599</v>
      </c>
      <c r="EA212" s="230">
        <v>77181100</v>
      </c>
      <c r="EB212" s="229">
        <v>5.7999999999999996E-3</v>
      </c>
      <c r="EC212" s="229">
        <v>0.8599</v>
      </c>
      <c r="ED212" s="228">
        <v>3.06</v>
      </c>
      <c r="EE212" s="229">
        <v>6.1000000000000004E-3</v>
      </c>
      <c r="EF212" s="230">
        <v>6884472</v>
      </c>
      <c r="EG212" s="230">
        <v>12407510</v>
      </c>
      <c r="EH212" s="229">
        <v>-0.4451</v>
      </c>
      <c r="EI212" s="229">
        <v>0.46229999999999999</v>
      </c>
      <c r="EJ212" s="231">
        <v>484233.68</v>
      </c>
      <c r="EK212" s="231">
        <v>181765.13</v>
      </c>
      <c r="EL212" s="231">
        <v>253852.39</v>
      </c>
      <c r="EM212" s="231">
        <v>41873</v>
      </c>
      <c r="EN212" s="231">
        <v>919851.2</v>
      </c>
      <c r="EO212" s="231">
        <v>1627265.15</v>
      </c>
      <c r="EP212" s="231">
        <v>-707413.95</v>
      </c>
      <c r="EQ212" s="229">
        <v>-0.43469999999999998</v>
      </c>
      <c r="ER212" s="231">
        <v>144356</v>
      </c>
      <c r="ES212" s="231">
        <v>125127</v>
      </c>
      <c r="ET212" s="231">
        <v>560287</v>
      </c>
      <c r="EU212" s="231">
        <v>255091106</v>
      </c>
      <c r="EV212" s="231">
        <v>829770</v>
      </c>
      <c r="EW212" s="231">
        <v>845041</v>
      </c>
      <c r="EX212" s="231">
        <v>-15271</v>
      </c>
      <c r="EY212" s="229">
        <v>-1.8100000000000002E-2</v>
      </c>
      <c r="EZ212" s="229">
        <v>0.65180000000000005</v>
      </c>
      <c r="FA212" s="227" t="s">
        <v>555</v>
      </c>
      <c r="FB212" s="161">
        <f t="shared" si="5"/>
        <v>0</v>
      </c>
    </row>
    <row r="213" spans="1:158" ht="17.25" thickBot="1" x14ac:dyDescent="0.3">
      <c r="A213" s="226">
        <v>45957</v>
      </c>
      <c r="B213" s="227" t="s">
        <v>184</v>
      </c>
      <c r="C213" s="227" t="s">
        <v>305</v>
      </c>
      <c r="D213" s="228">
        <v>375</v>
      </c>
      <c r="E213" s="231">
        <v>1433.7</v>
      </c>
      <c r="F213" s="231">
        <v>1443.6</v>
      </c>
      <c r="G213" s="228">
        <v>-9.9</v>
      </c>
      <c r="H213" s="229">
        <v>-6.8999999999999999E-3</v>
      </c>
      <c r="I213" s="231">
        <v>1436.6</v>
      </c>
      <c r="J213" s="231">
        <v>1441.4</v>
      </c>
      <c r="K213" s="228">
        <v>-4.8</v>
      </c>
      <c r="L213" s="229">
        <v>-3.3E-3</v>
      </c>
      <c r="M213" s="231">
        <v>1433.7</v>
      </c>
      <c r="N213" s="231">
        <v>1443.6</v>
      </c>
      <c r="O213" s="228">
        <v>-9.9</v>
      </c>
      <c r="P213" s="229">
        <v>-6.8999999999999999E-3</v>
      </c>
      <c r="Q213" s="231">
        <v>1401.5</v>
      </c>
      <c r="R213" s="231">
        <v>1408.5</v>
      </c>
      <c r="S213" s="228">
        <v>-7</v>
      </c>
      <c r="T213" s="229">
        <v>-5.0000000000000001E-3</v>
      </c>
      <c r="U213" s="231">
        <v>1382.9</v>
      </c>
      <c r="V213" s="231">
        <v>1393.1</v>
      </c>
      <c r="W213" s="228">
        <v>-10.199999999999999</v>
      </c>
      <c r="X213" s="229">
        <v>-7.3000000000000001E-3</v>
      </c>
      <c r="Y213" s="228">
        <v>-2.9</v>
      </c>
      <c r="Z213" s="228">
        <v>2.2000000000000002</v>
      </c>
      <c r="AA213" s="228">
        <v>-5.0999999999999996</v>
      </c>
      <c r="AB213" s="229">
        <v>-2E-3</v>
      </c>
      <c r="AC213" s="228">
        <v>-2.9</v>
      </c>
      <c r="AD213" s="228">
        <v>2.2000000000000002</v>
      </c>
      <c r="AE213" s="228">
        <v>-5.0999999999999996</v>
      </c>
      <c r="AF213" s="229">
        <v>-2E-3</v>
      </c>
      <c r="AG213" s="228">
        <v>-35.1</v>
      </c>
      <c r="AH213" s="228">
        <v>-32.9</v>
      </c>
      <c r="AI213" s="228">
        <v>-2.2000000000000002</v>
      </c>
      <c r="AJ213" s="229">
        <v>-2.4400000000000002E-2</v>
      </c>
      <c r="AK213" s="228">
        <v>-53.7</v>
      </c>
      <c r="AL213" s="228">
        <v>-48.3</v>
      </c>
      <c r="AM213" s="228">
        <v>-5.4</v>
      </c>
      <c r="AN213" s="229">
        <v>-3.7400000000000003E-2</v>
      </c>
      <c r="AO213" s="231">
        <v>1433.06</v>
      </c>
      <c r="AP213" s="231">
        <v>1398.28</v>
      </c>
      <c r="AQ213" s="228">
        <v>0</v>
      </c>
      <c r="AR213" s="230">
        <v>9572625</v>
      </c>
      <c r="AS213" s="230">
        <v>10210875</v>
      </c>
      <c r="AT213" s="230">
        <v>-638250</v>
      </c>
      <c r="AU213" s="229">
        <v>-6.25E-2</v>
      </c>
      <c r="AV213" s="230">
        <v>4656375</v>
      </c>
      <c r="AW213" s="230">
        <v>5301750</v>
      </c>
      <c r="AX213" s="230">
        <v>-645375</v>
      </c>
      <c r="AY213" s="229">
        <v>-0.1217</v>
      </c>
      <c r="AZ213" s="230">
        <v>4815750</v>
      </c>
      <c r="BA213" s="230">
        <v>4886250</v>
      </c>
      <c r="BB213" s="230">
        <v>-70500</v>
      </c>
      <c r="BC213" s="229">
        <v>-1.44E-2</v>
      </c>
      <c r="BD213" s="230">
        <v>100500</v>
      </c>
      <c r="BE213" s="230">
        <v>22875</v>
      </c>
      <c r="BF213" s="230">
        <v>77625</v>
      </c>
      <c r="BG213" s="229">
        <v>3.3934000000000002</v>
      </c>
      <c r="BH213" s="230">
        <v>4000500</v>
      </c>
      <c r="BI213" s="230">
        <v>4787250</v>
      </c>
      <c r="BJ213" s="230">
        <v>-786750</v>
      </c>
      <c r="BK213" s="229">
        <v>-0.1643</v>
      </c>
      <c r="BL213" s="230">
        <v>2659875</v>
      </c>
      <c r="BM213" s="230">
        <v>2492625</v>
      </c>
      <c r="BN213" s="230">
        <v>167250</v>
      </c>
      <c r="BO213" s="229">
        <v>6.7100000000000007E-2</v>
      </c>
      <c r="BP213" s="230">
        <v>16233000</v>
      </c>
      <c r="BQ213" s="230">
        <v>17490750</v>
      </c>
      <c r="BR213" s="230">
        <v>-1257750</v>
      </c>
      <c r="BS213" s="229">
        <v>-7.1900000000000006E-2</v>
      </c>
      <c r="BT213" s="230">
        <v>1348716</v>
      </c>
      <c r="BU213" s="230">
        <v>554013</v>
      </c>
      <c r="BV213" s="230">
        <v>794703</v>
      </c>
      <c r="BW213" s="229">
        <v>1.4343999999999999</v>
      </c>
      <c r="BX213" s="230">
        <v>13174500</v>
      </c>
      <c r="BY213" s="230">
        <v>13243125</v>
      </c>
      <c r="BZ213" s="230">
        <v>-68625</v>
      </c>
      <c r="CA213" s="229">
        <v>-5.1999999999999998E-3</v>
      </c>
      <c r="CB213" s="230">
        <v>1338750</v>
      </c>
      <c r="CC213" s="230">
        <v>4305000</v>
      </c>
      <c r="CD213" s="230">
        <v>-2966250</v>
      </c>
      <c r="CE213" s="229">
        <v>-0.68899999999999995</v>
      </c>
      <c r="CF213" s="230">
        <v>11652375</v>
      </c>
      <c r="CG213" s="230">
        <v>8793000</v>
      </c>
      <c r="CH213" s="230">
        <v>2859375</v>
      </c>
      <c r="CI213" s="229">
        <v>0.32519999999999999</v>
      </c>
      <c r="CJ213" s="230">
        <v>183375</v>
      </c>
      <c r="CK213" s="230">
        <v>145125</v>
      </c>
      <c r="CL213" s="230">
        <v>38250</v>
      </c>
      <c r="CM213" s="229">
        <v>0.2636</v>
      </c>
      <c r="CN213" s="230">
        <v>3028875</v>
      </c>
      <c r="CO213" s="230">
        <v>3076500</v>
      </c>
      <c r="CP213" s="230">
        <v>-47625</v>
      </c>
      <c r="CQ213" s="229">
        <v>-1.55E-2</v>
      </c>
      <c r="CR213" s="230">
        <v>3072750</v>
      </c>
      <c r="CS213" s="230">
        <v>3226875</v>
      </c>
      <c r="CT213" s="230">
        <v>-154125</v>
      </c>
      <c r="CU213" s="229">
        <v>-4.7800000000000002E-2</v>
      </c>
      <c r="CV213" s="230">
        <v>19276125</v>
      </c>
      <c r="CW213" s="230">
        <v>19546500</v>
      </c>
      <c r="CX213" s="230">
        <v>-270375</v>
      </c>
      <c r="CY213" s="229">
        <v>-1.38E-2</v>
      </c>
      <c r="CZ213" s="228">
        <v>31.41</v>
      </c>
      <c r="DA213" s="228">
        <v>31.23</v>
      </c>
      <c r="DB213" s="228">
        <v>0.18</v>
      </c>
      <c r="DC213" s="228">
        <v>0.18</v>
      </c>
      <c r="DD213" s="228">
        <v>37.53</v>
      </c>
      <c r="DE213" s="228">
        <v>37.61</v>
      </c>
      <c r="DF213" s="228">
        <v>-6.12</v>
      </c>
      <c r="DG213" s="228">
        <v>-0.08</v>
      </c>
      <c r="DH213" s="228">
        <v>31.63</v>
      </c>
      <c r="DI213" s="228">
        <v>31.27</v>
      </c>
      <c r="DJ213" s="228">
        <v>0.36</v>
      </c>
      <c r="DK213" s="228">
        <v>0.36</v>
      </c>
      <c r="DL213" s="228">
        <v>31.07</v>
      </c>
      <c r="DM213" s="228">
        <v>31.14</v>
      </c>
      <c r="DN213" s="228">
        <v>-7.0000000000000007E-2</v>
      </c>
      <c r="DO213" s="228">
        <v>-7.0000000000000007E-2</v>
      </c>
      <c r="DP213" s="228">
        <v>1.01</v>
      </c>
      <c r="DQ213" s="228">
        <v>1.05</v>
      </c>
      <c r="DR213" s="228">
        <v>-0.04</v>
      </c>
      <c r="DS213" s="229">
        <v>-3.8100000000000002E-2</v>
      </c>
      <c r="DT213" s="231">
        <v>1460</v>
      </c>
      <c r="DU213" s="231">
        <v>1300</v>
      </c>
      <c r="DV213" s="228">
        <v>0.66</v>
      </c>
      <c r="DW213" s="228">
        <v>0.52</v>
      </c>
      <c r="DX213" s="228">
        <v>0.14000000000000001</v>
      </c>
      <c r="DY213" s="229">
        <v>0.26919999999999999</v>
      </c>
      <c r="DZ213" s="229">
        <v>0.89839999999999998</v>
      </c>
      <c r="EA213" s="230">
        <v>8938125</v>
      </c>
      <c r="EB213" s="229">
        <v>-2.2499999999999999E-2</v>
      </c>
      <c r="EC213" s="229">
        <v>0.89839999999999998</v>
      </c>
      <c r="ED213" s="228">
        <v>-34.78</v>
      </c>
      <c r="EE213" s="229">
        <v>-2.4299999999999999E-2</v>
      </c>
      <c r="EF213" s="230">
        <v>623676</v>
      </c>
      <c r="EG213" s="230">
        <v>285731</v>
      </c>
      <c r="EH213" s="229">
        <v>1.1827000000000001</v>
      </c>
      <c r="EI213" s="229">
        <v>0.46239999999999998</v>
      </c>
      <c r="EJ213" s="231">
        <v>58986.080000000002</v>
      </c>
      <c r="EK213" s="231">
        <v>37516.17</v>
      </c>
      <c r="EL213" s="231">
        <v>135453.13</v>
      </c>
      <c r="EM213" s="231">
        <v>16399</v>
      </c>
      <c r="EN213" s="231">
        <v>231955.38</v>
      </c>
      <c r="EO213" s="231">
        <v>251779.07</v>
      </c>
      <c r="EP213" s="231">
        <v>-19823.689999999999</v>
      </c>
      <c r="EQ213" s="229">
        <v>-7.8700000000000006E-2</v>
      </c>
      <c r="ER213" s="231">
        <v>44297</v>
      </c>
      <c r="ES213" s="231">
        <v>41147</v>
      </c>
      <c r="ET213" s="231">
        <v>185038</v>
      </c>
      <c r="EU213" s="231">
        <v>34594689</v>
      </c>
      <c r="EV213" s="231">
        <v>270481</v>
      </c>
      <c r="EW213" s="231">
        <v>276322</v>
      </c>
      <c r="EX213" s="231">
        <v>-5841</v>
      </c>
      <c r="EY213" s="229">
        <v>-2.1100000000000001E-2</v>
      </c>
      <c r="EZ213" s="229">
        <v>0.55720000000000003</v>
      </c>
      <c r="FA213" s="227" t="s">
        <v>568</v>
      </c>
      <c r="FB213" s="161">
        <f t="shared" si="5"/>
        <v>0</v>
      </c>
    </row>
    <row r="214" spans="1:158" ht="17.25" thickBot="1" x14ac:dyDescent="0.3">
      <c r="A214" s="226">
        <v>45957</v>
      </c>
      <c r="B214" s="227" t="s">
        <v>221</v>
      </c>
      <c r="C214" s="227" t="s">
        <v>306</v>
      </c>
      <c r="D214" s="228">
        <v>3000</v>
      </c>
      <c r="E214" s="228">
        <v>244.6</v>
      </c>
      <c r="F214" s="228">
        <v>243.58</v>
      </c>
      <c r="G214" s="228">
        <v>1.02</v>
      </c>
      <c r="H214" s="229">
        <v>4.1999999999999997E-3</v>
      </c>
      <c r="I214" s="228">
        <v>243.91</v>
      </c>
      <c r="J214" s="228">
        <v>242.98</v>
      </c>
      <c r="K214" s="228">
        <v>0.93</v>
      </c>
      <c r="L214" s="229">
        <v>3.8E-3</v>
      </c>
      <c r="M214" s="228">
        <v>244.6</v>
      </c>
      <c r="N214" s="228">
        <v>243.58</v>
      </c>
      <c r="O214" s="228">
        <v>1.02</v>
      </c>
      <c r="P214" s="229">
        <v>4.1999999999999997E-3</v>
      </c>
      <c r="Q214" s="228">
        <v>243.52</v>
      </c>
      <c r="R214" s="228">
        <v>242.14</v>
      </c>
      <c r="S214" s="228">
        <v>1.38</v>
      </c>
      <c r="T214" s="229">
        <v>5.7000000000000002E-3</v>
      </c>
      <c r="U214" s="228">
        <v>242.8</v>
      </c>
      <c r="V214" s="228">
        <v>241.31</v>
      </c>
      <c r="W214" s="228">
        <v>1.49</v>
      </c>
      <c r="X214" s="229">
        <v>6.1999999999999998E-3</v>
      </c>
      <c r="Y214" s="228">
        <v>0.69</v>
      </c>
      <c r="Z214" s="228">
        <v>0.6</v>
      </c>
      <c r="AA214" s="228">
        <v>0.09</v>
      </c>
      <c r="AB214" s="229">
        <v>2.8E-3</v>
      </c>
      <c r="AC214" s="228">
        <v>0.69</v>
      </c>
      <c r="AD214" s="228">
        <v>0.6</v>
      </c>
      <c r="AE214" s="228">
        <v>0.09</v>
      </c>
      <c r="AF214" s="229">
        <v>2.8E-3</v>
      </c>
      <c r="AG214" s="228">
        <v>-0.39</v>
      </c>
      <c r="AH214" s="228">
        <v>-0.84</v>
      </c>
      <c r="AI214" s="228">
        <v>0.45</v>
      </c>
      <c r="AJ214" s="229">
        <v>-1.6000000000000001E-3</v>
      </c>
      <c r="AK214" s="228">
        <v>-1.1100000000000001</v>
      </c>
      <c r="AL214" s="228">
        <v>-1.67</v>
      </c>
      <c r="AM214" s="228">
        <v>0.56000000000000005</v>
      </c>
      <c r="AN214" s="229">
        <v>-4.5999999999999999E-3</v>
      </c>
      <c r="AO214" s="228">
        <v>245.02</v>
      </c>
      <c r="AP214" s="228">
        <v>243.75</v>
      </c>
      <c r="AQ214" s="228">
        <v>0</v>
      </c>
      <c r="AR214" s="230">
        <v>103641000</v>
      </c>
      <c r="AS214" s="230">
        <v>102924000</v>
      </c>
      <c r="AT214" s="230">
        <v>717000</v>
      </c>
      <c r="AU214" s="229">
        <v>7.0000000000000001E-3</v>
      </c>
      <c r="AV214" s="230">
        <v>50127000</v>
      </c>
      <c r="AW214" s="230">
        <v>50427000</v>
      </c>
      <c r="AX214" s="230">
        <v>-300000</v>
      </c>
      <c r="AY214" s="229">
        <v>-5.8999999999999999E-3</v>
      </c>
      <c r="AZ214" s="230">
        <v>52425000</v>
      </c>
      <c r="BA214" s="230">
        <v>51654000</v>
      </c>
      <c r="BB214" s="230">
        <v>771000</v>
      </c>
      <c r="BC214" s="229">
        <v>1.49E-2</v>
      </c>
      <c r="BD214" s="230">
        <v>1089000</v>
      </c>
      <c r="BE214" s="230">
        <v>843000</v>
      </c>
      <c r="BF214" s="230">
        <v>246000</v>
      </c>
      <c r="BG214" s="229">
        <v>0.2918</v>
      </c>
      <c r="BH214" s="230">
        <v>68607000</v>
      </c>
      <c r="BI214" s="230">
        <v>65298000</v>
      </c>
      <c r="BJ214" s="230">
        <v>3309000</v>
      </c>
      <c r="BK214" s="229">
        <v>5.0700000000000002E-2</v>
      </c>
      <c r="BL214" s="230">
        <v>35034000</v>
      </c>
      <c r="BM214" s="230">
        <v>45204000</v>
      </c>
      <c r="BN214" s="230">
        <v>-10170000</v>
      </c>
      <c r="BO214" s="229">
        <v>-0.22500000000000001</v>
      </c>
      <c r="BP214" s="230">
        <v>207282000</v>
      </c>
      <c r="BQ214" s="230">
        <v>213426000</v>
      </c>
      <c r="BR214" s="230">
        <v>-6144000</v>
      </c>
      <c r="BS214" s="229">
        <v>-2.8799999999999999E-2</v>
      </c>
      <c r="BT214" s="230">
        <v>9757644</v>
      </c>
      <c r="BU214" s="230">
        <v>7093779</v>
      </c>
      <c r="BV214" s="230">
        <v>2663865</v>
      </c>
      <c r="BW214" s="229">
        <v>0.3755</v>
      </c>
      <c r="BX214" s="230">
        <v>160245000</v>
      </c>
      <c r="BY214" s="230">
        <v>163068000</v>
      </c>
      <c r="BZ214" s="230">
        <v>-2823000</v>
      </c>
      <c r="CA214" s="229">
        <v>-1.7299999999999999E-2</v>
      </c>
      <c r="CB214" s="230">
        <v>21759000</v>
      </c>
      <c r="CC214" s="230">
        <v>50490000</v>
      </c>
      <c r="CD214" s="230">
        <v>-28731000</v>
      </c>
      <c r="CE214" s="229">
        <v>-0.56899999999999995</v>
      </c>
      <c r="CF214" s="230">
        <v>134286000</v>
      </c>
      <c r="CG214" s="230">
        <v>108534000</v>
      </c>
      <c r="CH214" s="230">
        <v>25752000</v>
      </c>
      <c r="CI214" s="229">
        <v>0.23730000000000001</v>
      </c>
      <c r="CJ214" s="230">
        <v>4200000</v>
      </c>
      <c r="CK214" s="230">
        <v>4044000</v>
      </c>
      <c r="CL214" s="230">
        <v>156000</v>
      </c>
      <c r="CM214" s="229">
        <v>3.8600000000000002E-2</v>
      </c>
      <c r="CN214" s="230">
        <v>68880000</v>
      </c>
      <c r="CO214" s="230">
        <v>73722000</v>
      </c>
      <c r="CP214" s="230">
        <v>-4842000</v>
      </c>
      <c r="CQ214" s="229">
        <v>-6.5699999999999995E-2</v>
      </c>
      <c r="CR214" s="230">
        <v>45372000</v>
      </c>
      <c r="CS214" s="230">
        <v>46773000</v>
      </c>
      <c r="CT214" s="230">
        <v>-1401000</v>
      </c>
      <c r="CU214" s="229">
        <v>-0.03</v>
      </c>
      <c r="CV214" s="230">
        <v>274497000</v>
      </c>
      <c r="CW214" s="230">
        <v>283563000</v>
      </c>
      <c r="CX214" s="230">
        <v>-9066000</v>
      </c>
      <c r="CY214" s="229">
        <v>-3.2000000000000001E-2</v>
      </c>
      <c r="CZ214" s="228">
        <v>23.59</v>
      </c>
      <c r="DA214" s="228">
        <v>23.69</v>
      </c>
      <c r="DB214" s="228">
        <v>-0.1</v>
      </c>
      <c r="DC214" s="228">
        <v>-0.1</v>
      </c>
      <c r="DD214" s="228">
        <v>31.23</v>
      </c>
      <c r="DE214" s="228">
        <v>31.3</v>
      </c>
      <c r="DF214" s="228">
        <v>-7.64</v>
      </c>
      <c r="DG214" s="228">
        <v>-7.0000000000000007E-2</v>
      </c>
      <c r="DH214" s="228">
        <v>23.85</v>
      </c>
      <c r="DI214" s="228">
        <v>23.92</v>
      </c>
      <c r="DJ214" s="228">
        <v>-7.0000000000000007E-2</v>
      </c>
      <c r="DK214" s="228">
        <v>-7.0000000000000007E-2</v>
      </c>
      <c r="DL214" s="228">
        <v>23.13</v>
      </c>
      <c r="DM214" s="228">
        <v>23.29</v>
      </c>
      <c r="DN214" s="228">
        <v>-0.16</v>
      </c>
      <c r="DO214" s="228">
        <v>-0.16</v>
      </c>
      <c r="DP214" s="228">
        <v>0.66</v>
      </c>
      <c r="DQ214" s="228">
        <v>0.63</v>
      </c>
      <c r="DR214" s="228">
        <v>0.03</v>
      </c>
      <c r="DS214" s="229">
        <v>4.7600000000000003E-2</v>
      </c>
      <c r="DT214" s="228">
        <v>250</v>
      </c>
      <c r="DU214" s="228">
        <v>240</v>
      </c>
      <c r="DV214" s="228">
        <v>0.51</v>
      </c>
      <c r="DW214" s="228">
        <v>0.69</v>
      </c>
      <c r="DX214" s="228">
        <v>-0.18</v>
      </c>
      <c r="DY214" s="229">
        <v>-0.26090000000000002</v>
      </c>
      <c r="DZ214" s="229">
        <v>0.86419999999999997</v>
      </c>
      <c r="EA214" s="230">
        <v>112578000</v>
      </c>
      <c r="EB214" s="229">
        <v>-4.4000000000000003E-3</v>
      </c>
      <c r="EC214" s="229">
        <v>0.86419999999999997</v>
      </c>
      <c r="ED214" s="228">
        <v>-1.27</v>
      </c>
      <c r="EE214" s="229">
        <v>-5.1999999999999998E-3</v>
      </c>
      <c r="EF214" s="230">
        <v>5994618</v>
      </c>
      <c r="EG214" s="230">
        <v>4047496</v>
      </c>
      <c r="EH214" s="229">
        <v>0.48110000000000003</v>
      </c>
      <c r="EI214" s="229">
        <v>0.61439999999999995</v>
      </c>
      <c r="EJ214" s="231">
        <v>172493.53</v>
      </c>
      <c r="EK214" s="231">
        <v>86440.74</v>
      </c>
      <c r="EL214" s="231">
        <v>253256.44</v>
      </c>
      <c r="EM214" s="231">
        <v>26482</v>
      </c>
      <c r="EN214" s="231">
        <v>512190.71</v>
      </c>
      <c r="EO214" s="231">
        <v>526142.09</v>
      </c>
      <c r="EP214" s="231">
        <v>-13951.38</v>
      </c>
      <c r="EQ214" s="229">
        <v>-2.6499999999999999E-2</v>
      </c>
      <c r="ER214" s="231">
        <v>176050</v>
      </c>
      <c r="ES214" s="231">
        <v>107778</v>
      </c>
      <c r="ET214" s="231">
        <v>390433</v>
      </c>
      <c r="EU214" s="231">
        <v>292948819</v>
      </c>
      <c r="EV214" s="231">
        <v>674261</v>
      </c>
      <c r="EW214" s="231">
        <v>694560</v>
      </c>
      <c r="EX214" s="231">
        <v>-20299</v>
      </c>
      <c r="EY214" s="229">
        <v>-2.92E-2</v>
      </c>
      <c r="EZ214" s="229">
        <v>0.93700000000000006</v>
      </c>
      <c r="FA214" s="227" t="s">
        <v>556</v>
      </c>
      <c r="FB214" s="161">
        <f t="shared" si="5"/>
        <v>0</v>
      </c>
    </row>
    <row r="215" spans="1:158" ht="17.25" thickBot="1" x14ac:dyDescent="0.3">
      <c r="A215" s="226">
        <v>45957</v>
      </c>
      <c r="B215" s="227" t="s">
        <v>172</v>
      </c>
      <c r="C215" s="227" t="s">
        <v>590</v>
      </c>
      <c r="D215" s="228">
        <v>31100</v>
      </c>
      <c r="E215" s="228">
        <v>22.8</v>
      </c>
      <c r="F215" s="228">
        <v>22.68</v>
      </c>
      <c r="G215" s="228">
        <v>0.12</v>
      </c>
      <c r="H215" s="229">
        <v>5.3E-3</v>
      </c>
      <c r="I215" s="228">
        <v>22.77</v>
      </c>
      <c r="J215" s="228">
        <v>22.67</v>
      </c>
      <c r="K215" s="228">
        <v>0.1</v>
      </c>
      <c r="L215" s="229">
        <v>4.4000000000000003E-3</v>
      </c>
      <c r="M215" s="228">
        <v>22.8</v>
      </c>
      <c r="N215" s="228">
        <v>22.68</v>
      </c>
      <c r="O215" s="228">
        <v>0.12</v>
      </c>
      <c r="P215" s="229">
        <v>5.3E-3</v>
      </c>
      <c r="Q215" s="228">
        <v>22.93</v>
      </c>
      <c r="R215" s="228">
        <v>22.82</v>
      </c>
      <c r="S215" s="228">
        <v>0.11</v>
      </c>
      <c r="T215" s="229">
        <v>4.7999999999999996E-3</v>
      </c>
      <c r="U215" s="228">
        <v>23.09</v>
      </c>
      <c r="V215" s="228">
        <v>22.97</v>
      </c>
      <c r="W215" s="228">
        <v>0.12</v>
      </c>
      <c r="X215" s="229">
        <v>5.1999999999999998E-3</v>
      </c>
      <c r="Y215" s="228">
        <v>0.03</v>
      </c>
      <c r="Z215" s="228">
        <v>0.01</v>
      </c>
      <c r="AA215" s="228">
        <v>0.02</v>
      </c>
      <c r="AB215" s="229">
        <v>1.2999999999999999E-3</v>
      </c>
      <c r="AC215" s="228">
        <v>0.03</v>
      </c>
      <c r="AD215" s="228">
        <v>0.01</v>
      </c>
      <c r="AE215" s="228">
        <v>0.02</v>
      </c>
      <c r="AF215" s="229">
        <v>1.2999999999999999E-3</v>
      </c>
      <c r="AG215" s="228">
        <v>0.16</v>
      </c>
      <c r="AH215" s="228">
        <v>0.15</v>
      </c>
      <c r="AI215" s="228">
        <v>0.01</v>
      </c>
      <c r="AJ215" s="229">
        <v>7.0000000000000001E-3</v>
      </c>
      <c r="AK215" s="228">
        <v>0.32</v>
      </c>
      <c r="AL215" s="228">
        <v>0.3</v>
      </c>
      <c r="AM215" s="228">
        <v>0.02</v>
      </c>
      <c r="AN215" s="229">
        <v>1.41E-2</v>
      </c>
      <c r="AO215" s="228">
        <v>22.83</v>
      </c>
      <c r="AP215" s="228">
        <v>22.97</v>
      </c>
      <c r="AQ215" s="228">
        <v>0</v>
      </c>
      <c r="AR215" s="230">
        <v>576407400</v>
      </c>
      <c r="AS215" s="230">
        <v>469952100</v>
      </c>
      <c r="AT215" s="230">
        <v>106455300</v>
      </c>
      <c r="AU215" s="229">
        <v>0.22650000000000001</v>
      </c>
      <c r="AV215" s="230">
        <v>271409700</v>
      </c>
      <c r="AW215" s="230">
        <v>233903100</v>
      </c>
      <c r="AX215" s="230">
        <v>37506600</v>
      </c>
      <c r="AY215" s="229">
        <v>0.16039999999999999</v>
      </c>
      <c r="AZ215" s="230">
        <v>293677300</v>
      </c>
      <c r="BA215" s="230">
        <v>230762000</v>
      </c>
      <c r="BB215" s="230">
        <v>62915300</v>
      </c>
      <c r="BC215" s="229">
        <v>0.27260000000000001</v>
      </c>
      <c r="BD215" s="230">
        <v>11320400</v>
      </c>
      <c r="BE215" s="230">
        <v>5287000</v>
      </c>
      <c r="BF215" s="230">
        <v>6033400</v>
      </c>
      <c r="BG215" s="229">
        <v>1.1412</v>
      </c>
      <c r="BH215" s="230">
        <v>123778000</v>
      </c>
      <c r="BI215" s="230">
        <v>261924200</v>
      </c>
      <c r="BJ215" s="230">
        <v>-138146200</v>
      </c>
      <c r="BK215" s="229">
        <v>-0.52739999999999998</v>
      </c>
      <c r="BL215" s="230">
        <v>54456100</v>
      </c>
      <c r="BM215" s="230">
        <v>52838900</v>
      </c>
      <c r="BN215" s="230">
        <v>1617200</v>
      </c>
      <c r="BO215" s="229">
        <v>3.0599999999999999E-2</v>
      </c>
      <c r="BP215" s="230">
        <v>754641500</v>
      </c>
      <c r="BQ215" s="230">
        <v>784715200</v>
      </c>
      <c r="BR215" s="230">
        <v>-30073700</v>
      </c>
      <c r="BS215" s="229">
        <v>-3.8300000000000001E-2</v>
      </c>
      <c r="BT215" s="230">
        <v>89638740</v>
      </c>
      <c r="BU215" s="230">
        <v>101211518</v>
      </c>
      <c r="BV215" s="230">
        <v>-11572778</v>
      </c>
      <c r="BW215" s="229">
        <v>-0.1143</v>
      </c>
      <c r="BX215" s="230">
        <v>1023532100</v>
      </c>
      <c r="BY215" s="230">
        <v>1030840600</v>
      </c>
      <c r="BZ215" s="230">
        <v>-7308500</v>
      </c>
      <c r="CA215" s="229">
        <v>-7.1000000000000004E-3</v>
      </c>
      <c r="CB215" s="230">
        <v>244290500</v>
      </c>
      <c r="CC215" s="230">
        <v>461213000</v>
      </c>
      <c r="CD215" s="230">
        <v>-216922500</v>
      </c>
      <c r="CE215" s="229">
        <v>-0.4703</v>
      </c>
      <c r="CF215" s="230">
        <v>743507700</v>
      </c>
      <c r="CG215" s="230">
        <v>538776400</v>
      </c>
      <c r="CH215" s="230">
        <v>204731300</v>
      </c>
      <c r="CI215" s="229">
        <v>0.38</v>
      </c>
      <c r="CJ215" s="230">
        <v>35733900</v>
      </c>
      <c r="CK215" s="230">
        <v>30851200</v>
      </c>
      <c r="CL215" s="230">
        <v>4882700</v>
      </c>
      <c r="CM215" s="229">
        <v>0.1583</v>
      </c>
      <c r="CN215" s="230">
        <v>457729800</v>
      </c>
      <c r="CO215" s="230">
        <v>451354300</v>
      </c>
      <c r="CP215" s="230">
        <v>6375500</v>
      </c>
      <c r="CQ215" s="229">
        <v>1.41E-2</v>
      </c>
      <c r="CR215" s="230">
        <v>212288600</v>
      </c>
      <c r="CS215" s="230">
        <v>220125800</v>
      </c>
      <c r="CT215" s="230">
        <v>-7837200</v>
      </c>
      <c r="CU215" s="229">
        <v>-3.56E-2</v>
      </c>
      <c r="CV215" s="230">
        <v>1693550500</v>
      </c>
      <c r="CW215" s="230">
        <v>1702320700</v>
      </c>
      <c r="CX215" s="230">
        <v>-8770200</v>
      </c>
      <c r="CY215" s="229">
        <v>-5.1999999999999998E-3</v>
      </c>
      <c r="CZ215" s="228">
        <v>33.43</v>
      </c>
      <c r="DA215" s="228">
        <v>33.119999999999997</v>
      </c>
      <c r="DB215" s="228">
        <v>0.31</v>
      </c>
      <c r="DC215" s="228">
        <v>0.31</v>
      </c>
      <c r="DD215" s="228">
        <v>41.66</v>
      </c>
      <c r="DE215" s="228">
        <v>41.75</v>
      </c>
      <c r="DF215" s="228">
        <v>-8.23</v>
      </c>
      <c r="DG215" s="228">
        <v>-0.09</v>
      </c>
      <c r="DH215" s="228">
        <v>34.01</v>
      </c>
      <c r="DI215" s="228">
        <v>33.36</v>
      </c>
      <c r="DJ215" s="228">
        <v>0.65</v>
      </c>
      <c r="DK215" s="228">
        <v>0.65</v>
      </c>
      <c r="DL215" s="228">
        <v>31.54</v>
      </c>
      <c r="DM215" s="228">
        <v>31.58</v>
      </c>
      <c r="DN215" s="228">
        <v>-0.04</v>
      </c>
      <c r="DO215" s="228">
        <v>-0.04</v>
      </c>
      <c r="DP215" s="228">
        <v>0.46</v>
      </c>
      <c r="DQ215" s="228">
        <v>0.49</v>
      </c>
      <c r="DR215" s="228">
        <v>-0.03</v>
      </c>
      <c r="DS215" s="229">
        <v>-6.1199999999999997E-2</v>
      </c>
      <c r="DT215" s="228">
        <v>24</v>
      </c>
      <c r="DU215" s="228">
        <v>21</v>
      </c>
      <c r="DV215" s="228">
        <v>0.44</v>
      </c>
      <c r="DW215" s="228">
        <v>0.2</v>
      </c>
      <c r="DX215" s="228">
        <v>0.24</v>
      </c>
      <c r="DY215" s="229">
        <v>1.2</v>
      </c>
      <c r="DZ215" s="229">
        <v>0.76129999999999998</v>
      </c>
      <c r="EA215" s="230">
        <v>569627600</v>
      </c>
      <c r="EB215" s="229">
        <v>5.7000000000000002E-3</v>
      </c>
      <c r="EC215" s="229">
        <v>0.76129999999999998</v>
      </c>
      <c r="ED215" s="228">
        <v>0.14000000000000001</v>
      </c>
      <c r="EE215" s="229">
        <v>6.1000000000000004E-3</v>
      </c>
      <c r="EF215" s="230">
        <v>39332493</v>
      </c>
      <c r="EG215" s="230">
        <v>39786898</v>
      </c>
      <c r="EH215" s="229">
        <v>-1.14E-2</v>
      </c>
      <c r="EI215" s="229">
        <v>0.43880000000000002</v>
      </c>
      <c r="EJ215" s="231">
        <v>29884.44</v>
      </c>
      <c r="EK215" s="231">
        <v>12791.69</v>
      </c>
      <c r="EL215" s="231">
        <v>132014.81</v>
      </c>
      <c r="EM215" s="231">
        <v>9785</v>
      </c>
      <c r="EN215" s="231">
        <v>174690.94</v>
      </c>
      <c r="EO215" s="231">
        <v>182540.64</v>
      </c>
      <c r="EP215" s="231">
        <v>-7849.7</v>
      </c>
      <c r="EQ215" s="229">
        <v>-4.2999999999999997E-2</v>
      </c>
      <c r="ER215" s="231">
        <v>111916</v>
      </c>
      <c r="ES215" s="231">
        <v>45951</v>
      </c>
      <c r="ET215" s="231">
        <v>234436</v>
      </c>
      <c r="EU215" s="231">
        <v>3136562346</v>
      </c>
      <c r="EV215" s="231">
        <v>392303</v>
      </c>
      <c r="EW215" s="231">
        <v>392686</v>
      </c>
      <c r="EX215" s="228">
        <v>-383</v>
      </c>
      <c r="EY215" s="229">
        <v>-1E-3</v>
      </c>
      <c r="EZ215" s="229">
        <v>0.53990000000000005</v>
      </c>
      <c r="FA215" s="227" t="s">
        <v>556</v>
      </c>
      <c r="FB215" s="161">
        <f t="shared" si="5"/>
        <v>0</v>
      </c>
    </row>
    <row r="216" spans="1:158" ht="17.25" thickBot="1" x14ac:dyDescent="0.3">
      <c r="A216" s="226">
        <v>45957</v>
      </c>
      <c r="B216" s="227" t="s">
        <v>170</v>
      </c>
      <c r="C216" s="227" t="s">
        <v>557</v>
      </c>
      <c r="D216" s="228">
        <v>900</v>
      </c>
      <c r="E216" s="231">
        <v>1013.3</v>
      </c>
      <c r="F216" s="231">
        <v>1003.3</v>
      </c>
      <c r="G216" s="228">
        <v>10</v>
      </c>
      <c r="H216" s="229">
        <v>0.01</v>
      </c>
      <c r="I216" s="231">
        <v>1013.85</v>
      </c>
      <c r="J216" s="231">
        <v>1004.9</v>
      </c>
      <c r="K216" s="228">
        <v>8.9499999999999993</v>
      </c>
      <c r="L216" s="229">
        <v>8.8999999999999999E-3</v>
      </c>
      <c r="M216" s="231">
        <v>1013.3</v>
      </c>
      <c r="N216" s="231">
        <v>1003.3</v>
      </c>
      <c r="O216" s="228">
        <v>10</v>
      </c>
      <c r="P216" s="229">
        <v>0.01</v>
      </c>
      <c r="Q216" s="231">
        <v>1017.55</v>
      </c>
      <c r="R216" s="231">
        <v>1006.3</v>
      </c>
      <c r="S216" s="228">
        <v>11.25</v>
      </c>
      <c r="T216" s="229">
        <v>1.12E-2</v>
      </c>
      <c r="U216" s="231">
        <v>1023.45</v>
      </c>
      <c r="V216" s="231">
        <v>1011.55</v>
      </c>
      <c r="W216" s="228">
        <v>11.9</v>
      </c>
      <c r="X216" s="229">
        <v>1.18E-2</v>
      </c>
      <c r="Y216" s="228">
        <v>-0.55000000000000004</v>
      </c>
      <c r="Z216" s="228">
        <v>-1.6</v>
      </c>
      <c r="AA216" s="228">
        <v>1.05</v>
      </c>
      <c r="AB216" s="229">
        <v>-5.0000000000000001E-4</v>
      </c>
      <c r="AC216" s="228">
        <v>-0.55000000000000004</v>
      </c>
      <c r="AD216" s="228">
        <v>-1.6</v>
      </c>
      <c r="AE216" s="228">
        <v>1.05</v>
      </c>
      <c r="AF216" s="229">
        <v>-5.0000000000000001E-4</v>
      </c>
      <c r="AG216" s="228">
        <v>3.7</v>
      </c>
      <c r="AH216" s="228">
        <v>1.4</v>
      </c>
      <c r="AI216" s="228">
        <v>2.2999999999999998</v>
      </c>
      <c r="AJ216" s="229">
        <v>3.5999999999999999E-3</v>
      </c>
      <c r="AK216" s="228">
        <v>9.6</v>
      </c>
      <c r="AL216" s="228">
        <v>6.65</v>
      </c>
      <c r="AM216" s="228">
        <v>2.95</v>
      </c>
      <c r="AN216" s="229">
        <v>9.4999999999999998E-3</v>
      </c>
      <c r="AO216" s="231">
        <v>1009.14</v>
      </c>
      <c r="AP216" s="231">
        <v>1013.03</v>
      </c>
      <c r="AQ216" s="228">
        <v>0</v>
      </c>
      <c r="AR216" s="230">
        <v>5535000</v>
      </c>
      <c r="AS216" s="230">
        <v>7264800</v>
      </c>
      <c r="AT216" s="230">
        <v>-1729800</v>
      </c>
      <c r="AU216" s="229">
        <v>-0.23810000000000001</v>
      </c>
      <c r="AV216" s="230">
        <v>2744100</v>
      </c>
      <c r="AW216" s="230">
        <v>3769200</v>
      </c>
      <c r="AX216" s="230">
        <v>-1025100</v>
      </c>
      <c r="AY216" s="229">
        <v>-0.27200000000000002</v>
      </c>
      <c r="AZ216" s="230">
        <v>2769300</v>
      </c>
      <c r="BA216" s="230">
        <v>3482100</v>
      </c>
      <c r="BB216" s="230">
        <v>-712800</v>
      </c>
      <c r="BC216" s="229">
        <v>-0.20469999999999999</v>
      </c>
      <c r="BD216" s="230">
        <v>21600</v>
      </c>
      <c r="BE216" s="230">
        <v>13500</v>
      </c>
      <c r="BF216" s="230">
        <v>8100</v>
      </c>
      <c r="BG216" s="229">
        <v>0.6</v>
      </c>
      <c r="BH216" s="230">
        <v>2900700</v>
      </c>
      <c r="BI216" s="230">
        <v>3691800</v>
      </c>
      <c r="BJ216" s="230">
        <v>-791100</v>
      </c>
      <c r="BK216" s="229">
        <v>-0.21429999999999999</v>
      </c>
      <c r="BL216" s="230">
        <v>1195200</v>
      </c>
      <c r="BM216" s="230">
        <v>1208700</v>
      </c>
      <c r="BN216" s="230">
        <v>-13500</v>
      </c>
      <c r="BO216" s="229">
        <v>-1.12E-2</v>
      </c>
      <c r="BP216" s="230">
        <v>9630900</v>
      </c>
      <c r="BQ216" s="230">
        <v>12165300</v>
      </c>
      <c r="BR216" s="230">
        <v>-2534400</v>
      </c>
      <c r="BS216" s="229">
        <v>-0.20830000000000001</v>
      </c>
      <c r="BT216" s="230">
        <v>529501</v>
      </c>
      <c r="BU216" s="230">
        <v>596541</v>
      </c>
      <c r="BV216" s="230">
        <v>-67040</v>
      </c>
      <c r="BW216" s="229">
        <v>-0.1124</v>
      </c>
      <c r="BX216" s="230">
        <v>7722000</v>
      </c>
      <c r="BY216" s="230">
        <v>8178300</v>
      </c>
      <c r="BZ216" s="230">
        <v>-456300</v>
      </c>
      <c r="CA216" s="229">
        <v>-5.5800000000000002E-2</v>
      </c>
      <c r="CB216" s="230">
        <v>809100</v>
      </c>
      <c r="CC216" s="230">
        <v>2511000</v>
      </c>
      <c r="CD216" s="230">
        <v>-1701900</v>
      </c>
      <c r="CE216" s="229">
        <v>-0.67779999999999996</v>
      </c>
      <c r="CF216" s="230">
        <v>6851700</v>
      </c>
      <c r="CG216" s="230">
        <v>5612400</v>
      </c>
      <c r="CH216" s="230">
        <v>1239300</v>
      </c>
      <c r="CI216" s="229">
        <v>0.2208</v>
      </c>
      <c r="CJ216" s="230">
        <v>61200</v>
      </c>
      <c r="CK216" s="230">
        <v>54900</v>
      </c>
      <c r="CL216" s="230">
        <v>6300</v>
      </c>
      <c r="CM216" s="229">
        <v>0.1148</v>
      </c>
      <c r="CN216" s="230">
        <v>2690100</v>
      </c>
      <c r="CO216" s="230">
        <v>2908800</v>
      </c>
      <c r="CP216" s="230">
        <v>-218700</v>
      </c>
      <c r="CQ216" s="229">
        <v>-7.5200000000000003E-2</v>
      </c>
      <c r="CR216" s="230">
        <v>2023200</v>
      </c>
      <c r="CS216" s="230">
        <v>1943100</v>
      </c>
      <c r="CT216" s="230">
        <v>80100</v>
      </c>
      <c r="CU216" s="229">
        <v>4.1200000000000001E-2</v>
      </c>
      <c r="CV216" s="230">
        <v>12435300</v>
      </c>
      <c r="CW216" s="230">
        <v>13030200</v>
      </c>
      <c r="CX216" s="230">
        <v>-594900</v>
      </c>
      <c r="CY216" s="229">
        <v>-4.5699999999999998E-2</v>
      </c>
      <c r="CZ216" s="228">
        <v>25.28</v>
      </c>
      <c r="DA216" s="228">
        <v>24.92</v>
      </c>
      <c r="DB216" s="228">
        <v>0.36</v>
      </c>
      <c r="DC216" s="228">
        <v>0.36</v>
      </c>
      <c r="DD216" s="228">
        <v>29.6</v>
      </c>
      <c r="DE216" s="228">
        <v>29.65</v>
      </c>
      <c r="DF216" s="228">
        <v>-4.32</v>
      </c>
      <c r="DG216" s="228">
        <v>-0.05</v>
      </c>
      <c r="DH216" s="228">
        <v>25.04</v>
      </c>
      <c r="DI216" s="228">
        <v>24.28</v>
      </c>
      <c r="DJ216" s="228">
        <v>0.76</v>
      </c>
      <c r="DK216" s="228">
        <v>0.76</v>
      </c>
      <c r="DL216" s="228">
        <v>25.8</v>
      </c>
      <c r="DM216" s="228">
        <v>25.7</v>
      </c>
      <c r="DN216" s="228">
        <v>0.1</v>
      </c>
      <c r="DO216" s="228">
        <v>0.1</v>
      </c>
      <c r="DP216" s="228">
        <v>0.75</v>
      </c>
      <c r="DQ216" s="228">
        <v>0.67</v>
      </c>
      <c r="DR216" s="228">
        <v>0.08</v>
      </c>
      <c r="DS216" s="229">
        <v>0.11940000000000001</v>
      </c>
      <c r="DT216" s="231">
        <v>1040</v>
      </c>
      <c r="DU216" s="228">
        <v>880</v>
      </c>
      <c r="DV216" s="228">
        <v>0.41</v>
      </c>
      <c r="DW216" s="228">
        <v>0.33</v>
      </c>
      <c r="DX216" s="228">
        <v>0.08</v>
      </c>
      <c r="DY216" s="229">
        <v>0.2424</v>
      </c>
      <c r="DZ216" s="229">
        <v>0.8952</v>
      </c>
      <c r="EA216" s="230">
        <v>5667300</v>
      </c>
      <c r="EB216" s="229">
        <v>4.1999999999999997E-3</v>
      </c>
      <c r="EC216" s="229">
        <v>0.8952</v>
      </c>
      <c r="ED216" s="228">
        <v>3.89</v>
      </c>
      <c r="EE216" s="229">
        <v>3.8999999999999998E-3</v>
      </c>
      <c r="EF216" s="230">
        <v>350575</v>
      </c>
      <c r="EG216" s="230">
        <v>331742</v>
      </c>
      <c r="EH216" s="229">
        <v>5.6800000000000003E-2</v>
      </c>
      <c r="EI216" s="229">
        <v>0.66210000000000002</v>
      </c>
      <c r="EJ216" s="231">
        <v>30287.360000000001</v>
      </c>
      <c r="EK216" s="231">
        <v>12113.3</v>
      </c>
      <c r="EL216" s="231">
        <v>55965.83</v>
      </c>
      <c r="EM216" s="231">
        <v>4105</v>
      </c>
      <c r="EN216" s="231">
        <v>98366.49</v>
      </c>
      <c r="EO216" s="231">
        <v>123038.92</v>
      </c>
      <c r="EP216" s="231">
        <v>-24672.43</v>
      </c>
      <c r="EQ216" s="229">
        <v>-0.20050000000000001</v>
      </c>
      <c r="ER216" s="231">
        <v>28217</v>
      </c>
      <c r="ES216" s="231">
        <v>19681</v>
      </c>
      <c r="ET216" s="231">
        <v>78544</v>
      </c>
      <c r="EU216" s="231">
        <v>32617803</v>
      </c>
      <c r="EV216" s="231">
        <v>126442</v>
      </c>
      <c r="EW216" s="231">
        <v>131544</v>
      </c>
      <c r="EX216" s="231">
        <v>-5102</v>
      </c>
      <c r="EY216" s="229">
        <v>-3.8800000000000001E-2</v>
      </c>
      <c r="EZ216" s="229">
        <v>0.38119999999999998</v>
      </c>
      <c r="FA216" s="227" t="s">
        <v>556</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EJ1" zoomScale="87" zoomScaleNormal="87" workbookViewId="0">
      <selection activeCell="EO9" sqref="EO9"/>
    </sheetView>
  </sheetViews>
  <sheetFormatPr defaultRowHeight="15" x14ac:dyDescent="0.25"/>
  <cols>
    <col min="1" max="1" width="12"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3.140625" customWidth="1"/>
    <col min="80" max="80" width="14.5703125" bestFit="1" customWidth="1"/>
    <col min="81" max="81" width="14" bestFit="1" customWidth="1"/>
    <col min="82" max="82" width="11.42578125" bestFit="1" customWidth="1"/>
    <col min="83" max="83" width="14.28515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9.7109375" bestFit="1" customWidth="1"/>
    <col min="91" max="92" width="14.28515625" bestFit="1" customWidth="1"/>
    <col min="93" max="93" width="12.42578125" customWidth="1"/>
    <col min="94" max="94" width="10.42578125" bestFit="1" customWidth="1"/>
    <col min="95" max="95" width="13.140625" bestFit="1" customWidth="1"/>
    <col min="96" max="96" width="13.28515625" bestFit="1" customWidth="1"/>
    <col min="97" max="97" width="12.28515625"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45957</v>
      </c>
      <c r="B2" s="227" t="s">
        <v>215</v>
      </c>
      <c r="C2" s="227" t="s">
        <v>159</v>
      </c>
      <c r="D2" s="231">
        <v>2492.8000000000002</v>
      </c>
      <c r="E2" s="231">
        <v>2501.8000000000002</v>
      </c>
      <c r="F2" s="228">
        <v>-9</v>
      </c>
      <c r="G2" s="229">
        <v>-3.5999999999999999E-3</v>
      </c>
      <c r="H2" s="231">
        <v>2492.8000000000002</v>
      </c>
      <c r="I2" s="231">
        <v>2504.1999999999998</v>
      </c>
      <c r="J2" s="228">
        <v>-11.4</v>
      </c>
      <c r="K2" s="229">
        <v>-4.5999999999999999E-3</v>
      </c>
      <c r="L2" s="231">
        <v>2492.8000000000002</v>
      </c>
      <c r="M2" s="231">
        <v>2501.8000000000002</v>
      </c>
      <c r="N2" s="228">
        <v>-9</v>
      </c>
      <c r="O2" s="229">
        <v>-3.5999999999999999E-3</v>
      </c>
      <c r="P2" s="231">
        <v>2506.1</v>
      </c>
      <c r="Q2" s="231">
        <v>2515.4</v>
      </c>
      <c r="R2" s="228">
        <v>-9.3000000000000007</v>
      </c>
      <c r="S2" s="229">
        <v>-3.7000000000000002E-3</v>
      </c>
      <c r="T2" s="231">
        <v>2525</v>
      </c>
      <c r="U2" s="231">
        <v>2532.5</v>
      </c>
      <c r="V2" s="228">
        <v>-7.5</v>
      </c>
      <c r="W2" s="229">
        <v>-3.0000000000000001E-3</v>
      </c>
      <c r="X2" s="228">
        <v>0</v>
      </c>
      <c r="Y2" s="228">
        <v>-2.4</v>
      </c>
      <c r="Z2" s="228">
        <v>2.4</v>
      </c>
      <c r="AA2" s="229">
        <v>0</v>
      </c>
      <c r="AB2" s="228">
        <v>0</v>
      </c>
      <c r="AC2" s="228">
        <v>-2.4</v>
      </c>
      <c r="AD2" s="228">
        <v>2.4</v>
      </c>
      <c r="AE2" s="229">
        <v>0</v>
      </c>
      <c r="AF2" s="228">
        <v>13.3</v>
      </c>
      <c r="AG2" s="228">
        <v>11.2</v>
      </c>
      <c r="AH2" s="228">
        <v>2.1</v>
      </c>
      <c r="AI2" s="229">
        <v>5.3E-3</v>
      </c>
      <c r="AJ2" s="228">
        <v>32.200000000000003</v>
      </c>
      <c r="AK2" s="228">
        <v>28.3</v>
      </c>
      <c r="AL2" s="228">
        <v>3.9</v>
      </c>
      <c r="AM2" s="229">
        <v>1.29E-2</v>
      </c>
      <c r="AN2" s="231">
        <v>2496.09</v>
      </c>
      <c r="AO2" s="231">
        <v>2509.5300000000002</v>
      </c>
      <c r="AP2" s="228">
        <v>0</v>
      </c>
      <c r="AQ2" s="230">
        <v>26156</v>
      </c>
      <c r="AR2" s="230">
        <v>27178</v>
      </c>
      <c r="AS2" s="230">
        <v>-1022</v>
      </c>
      <c r="AT2" s="229">
        <v>-3.7600000000000001E-2</v>
      </c>
      <c r="AU2" s="230">
        <v>12871</v>
      </c>
      <c r="AV2" s="230">
        <v>14199</v>
      </c>
      <c r="AW2" s="230">
        <v>-1328</v>
      </c>
      <c r="AX2" s="229">
        <v>-9.35E-2</v>
      </c>
      <c r="AY2" s="230">
        <v>13164</v>
      </c>
      <c r="AZ2" s="230">
        <v>12826</v>
      </c>
      <c r="BA2" s="228">
        <v>338</v>
      </c>
      <c r="BB2" s="229">
        <v>2.64E-2</v>
      </c>
      <c r="BC2" s="228">
        <v>121</v>
      </c>
      <c r="BD2" s="228">
        <v>153</v>
      </c>
      <c r="BE2" s="228">
        <v>-32</v>
      </c>
      <c r="BF2" s="229">
        <v>-0.2092</v>
      </c>
      <c r="BG2" s="230">
        <v>37661</v>
      </c>
      <c r="BH2" s="230">
        <v>35829</v>
      </c>
      <c r="BI2" s="230">
        <v>1832</v>
      </c>
      <c r="BJ2" s="229">
        <v>5.11E-2</v>
      </c>
      <c r="BK2" s="230">
        <v>21845</v>
      </c>
      <c r="BL2" s="230">
        <v>14874</v>
      </c>
      <c r="BM2" s="230">
        <v>6971</v>
      </c>
      <c r="BN2" s="229">
        <v>0.46870000000000001</v>
      </c>
      <c r="BO2" s="230">
        <v>85662</v>
      </c>
      <c r="BP2" s="230">
        <v>77881</v>
      </c>
      <c r="BQ2" s="230">
        <v>7781</v>
      </c>
      <c r="BR2" s="229">
        <v>9.9900000000000003E-2</v>
      </c>
      <c r="BS2" s="230">
        <v>502949</v>
      </c>
      <c r="BT2" s="230">
        <v>516485</v>
      </c>
      <c r="BU2" s="230">
        <v>-13536</v>
      </c>
      <c r="BV2" s="229">
        <v>-2.6200000000000001E-2</v>
      </c>
      <c r="BW2" s="230">
        <v>14862000</v>
      </c>
      <c r="BX2" s="230">
        <v>14676000</v>
      </c>
      <c r="BY2" s="230">
        <v>186000</v>
      </c>
      <c r="BZ2" s="229">
        <v>1.2699999999999999E-2</v>
      </c>
      <c r="CA2" s="230">
        <v>2946900</v>
      </c>
      <c r="CB2" s="230">
        <v>5913000</v>
      </c>
      <c r="CC2" s="230">
        <v>-2966100</v>
      </c>
      <c r="CD2" s="229">
        <v>-0.50160000000000005</v>
      </c>
      <c r="CE2" s="230">
        <v>11813100</v>
      </c>
      <c r="CF2" s="230">
        <v>8677200</v>
      </c>
      <c r="CG2" s="230">
        <v>3135900</v>
      </c>
      <c r="CH2" s="229">
        <v>0.3614</v>
      </c>
      <c r="CI2" s="230">
        <v>102000</v>
      </c>
      <c r="CJ2" s="230">
        <v>85800</v>
      </c>
      <c r="CK2" s="230">
        <v>16200</v>
      </c>
      <c r="CL2" s="229">
        <v>0.1888</v>
      </c>
      <c r="CM2" s="230">
        <v>6975600</v>
      </c>
      <c r="CN2" s="230">
        <v>7593000</v>
      </c>
      <c r="CO2" s="230">
        <v>-617400</v>
      </c>
      <c r="CP2" s="229">
        <v>-8.1299999999999997E-2</v>
      </c>
      <c r="CQ2" s="230">
        <v>4329900</v>
      </c>
      <c r="CR2" s="230">
        <v>4332600</v>
      </c>
      <c r="CS2" s="230">
        <v>-2700</v>
      </c>
      <c r="CT2" s="229">
        <v>-5.9999999999999995E-4</v>
      </c>
      <c r="CU2" s="230">
        <v>26167500</v>
      </c>
      <c r="CV2" s="230">
        <v>26601600</v>
      </c>
      <c r="CW2" s="230">
        <v>-434100</v>
      </c>
      <c r="CX2" s="229">
        <v>-1.6299999999999999E-2</v>
      </c>
      <c r="CY2" s="228">
        <v>30.75</v>
      </c>
      <c r="CZ2" s="228">
        <v>29.88</v>
      </c>
      <c r="DA2" s="228">
        <v>0.87</v>
      </c>
      <c r="DB2" s="228">
        <v>0.87</v>
      </c>
      <c r="DC2" s="228">
        <v>48.65</v>
      </c>
      <c r="DD2" s="228">
        <v>48.77</v>
      </c>
      <c r="DE2" s="228">
        <v>-17.899999999999999</v>
      </c>
      <c r="DF2" s="228">
        <v>-0.12</v>
      </c>
      <c r="DG2" s="228">
        <v>31.13</v>
      </c>
      <c r="DH2" s="228">
        <v>29.73</v>
      </c>
      <c r="DI2" s="228">
        <v>1.4</v>
      </c>
      <c r="DJ2" s="228">
        <v>1.4</v>
      </c>
      <c r="DK2" s="228">
        <v>30.2</v>
      </c>
      <c r="DL2" s="228">
        <v>30.28</v>
      </c>
      <c r="DM2" s="228">
        <v>-0.08</v>
      </c>
      <c r="DN2" s="228">
        <v>-0.08</v>
      </c>
      <c r="DO2" s="228">
        <v>0.62</v>
      </c>
      <c r="DP2" s="228">
        <v>0.56999999999999995</v>
      </c>
      <c r="DQ2" s="228">
        <v>0.05</v>
      </c>
      <c r="DR2" s="229">
        <v>8.77E-2</v>
      </c>
      <c r="DS2" s="231">
        <v>2600</v>
      </c>
      <c r="DT2" s="231">
        <v>2500</v>
      </c>
      <c r="DU2" s="228">
        <v>0.57999999999999996</v>
      </c>
      <c r="DV2" s="228">
        <v>0.42</v>
      </c>
      <c r="DW2" s="228">
        <v>0.16</v>
      </c>
      <c r="DX2" s="229">
        <v>0.38100000000000001</v>
      </c>
      <c r="DY2" s="229">
        <v>0.80169999999999997</v>
      </c>
      <c r="DZ2" s="230">
        <v>8763000</v>
      </c>
      <c r="EA2" s="229">
        <v>5.3E-3</v>
      </c>
      <c r="EB2" s="229">
        <v>0.80169999999999997</v>
      </c>
      <c r="EC2" s="228">
        <v>13.44</v>
      </c>
      <c r="ED2" s="229">
        <v>5.4000000000000003E-3</v>
      </c>
      <c r="EE2" s="230">
        <v>174858</v>
      </c>
      <c r="EF2" s="230">
        <v>221251</v>
      </c>
      <c r="EG2" s="229">
        <v>-0.2097</v>
      </c>
      <c r="EH2" s="229">
        <v>0.34770000000000001</v>
      </c>
      <c r="EI2" s="231">
        <v>293822.48</v>
      </c>
      <c r="EJ2" s="231">
        <v>162828.53</v>
      </c>
      <c r="EK2" s="231">
        <v>196405.79</v>
      </c>
      <c r="EL2" s="231">
        <v>17754</v>
      </c>
      <c r="EM2" s="231">
        <v>653056.80000000005</v>
      </c>
      <c r="EN2" s="231">
        <v>600873.62</v>
      </c>
      <c r="EO2" s="231">
        <v>52183.18</v>
      </c>
      <c r="EP2" s="229">
        <v>8.6800000000000002E-2</v>
      </c>
      <c r="EQ2" s="231">
        <v>184864</v>
      </c>
      <c r="ER2" s="231">
        <v>109088</v>
      </c>
      <c r="ES2" s="231">
        <v>372084</v>
      </c>
      <c r="ET2" s="231">
        <v>30040977</v>
      </c>
      <c r="EU2" s="231">
        <v>666036</v>
      </c>
      <c r="EV2" s="231">
        <v>679323</v>
      </c>
      <c r="EW2" s="231">
        <v>-13287</v>
      </c>
      <c r="EX2" s="229">
        <v>-1.9599999999999999E-2</v>
      </c>
      <c r="EY2" s="229">
        <v>0.87109999999999999</v>
      </c>
    </row>
    <row r="3" spans="1:155" ht="17.25" thickBot="1" x14ac:dyDescent="0.3">
      <c r="A3" s="226">
        <v>45957</v>
      </c>
      <c r="B3" s="227" t="s">
        <v>215</v>
      </c>
      <c r="C3" s="227" t="s">
        <v>160</v>
      </c>
      <c r="D3" s="231">
        <v>1421.6</v>
      </c>
      <c r="E3" s="231">
        <v>1427.7</v>
      </c>
      <c r="F3" s="228">
        <v>-6.1</v>
      </c>
      <c r="G3" s="229">
        <v>-4.3E-3</v>
      </c>
      <c r="H3" s="231">
        <v>1420.6</v>
      </c>
      <c r="I3" s="231">
        <v>1429</v>
      </c>
      <c r="J3" s="228">
        <v>-8.4</v>
      </c>
      <c r="K3" s="229">
        <v>-5.8999999999999999E-3</v>
      </c>
      <c r="L3" s="231">
        <v>1421.6</v>
      </c>
      <c r="M3" s="231">
        <v>1427.7</v>
      </c>
      <c r="N3" s="228">
        <v>-6.1</v>
      </c>
      <c r="O3" s="229">
        <v>-4.3E-3</v>
      </c>
      <c r="P3" s="231">
        <v>1429.7</v>
      </c>
      <c r="Q3" s="231">
        <v>1435.6</v>
      </c>
      <c r="R3" s="228">
        <v>-5.9</v>
      </c>
      <c r="S3" s="229">
        <v>-4.1000000000000003E-3</v>
      </c>
      <c r="T3" s="231">
        <v>1439.8</v>
      </c>
      <c r="U3" s="231">
        <v>1445.9</v>
      </c>
      <c r="V3" s="228">
        <v>-6.1</v>
      </c>
      <c r="W3" s="229">
        <v>-4.1999999999999997E-3</v>
      </c>
      <c r="X3" s="228">
        <v>1</v>
      </c>
      <c r="Y3" s="228">
        <v>-1.3</v>
      </c>
      <c r="Z3" s="228">
        <v>2.2999999999999998</v>
      </c>
      <c r="AA3" s="229">
        <v>6.9999999999999999E-4</v>
      </c>
      <c r="AB3" s="228">
        <v>1</v>
      </c>
      <c r="AC3" s="228">
        <v>-1.3</v>
      </c>
      <c r="AD3" s="228">
        <v>2.2999999999999998</v>
      </c>
      <c r="AE3" s="229">
        <v>6.9999999999999999E-4</v>
      </c>
      <c r="AF3" s="228">
        <v>9.1</v>
      </c>
      <c r="AG3" s="228">
        <v>6.6</v>
      </c>
      <c r="AH3" s="228">
        <v>2.5</v>
      </c>
      <c r="AI3" s="229">
        <v>6.4000000000000003E-3</v>
      </c>
      <c r="AJ3" s="228">
        <v>19.2</v>
      </c>
      <c r="AK3" s="228">
        <v>16.899999999999999</v>
      </c>
      <c r="AL3" s="228">
        <v>2.2999999999999998</v>
      </c>
      <c r="AM3" s="229">
        <v>1.35E-2</v>
      </c>
      <c r="AN3" s="231">
        <v>1419.45</v>
      </c>
      <c r="AO3" s="231">
        <v>1427.67</v>
      </c>
      <c r="AP3" s="228">
        <v>0</v>
      </c>
      <c r="AQ3" s="230">
        <v>35536</v>
      </c>
      <c r="AR3" s="230">
        <v>34935</v>
      </c>
      <c r="AS3" s="228">
        <v>601</v>
      </c>
      <c r="AT3" s="229">
        <v>1.72E-2</v>
      </c>
      <c r="AU3" s="230">
        <v>17156</v>
      </c>
      <c r="AV3" s="230">
        <v>17517</v>
      </c>
      <c r="AW3" s="228">
        <v>-361</v>
      </c>
      <c r="AX3" s="229">
        <v>-2.06E-2</v>
      </c>
      <c r="AY3" s="230">
        <v>17742</v>
      </c>
      <c r="AZ3" s="230">
        <v>17184</v>
      </c>
      <c r="BA3" s="228">
        <v>558</v>
      </c>
      <c r="BB3" s="229">
        <v>3.2500000000000001E-2</v>
      </c>
      <c r="BC3" s="228">
        <v>638</v>
      </c>
      <c r="BD3" s="228">
        <v>234</v>
      </c>
      <c r="BE3" s="228">
        <v>404</v>
      </c>
      <c r="BF3" s="229">
        <v>1.7264999999999999</v>
      </c>
      <c r="BG3" s="230">
        <v>32079</v>
      </c>
      <c r="BH3" s="230">
        <v>31714</v>
      </c>
      <c r="BI3" s="228">
        <v>365</v>
      </c>
      <c r="BJ3" s="229">
        <v>1.15E-2</v>
      </c>
      <c r="BK3" s="230">
        <v>20408</v>
      </c>
      <c r="BL3" s="230">
        <v>18773</v>
      </c>
      <c r="BM3" s="230">
        <v>1635</v>
      </c>
      <c r="BN3" s="229">
        <v>8.7099999999999997E-2</v>
      </c>
      <c r="BO3" s="230">
        <v>88023</v>
      </c>
      <c r="BP3" s="230">
        <v>85422</v>
      </c>
      <c r="BQ3" s="230">
        <v>2601</v>
      </c>
      <c r="BR3" s="229">
        <v>3.04E-2</v>
      </c>
      <c r="BS3" s="230">
        <v>2345924</v>
      </c>
      <c r="BT3" s="230">
        <v>1976160</v>
      </c>
      <c r="BU3" s="230">
        <v>369764</v>
      </c>
      <c r="BV3" s="229">
        <v>0.18709999999999999</v>
      </c>
      <c r="BW3" s="230">
        <v>25032975</v>
      </c>
      <c r="BX3" s="230">
        <v>24725175</v>
      </c>
      <c r="BY3" s="230">
        <v>307800</v>
      </c>
      <c r="BZ3" s="229">
        <v>1.24E-2</v>
      </c>
      <c r="CA3" s="230">
        <v>5498600</v>
      </c>
      <c r="CB3" s="230">
        <v>11894475</v>
      </c>
      <c r="CC3" s="230">
        <v>-6395875</v>
      </c>
      <c r="CD3" s="229">
        <v>-0.53769999999999996</v>
      </c>
      <c r="CE3" s="230">
        <v>19134900</v>
      </c>
      <c r="CF3" s="230">
        <v>12609350</v>
      </c>
      <c r="CG3" s="230">
        <v>6525550</v>
      </c>
      <c r="CH3" s="229">
        <v>0.51749999999999996</v>
      </c>
      <c r="CI3" s="230">
        <v>399475</v>
      </c>
      <c r="CJ3" s="230">
        <v>221350</v>
      </c>
      <c r="CK3" s="230">
        <v>178125</v>
      </c>
      <c r="CL3" s="229">
        <v>0.80469999999999997</v>
      </c>
      <c r="CM3" s="230">
        <v>7723500</v>
      </c>
      <c r="CN3" s="230">
        <v>8495850</v>
      </c>
      <c r="CO3" s="230">
        <v>-772350</v>
      </c>
      <c r="CP3" s="229">
        <v>-9.0899999999999995E-2</v>
      </c>
      <c r="CQ3" s="230">
        <v>5445875</v>
      </c>
      <c r="CR3" s="230">
        <v>5416900</v>
      </c>
      <c r="CS3" s="230">
        <v>28975</v>
      </c>
      <c r="CT3" s="229">
        <v>5.3E-3</v>
      </c>
      <c r="CU3" s="230">
        <v>38202350</v>
      </c>
      <c r="CV3" s="230">
        <v>38637925</v>
      </c>
      <c r="CW3" s="230">
        <v>-435575</v>
      </c>
      <c r="CX3" s="229">
        <v>-1.1299999999999999E-2</v>
      </c>
      <c r="CY3" s="228">
        <v>26.12</v>
      </c>
      <c r="CZ3" s="228">
        <v>26.57</v>
      </c>
      <c r="DA3" s="228">
        <v>-0.45</v>
      </c>
      <c r="DB3" s="228">
        <v>-0.45</v>
      </c>
      <c r="DC3" s="228">
        <v>38.619999999999997</v>
      </c>
      <c r="DD3" s="228">
        <v>38.71</v>
      </c>
      <c r="DE3" s="228">
        <v>-12.5</v>
      </c>
      <c r="DF3" s="228">
        <v>-0.09</v>
      </c>
      <c r="DG3" s="228">
        <v>26.6</v>
      </c>
      <c r="DH3" s="228">
        <v>26.94</v>
      </c>
      <c r="DI3" s="228">
        <v>-0.34</v>
      </c>
      <c r="DJ3" s="228">
        <v>-0.34</v>
      </c>
      <c r="DK3" s="228">
        <v>25.42</v>
      </c>
      <c r="DL3" s="228">
        <v>26.02</v>
      </c>
      <c r="DM3" s="228">
        <v>-0.6</v>
      </c>
      <c r="DN3" s="228">
        <v>-0.6</v>
      </c>
      <c r="DO3" s="228">
        <v>0.71</v>
      </c>
      <c r="DP3" s="228">
        <v>0.64</v>
      </c>
      <c r="DQ3" s="228">
        <v>7.0000000000000007E-2</v>
      </c>
      <c r="DR3" s="229">
        <v>0.1094</v>
      </c>
      <c r="DS3" s="231">
        <v>1500</v>
      </c>
      <c r="DT3" s="231">
        <v>1400</v>
      </c>
      <c r="DU3" s="228">
        <v>0.64</v>
      </c>
      <c r="DV3" s="228">
        <v>0.59</v>
      </c>
      <c r="DW3" s="228">
        <v>0.05</v>
      </c>
      <c r="DX3" s="229">
        <v>8.4699999999999998E-2</v>
      </c>
      <c r="DY3" s="229">
        <v>0.78029999999999999</v>
      </c>
      <c r="DZ3" s="230">
        <v>12830700</v>
      </c>
      <c r="EA3" s="229">
        <v>5.7000000000000002E-3</v>
      </c>
      <c r="EB3" s="229">
        <v>0.78029999999999999</v>
      </c>
      <c r="EC3" s="228">
        <v>8.2200000000000006</v>
      </c>
      <c r="ED3" s="229">
        <v>5.7999999999999996E-3</v>
      </c>
      <c r="EE3" s="230">
        <v>1330765</v>
      </c>
      <c r="EF3" s="230">
        <v>1037257</v>
      </c>
      <c r="EG3" s="229">
        <v>0.28299999999999997</v>
      </c>
      <c r="EH3" s="229">
        <v>0.56730000000000003</v>
      </c>
      <c r="EI3" s="231">
        <v>223778.46</v>
      </c>
      <c r="EJ3" s="231">
        <v>137482.04999999999</v>
      </c>
      <c r="EK3" s="231">
        <v>240343.66</v>
      </c>
      <c r="EL3" s="231">
        <v>16748</v>
      </c>
      <c r="EM3" s="231">
        <v>601604.17000000004</v>
      </c>
      <c r="EN3" s="231">
        <v>590898.01</v>
      </c>
      <c r="EO3" s="231">
        <v>10706.16</v>
      </c>
      <c r="EP3" s="229">
        <v>1.8100000000000002E-2</v>
      </c>
      <c r="EQ3" s="231">
        <v>114903</v>
      </c>
      <c r="ER3" s="231">
        <v>76392</v>
      </c>
      <c r="ES3" s="231">
        <v>357491</v>
      </c>
      <c r="ET3" s="231">
        <v>73799006</v>
      </c>
      <c r="EU3" s="231">
        <v>548786</v>
      </c>
      <c r="EV3" s="231">
        <v>556601</v>
      </c>
      <c r="EW3" s="231">
        <v>-7815</v>
      </c>
      <c r="EX3" s="229">
        <v>-1.4E-2</v>
      </c>
      <c r="EY3" s="229">
        <v>0.51770000000000005</v>
      </c>
    </row>
    <row r="4" spans="1:155" ht="17.25" thickBot="1" x14ac:dyDescent="0.3">
      <c r="A4" s="226">
        <v>45957</v>
      </c>
      <c r="B4" s="227" t="s">
        <v>170</v>
      </c>
      <c r="C4" s="227" t="s">
        <v>165</v>
      </c>
      <c r="D4" s="231">
        <v>7855.5</v>
      </c>
      <c r="E4" s="231">
        <v>7845.5</v>
      </c>
      <c r="F4" s="228">
        <v>10</v>
      </c>
      <c r="G4" s="229">
        <v>1.2999999999999999E-3</v>
      </c>
      <c r="H4" s="231">
        <v>7845.5</v>
      </c>
      <c r="I4" s="231">
        <v>7837.5</v>
      </c>
      <c r="J4" s="228">
        <v>8</v>
      </c>
      <c r="K4" s="229">
        <v>1E-3</v>
      </c>
      <c r="L4" s="231">
        <v>7855.5</v>
      </c>
      <c r="M4" s="231">
        <v>7845.5</v>
      </c>
      <c r="N4" s="228">
        <v>10</v>
      </c>
      <c r="O4" s="229">
        <v>1.2999999999999999E-3</v>
      </c>
      <c r="P4" s="231">
        <v>7900</v>
      </c>
      <c r="Q4" s="231">
        <v>7889.5</v>
      </c>
      <c r="R4" s="228">
        <v>10.5</v>
      </c>
      <c r="S4" s="229">
        <v>1.2999999999999999E-3</v>
      </c>
      <c r="T4" s="231">
        <v>7953</v>
      </c>
      <c r="U4" s="231">
        <v>7948</v>
      </c>
      <c r="V4" s="228">
        <v>5</v>
      </c>
      <c r="W4" s="229">
        <v>5.9999999999999995E-4</v>
      </c>
      <c r="X4" s="228">
        <v>10</v>
      </c>
      <c r="Y4" s="228">
        <v>8</v>
      </c>
      <c r="Z4" s="228">
        <v>2</v>
      </c>
      <c r="AA4" s="229">
        <v>1.2999999999999999E-3</v>
      </c>
      <c r="AB4" s="228">
        <v>10</v>
      </c>
      <c r="AC4" s="228">
        <v>8</v>
      </c>
      <c r="AD4" s="228">
        <v>2</v>
      </c>
      <c r="AE4" s="229">
        <v>1.2999999999999999E-3</v>
      </c>
      <c r="AF4" s="228">
        <v>54.5</v>
      </c>
      <c r="AG4" s="228">
        <v>52</v>
      </c>
      <c r="AH4" s="228">
        <v>2.5</v>
      </c>
      <c r="AI4" s="229">
        <v>6.8999999999999999E-3</v>
      </c>
      <c r="AJ4" s="228">
        <v>107.5</v>
      </c>
      <c r="AK4" s="228">
        <v>110.5</v>
      </c>
      <c r="AL4" s="228">
        <v>-3</v>
      </c>
      <c r="AM4" s="229">
        <v>1.37E-2</v>
      </c>
      <c r="AN4" s="231">
        <v>7868.56</v>
      </c>
      <c r="AO4" s="231">
        <v>7912.36</v>
      </c>
      <c r="AP4" s="228">
        <v>0</v>
      </c>
      <c r="AQ4" s="230">
        <v>13396</v>
      </c>
      <c r="AR4" s="230">
        <v>12583</v>
      </c>
      <c r="AS4" s="228">
        <v>813</v>
      </c>
      <c r="AT4" s="229">
        <v>6.4600000000000005E-2</v>
      </c>
      <c r="AU4" s="230">
        <v>6613</v>
      </c>
      <c r="AV4" s="230">
        <v>6342</v>
      </c>
      <c r="AW4" s="228">
        <v>271</v>
      </c>
      <c r="AX4" s="229">
        <v>4.2700000000000002E-2</v>
      </c>
      <c r="AY4" s="230">
        <v>6751</v>
      </c>
      <c r="AZ4" s="230">
        <v>6191</v>
      </c>
      <c r="BA4" s="228">
        <v>560</v>
      </c>
      <c r="BB4" s="229">
        <v>9.0499999999999997E-2</v>
      </c>
      <c r="BC4" s="228">
        <v>32</v>
      </c>
      <c r="BD4" s="228">
        <v>50</v>
      </c>
      <c r="BE4" s="228">
        <v>-18</v>
      </c>
      <c r="BF4" s="229">
        <v>-0.36</v>
      </c>
      <c r="BG4" s="230">
        <v>10568</v>
      </c>
      <c r="BH4" s="230">
        <v>15872</v>
      </c>
      <c r="BI4" s="230">
        <v>-5304</v>
      </c>
      <c r="BJ4" s="229">
        <v>-0.3342</v>
      </c>
      <c r="BK4" s="230">
        <v>4888</v>
      </c>
      <c r="BL4" s="230">
        <v>10838</v>
      </c>
      <c r="BM4" s="230">
        <v>-5950</v>
      </c>
      <c r="BN4" s="229">
        <v>-0.54900000000000004</v>
      </c>
      <c r="BO4" s="230">
        <v>28852</v>
      </c>
      <c r="BP4" s="230">
        <v>39293</v>
      </c>
      <c r="BQ4" s="230">
        <v>-10441</v>
      </c>
      <c r="BR4" s="229">
        <v>-0.26569999999999999</v>
      </c>
      <c r="BS4" s="230">
        <v>268308</v>
      </c>
      <c r="BT4" s="230">
        <v>293319</v>
      </c>
      <c r="BU4" s="230">
        <v>-25011</v>
      </c>
      <c r="BV4" s="229">
        <v>-8.5300000000000001E-2</v>
      </c>
      <c r="BW4" s="230">
        <v>2750125</v>
      </c>
      <c r="BX4" s="230">
        <v>2773875</v>
      </c>
      <c r="BY4" s="230">
        <v>-23750</v>
      </c>
      <c r="BZ4" s="229">
        <v>-8.6E-3</v>
      </c>
      <c r="CA4" s="230">
        <v>645125</v>
      </c>
      <c r="CB4" s="230">
        <v>1369250</v>
      </c>
      <c r="CC4" s="230">
        <v>-724125</v>
      </c>
      <c r="CD4" s="229">
        <v>-0.52880000000000005</v>
      </c>
      <c r="CE4" s="230">
        <v>2092875</v>
      </c>
      <c r="CF4" s="230">
        <v>1395000</v>
      </c>
      <c r="CG4" s="230">
        <v>697875</v>
      </c>
      <c r="CH4" s="229">
        <v>0.50029999999999997</v>
      </c>
      <c r="CI4" s="230">
        <v>12125</v>
      </c>
      <c r="CJ4" s="230">
        <v>9625</v>
      </c>
      <c r="CK4" s="230">
        <v>2500</v>
      </c>
      <c r="CL4" s="229">
        <v>0.25969999999999999</v>
      </c>
      <c r="CM4" s="230">
        <v>704875</v>
      </c>
      <c r="CN4" s="230">
        <v>832500</v>
      </c>
      <c r="CO4" s="230">
        <v>-127625</v>
      </c>
      <c r="CP4" s="229">
        <v>-0.15329999999999999</v>
      </c>
      <c r="CQ4" s="230">
        <v>468000</v>
      </c>
      <c r="CR4" s="230">
        <v>528500</v>
      </c>
      <c r="CS4" s="230">
        <v>-60500</v>
      </c>
      <c r="CT4" s="229">
        <v>-0.1145</v>
      </c>
      <c r="CU4" s="230">
        <v>3923000</v>
      </c>
      <c r="CV4" s="230">
        <v>4134875</v>
      </c>
      <c r="CW4" s="230">
        <v>-211875</v>
      </c>
      <c r="CX4" s="229">
        <v>-5.1200000000000002E-2</v>
      </c>
      <c r="CY4" s="228">
        <v>22.36</v>
      </c>
      <c r="CZ4" s="228">
        <v>22.35</v>
      </c>
      <c r="DA4" s="228">
        <v>0.01</v>
      </c>
      <c r="DB4" s="228">
        <v>0.01</v>
      </c>
      <c r="DC4" s="228">
        <v>26.25</v>
      </c>
      <c r="DD4" s="228">
        <v>26.32</v>
      </c>
      <c r="DE4" s="228">
        <v>-3.89</v>
      </c>
      <c r="DF4" s="228">
        <v>-7.0000000000000007E-2</v>
      </c>
      <c r="DG4" s="228">
        <v>22.58</v>
      </c>
      <c r="DH4" s="228">
        <v>22.69</v>
      </c>
      <c r="DI4" s="228">
        <v>-0.11</v>
      </c>
      <c r="DJ4" s="228">
        <v>-0.11</v>
      </c>
      <c r="DK4" s="228">
        <v>21.98</v>
      </c>
      <c r="DL4" s="228">
        <v>21.91</v>
      </c>
      <c r="DM4" s="228">
        <v>7.0000000000000007E-2</v>
      </c>
      <c r="DN4" s="228">
        <v>7.0000000000000007E-2</v>
      </c>
      <c r="DO4" s="228">
        <v>0.66</v>
      </c>
      <c r="DP4" s="228">
        <v>0.63</v>
      </c>
      <c r="DQ4" s="228">
        <v>0.03</v>
      </c>
      <c r="DR4" s="229">
        <v>4.7600000000000003E-2</v>
      </c>
      <c r="DS4" s="231">
        <v>8000</v>
      </c>
      <c r="DT4" s="231">
        <v>7500</v>
      </c>
      <c r="DU4" s="228">
        <v>0.46</v>
      </c>
      <c r="DV4" s="228">
        <v>0.68</v>
      </c>
      <c r="DW4" s="228">
        <v>-0.22</v>
      </c>
      <c r="DX4" s="229">
        <v>-0.32350000000000001</v>
      </c>
      <c r="DY4" s="229">
        <v>0.76539999999999997</v>
      </c>
      <c r="DZ4" s="230">
        <v>1404625</v>
      </c>
      <c r="EA4" s="229">
        <v>5.7000000000000002E-3</v>
      </c>
      <c r="EB4" s="229">
        <v>0.76539999999999997</v>
      </c>
      <c r="EC4" s="228">
        <v>43.8</v>
      </c>
      <c r="ED4" s="229">
        <v>5.5999999999999999E-3</v>
      </c>
      <c r="EE4" s="230">
        <v>175685</v>
      </c>
      <c r="EF4" s="230">
        <v>182829</v>
      </c>
      <c r="EG4" s="229">
        <v>-3.9100000000000003E-2</v>
      </c>
      <c r="EH4" s="229">
        <v>0.65480000000000005</v>
      </c>
      <c r="EI4" s="231">
        <v>106465.9</v>
      </c>
      <c r="EJ4" s="231">
        <v>47386.720000000001</v>
      </c>
      <c r="EK4" s="231">
        <v>132132.20000000001</v>
      </c>
      <c r="EL4" s="231">
        <v>7760</v>
      </c>
      <c r="EM4" s="231">
        <v>285984.82</v>
      </c>
      <c r="EN4" s="231">
        <v>391018.64</v>
      </c>
      <c r="EO4" s="231">
        <v>-105033.82</v>
      </c>
      <c r="EP4" s="229">
        <v>-0.26860000000000001</v>
      </c>
      <c r="EQ4" s="231">
        <v>56996</v>
      </c>
      <c r="ER4" s="231">
        <v>35442</v>
      </c>
      <c r="ES4" s="231">
        <v>216979</v>
      </c>
      <c r="ET4" s="231">
        <v>15240043</v>
      </c>
      <c r="EU4" s="231">
        <v>309417</v>
      </c>
      <c r="EV4" s="231">
        <v>325608</v>
      </c>
      <c r="EW4" s="231">
        <v>-16191</v>
      </c>
      <c r="EX4" s="229">
        <v>-4.9700000000000001E-2</v>
      </c>
      <c r="EY4" s="229">
        <v>0.25740000000000002</v>
      </c>
    </row>
    <row r="5" spans="1:155" ht="17.25" thickBot="1" x14ac:dyDescent="0.3">
      <c r="A5" s="226">
        <v>45957</v>
      </c>
      <c r="B5" s="227" t="s">
        <v>168</v>
      </c>
      <c r="C5" s="227" t="s">
        <v>169</v>
      </c>
      <c r="D5" s="231">
        <v>2518.4</v>
      </c>
      <c r="E5" s="231">
        <v>2503.4</v>
      </c>
      <c r="F5" s="228">
        <v>15</v>
      </c>
      <c r="G5" s="229">
        <v>6.0000000000000001E-3</v>
      </c>
      <c r="H5" s="231">
        <v>2518.8000000000002</v>
      </c>
      <c r="I5" s="231">
        <v>2501.6</v>
      </c>
      <c r="J5" s="228">
        <v>17.2</v>
      </c>
      <c r="K5" s="229">
        <v>6.8999999999999999E-3</v>
      </c>
      <c r="L5" s="231">
        <v>2518.4</v>
      </c>
      <c r="M5" s="231">
        <v>2503.4</v>
      </c>
      <c r="N5" s="228">
        <v>15</v>
      </c>
      <c r="O5" s="229">
        <v>6.0000000000000001E-3</v>
      </c>
      <c r="P5" s="231">
        <v>2527.1999999999998</v>
      </c>
      <c r="Q5" s="231">
        <v>2512.4</v>
      </c>
      <c r="R5" s="228">
        <v>14.8</v>
      </c>
      <c r="S5" s="229">
        <v>5.8999999999999999E-3</v>
      </c>
      <c r="T5" s="231">
        <v>2543.1</v>
      </c>
      <c r="U5" s="231">
        <v>2529.4</v>
      </c>
      <c r="V5" s="228">
        <v>13.7</v>
      </c>
      <c r="W5" s="229">
        <v>5.4000000000000003E-3</v>
      </c>
      <c r="X5" s="228">
        <v>-0.4</v>
      </c>
      <c r="Y5" s="228">
        <v>1.8</v>
      </c>
      <c r="Z5" s="228">
        <v>-2.2000000000000002</v>
      </c>
      <c r="AA5" s="229">
        <v>-2.0000000000000001E-4</v>
      </c>
      <c r="AB5" s="228">
        <v>-0.4</v>
      </c>
      <c r="AC5" s="228">
        <v>1.8</v>
      </c>
      <c r="AD5" s="228">
        <v>-2.2000000000000002</v>
      </c>
      <c r="AE5" s="229">
        <v>-2.0000000000000001E-4</v>
      </c>
      <c r="AF5" s="228">
        <v>8.4</v>
      </c>
      <c r="AG5" s="228">
        <v>10.8</v>
      </c>
      <c r="AH5" s="228">
        <v>-2.4</v>
      </c>
      <c r="AI5" s="229">
        <v>3.3E-3</v>
      </c>
      <c r="AJ5" s="228">
        <v>24.3</v>
      </c>
      <c r="AK5" s="228">
        <v>27.8</v>
      </c>
      <c r="AL5" s="228">
        <v>-3.5</v>
      </c>
      <c r="AM5" s="229">
        <v>9.5999999999999992E-3</v>
      </c>
      <c r="AN5" s="231">
        <v>2522.04</v>
      </c>
      <c r="AO5" s="231">
        <v>2531.98</v>
      </c>
      <c r="AP5" s="228">
        <v>0</v>
      </c>
      <c r="AQ5" s="230">
        <v>37933</v>
      </c>
      <c r="AR5" s="230">
        <v>40502</v>
      </c>
      <c r="AS5" s="230">
        <v>-2569</v>
      </c>
      <c r="AT5" s="229">
        <v>-6.3399999999999998E-2</v>
      </c>
      <c r="AU5" s="230">
        <v>18476</v>
      </c>
      <c r="AV5" s="230">
        <v>19668</v>
      </c>
      <c r="AW5" s="230">
        <v>-1192</v>
      </c>
      <c r="AX5" s="229">
        <v>-6.0600000000000001E-2</v>
      </c>
      <c r="AY5" s="230">
        <v>19215</v>
      </c>
      <c r="AZ5" s="230">
        <v>20701</v>
      </c>
      <c r="BA5" s="230">
        <v>-1486</v>
      </c>
      <c r="BB5" s="229">
        <v>-7.1800000000000003E-2</v>
      </c>
      <c r="BC5" s="228">
        <v>242</v>
      </c>
      <c r="BD5" s="228">
        <v>133</v>
      </c>
      <c r="BE5" s="228">
        <v>109</v>
      </c>
      <c r="BF5" s="229">
        <v>0.81950000000000001</v>
      </c>
      <c r="BG5" s="230">
        <v>24207</v>
      </c>
      <c r="BH5" s="230">
        <v>19893</v>
      </c>
      <c r="BI5" s="230">
        <v>4314</v>
      </c>
      <c r="BJ5" s="229">
        <v>0.21690000000000001</v>
      </c>
      <c r="BK5" s="230">
        <v>18709</v>
      </c>
      <c r="BL5" s="230">
        <v>16683</v>
      </c>
      <c r="BM5" s="230">
        <v>2026</v>
      </c>
      <c r="BN5" s="229">
        <v>0.12139999999999999</v>
      </c>
      <c r="BO5" s="230">
        <v>80849</v>
      </c>
      <c r="BP5" s="230">
        <v>77078</v>
      </c>
      <c r="BQ5" s="230">
        <v>3771</v>
      </c>
      <c r="BR5" s="229">
        <v>4.8899999999999999E-2</v>
      </c>
      <c r="BS5" s="230">
        <v>593133</v>
      </c>
      <c r="BT5" s="230">
        <v>341844</v>
      </c>
      <c r="BU5" s="230">
        <v>251289</v>
      </c>
      <c r="BV5" s="229">
        <v>0.73509999999999998</v>
      </c>
      <c r="BW5" s="230">
        <v>13604250</v>
      </c>
      <c r="BX5" s="230">
        <v>13491250</v>
      </c>
      <c r="BY5" s="230">
        <v>113000</v>
      </c>
      <c r="BZ5" s="229">
        <v>8.3999999999999995E-3</v>
      </c>
      <c r="CA5" s="230">
        <v>1439750</v>
      </c>
      <c r="CB5" s="230">
        <v>4867500</v>
      </c>
      <c r="CC5" s="230">
        <v>-3427750</v>
      </c>
      <c r="CD5" s="229">
        <v>-0.70420000000000005</v>
      </c>
      <c r="CE5" s="230">
        <v>12030000</v>
      </c>
      <c r="CF5" s="230">
        <v>8515250</v>
      </c>
      <c r="CG5" s="230">
        <v>3514750</v>
      </c>
      <c r="CH5" s="229">
        <v>0.4128</v>
      </c>
      <c r="CI5" s="230">
        <v>134500</v>
      </c>
      <c r="CJ5" s="230">
        <v>108500</v>
      </c>
      <c r="CK5" s="230">
        <v>26000</v>
      </c>
      <c r="CL5" s="229">
        <v>0.23960000000000001</v>
      </c>
      <c r="CM5" s="230">
        <v>5643750</v>
      </c>
      <c r="CN5" s="230">
        <v>6067000</v>
      </c>
      <c r="CO5" s="230">
        <v>-423250</v>
      </c>
      <c r="CP5" s="229">
        <v>-6.9800000000000001E-2</v>
      </c>
      <c r="CQ5" s="230">
        <v>3989250</v>
      </c>
      <c r="CR5" s="230">
        <v>4125250</v>
      </c>
      <c r="CS5" s="230">
        <v>-136000</v>
      </c>
      <c r="CT5" s="229">
        <v>-3.3000000000000002E-2</v>
      </c>
      <c r="CU5" s="230">
        <v>23237250</v>
      </c>
      <c r="CV5" s="230">
        <v>23683500</v>
      </c>
      <c r="CW5" s="230">
        <v>-446250</v>
      </c>
      <c r="CX5" s="229">
        <v>-1.8800000000000001E-2</v>
      </c>
      <c r="CY5" s="228">
        <v>22.08</v>
      </c>
      <c r="CZ5" s="228">
        <v>21.82</v>
      </c>
      <c r="DA5" s="228">
        <v>0.26</v>
      </c>
      <c r="DB5" s="228">
        <v>0.26</v>
      </c>
      <c r="DC5" s="228">
        <v>23.85</v>
      </c>
      <c r="DD5" s="228">
        <v>23.89</v>
      </c>
      <c r="DE5" s="228">
        <v>-1.77</v>
      </c>
      <c r="DF5" s="228">
        <v>-0.04</v>
      </c>
      <c r="DG5" s="228">
        <v>22.03</v>
      </c>
      <c r="DH5" s="228">
        <v>21.68</v>
      </c>
      <c r="DI5" s="228">
        <v>0.35</v>
      </c>
      <c r="DJ5" s="228">
        <v>0.35</v>
      </c>
      <c r="DK5" s="228">
        <v>22.16</v>
      </c>
      <c r="DL5" s="228">
        <v>21.95</v>
      </c>
      <c r="DM5" s="228">
        <v>0.21</v>
      </c>
      <c r="DN5" s="228">
        <v>0.21</v>
      </c>
      <c r="DO5" s="228">
        <v>0.71</v>
      </c>
      <c r="DP5" s="228">
        <v>0.68</v>
      </c>
      <c r="DQ5" s="228">
        <v>0.03</v>
      </c>
      <c r="DR5" s="229">
        <v>4.41E-2</v>
      </c>
      <c r="DS5" s="231">
        <v>2600</v>
      </c>
      <c r="DT5" s="231">
        <v>2300</v>
      </c>
      <c r="DU5" s="228">
        <v>0.77</v>
      </c>
      <c r="DV5" s="228">
        <v>0.84</v>
      </c>
      <c r="DW5" s="228">
        <v>-7.0000000000000007E-2</v>
      </c>
      <c r="DX5" s="229">
        <v>-8.3299999999999999E-2</v>
      </c>
      <c r="DY5" s="229">
        <v>0.89419999999999999</v>
      </c>
      <c r="DZ5" s="230">
        <v>8623750</v>
      </c>
      <c r="EA5" s="229">
        <v>3.5000000000000001E-3</v>
      </c>
      <c r="EB5" s="229">
        <v>0.89419999999999999</v>
      </c>
      <c r="EC5" s="228">
        <v>9.94</v>
      </c>
      <c r="ED5" s="229">
        <v>3.8999999999999998E-3</v>
      </c>
      <c r="EE5" s="230">
        <v>354254</v>
      </c>
      <c r="EF5" s="230">
        <v>171581</v>
      </c>
      <c r="EG5" s="229">
        <v>1.0646</v>
      </c>
      <c r="EH5" s="229">
        <v>0.59730000000000005</v>
      </c>
      <c r="EI5" s="231">
        <v>156405.04</v>
      </c>
      <c r="EJ5" s="231">
        <v>115138.48</v>
      </c>
      <c r="EK5" s="231">
        <v>239663.71</v>
      </c>
      <c r="EL5" s="231">
        <v>19836</v>
      </c>
      <c r="EM5" s="231">
        <v>511207.23</v>
      </c>
      <c r="EN5" s="231">
        <v>484480.19</v>
      </c>
      <c r="EO5" s="231">
        <v>26727.040000000001</v>
      </c>
      <c r="EP5" s="229">
        <v>5.5199999999999999E-2</v>
      </c>
      <c r="EQ5" s="231">
        <v>144140</v>
      </c>
      <c r="ER5" s="231">
        <v>95521</v>
      </c>
      <c r="ES5" s="231">
        <v>343701</v>
      </c>
      <c r="ET5" s="231">
        <v>52357280</v>
      </c>
      <c r="EU5" s="231">
        <v>583362</v>
      </c>
      <c r="EV5" s="231">
        <v>591777</v>
      </c>
      <c r="EW5" s="231">
        <v>-8415</v>
      </c>
      <c r="EX5" s="229">
        <v>-1.4200000000000001E-2</v>
      </c>
      <c r="EY5" s="229">
        <v>0.44379999999999997</v>
      </c>
    </row>
    <row r="6" spans="1:155" ht="17.25" thickBot="1" x14ac:dyDescent="0.3">
      <c r="A6" s="226">
        <v>45957</v>
      </c>
      <c r="B6" s="227" t="s">
        <v>172</v>
      </c>
      <c r="C6" s="227" t="s">
        <v>173</v>
      </c>
      <c r="D6" s="231">
        <v>1252.7</v>
      </c>
      <c r="E6" s="231">
        <v>1243</v>
      </c>
      <c r="F6" s="228">
        <v>9.6999999999999993</v>
      </c>
      <c r="G6" s="229">
        <v>7.7999999999999996E-3</v>
      </c>
      <c r="H6" s="231">
        <v>1254.0999999999999</v>
      </c>
      <c r="I6" s="231">
        <v>1241.9000000000001</v>
      </c>
      <c r="J6" s="228">
        <v>12.2</v>
      </c>
      <c r="K6" s="229">
        <v>9.7999999999999997E-3</v>
      </c>
      <c r="L6" s="231">
        <v>1252.7</v>
      </c>
      <c r="M6" s="231">
        <v>1243</v>
      </c>
      <c r="N6" s="228">
        <v>9.6999999999999993</v>
      </c>
      <c r="O6" s="229">
        <v>7.7999999999999996E-3</v>
      </c>
      <c r="P6" s="231">
        <v>1260.7</v>
      </c>
      <c r="Q6" s="231">
        <v>1250.5</v>
      </c>
      <c r="R6" s="228">
        <v>10.199999999999999</v>
      </c>
      <c r="S6" s="229">
        <v>8.2000000000000007E-3</v>
      </c>
      <c r="T6" s="231">
        <v>1268.4000000000001</v>
      </c>
      <c r="U6" s="231">
        <v>1257.9000000000001</v>
      </c>
      <c r="V6" s="228">
        <v>10.5</v>
      </c>
      <c r="W6" s="229">
        <v>8.3000000000000001E-3</v>
      </c>
      <c r="X6" s="228">
        <v>-1.4</v>
      </c>
      <c r="Y6" s="228">
        <v>1.1000000000000001</v>
      </c>
      <c r="Z6" s="228">
        <v>-2.5</v>
      </c>
      <c r="AA6" s="229">
        <v>-1.1000000000000001E-3</v>
      </c>
      <c r="AB6" s="228">
        <v>-1.4</v>
      </c>
      <c r="AC6" s="228">
        <v>1.1000000000000001</v>
      </c>
      <c r="AD6" s="228">
        <v>-2.5</v>
      </c>
      <c r="AE6" s="229">
        <v>-1.1000000000000001E-3</v>
      </c>
      <c r="AF6" s="228">
        <v>6.6</v>
      </c>
      <c r="AG6" s="228">
        <v>8.6</v>
      </c>
      <c r="AH6" s="228">
        <v>-2</v>
      </c>
      <c r="AI6" s="229">
        <v>5.3E-3</v>
      </c>
      <c r="AJ6" s="228">
        <v>14.3</v>
      </c>
      <c r="AK6" s="228">
        <v>16</v>
      </c>
      <c r="AL6" s="228">
        <v>-1.7</v>
      </c>
      <c r="AM6" s="229">
        <v>1.14E-2</v>
      </c>
      <c r="AN6" s="231">
        <v>1249.9100000000001</v>
      </c>
      <c r="AO6" s="231">
        <v>1257.32</v>
      </c>
      <c r="AP6" s="228">
        <v>0</v>
      </c>
      <c r="AQ6" s="230">
        <v>44716</v>
      </c>
      <c r="AR6" s="230">
        <v>76251</v>
      </c>
      <c r="AS6" s="230">
        <v>-31535</v>
      </c>
      <c r="AT6" s="229">
        <v>-0.41360000000000002</v>
      </c>
      <c r="AU6" s="230">
        <v>21536</v>
      </c>
      <c r="AV6" s="230">
        <v>38774</v>
      </c>
      <c r="AW6" s="230">
        <v>-17238</v>
      </c>
      <c r="AX6" s="229">
        <v>-0.4446</v>
      </c>
      <c r="AY6" s="230">
        <v>22952</v>
      </c>
      <c r="AZ6" s="230">
        <v>37327</v>
      </c>
      <c r="BA6" s="230">
        <v>-14375</v>
      </c>
      <c r="BB6" s="229">
        <v>-0.3851</v>
      </c>
      <c r="BC6" s="228">
        <v>228</v>
      </c>
      <c r="BD6" s="228">
        <v>150</v>
      </c>
      <c r="BE6" s="228">
        <v>78</v>
      </c>
      <c r="BF6" s="229">
        <v>0.52</v>
      </c>
      <c r="BG6" s="230">
        <v>48473</v>
      </c>
      <c r="BH6" s="230">
        <v>55629</v>
      </c>
      <c r="BI6" s="230">
        <v>-7156</v>
      </c>
      <c r="BJ6" s="229">
        <v>-0.12859999999999999</v>
      </c>
      <c r="BK6" s="230">
        <v>29254</v>
      </c>
      <c r="BL6" s="230">
        <v>48126</v>
      </c>
      <c r="BM6" s="230">
        <v>-18872</v>
      </c>
      <c r="BN6" s="229">
        <v>-0.3921</v>
      </c>
      <c r="BO6" s="230">
        <v>122443</v>
      </c>
      <c r="BP6" s="230">
        <v>180006</v>
      </c>
      <c r="BQ6" s="230">
        <v>-57563</v>
      </c>
      <c r="BR6" s="229">
        <v>-0.31979999999999997</v>
      </c>
      <c r="BS6" s="230">
        <v>6293604</v>
      </c>
      <c r="BT6" s="230">
        <v>4965684</v>
      </c>
      <c r="BU6" s="230">
        <v>1327920</v>
      </c>
      <c r="BV6" s="229">
        <v>0.26740000000000003</v>
      </c>
      <c r="BW6" s="230">
        <v>82435000</v>
      </c>
      <c r="BX6" s="230">
        <v>81433125</v>
      </c>
      <c r="BY6" s="230">
        <v>1001875</v>
      </c>
      <c r="BZ6" s="229">
        <v>1.23E-2</v>
      </c>
      <c r="CA6" s="230">
        <v>14270000</v>
      </c>
      <c r="CB6" s="230">
        <v>23296875</v>
      </c>
      <c r="CC6" s="230">
        <v>-9026875</v>
      </c>
      <c r="CD6" s="229">
        <v>-0.38750000000000001</v>
      </c>
      <c r="CE6" s="230">
        <v>67128125</v>
      </c>
      <c r="CF6" s="230">
        <v>57120000</v>
      </c>
      <c r="CG6" s="230">
        <v>10008125</v>
      </c>
      <c r="CH6" s="229">
        <v>0.17519999999999999</v>
      </c>
      <c r="CI6" s="230">
        <v>1036875</v>
      </c>
      <c r="CJ6" s="230">
        <v>1016250</v>
      </c>
      <c r="CK6" s="230">
        <v>20625</v>
      </c>
      <c r="CL6" s="229">
        <v>2.0299999999999999E-2</v>
      </c>
      <c r="CM6" s="230">
        <v>27340000</v>
      </c>
      <c r="CN6" s="230">
        <v>29658125</v>
      </c>
      <c r="CO6" s="230">
        <v>-2318125</v>
      </c>
      <c r="CP6" s="229">
        <v>-7.8200000000000006E-2</v>
      </c>
      <c r="CQ6" s="230">
        <v>21743125</v>
      </c>
      <c r="CR6" s="230">
        <v>22395000</v>
      </c>
      <c r="CS6" s="230">
        <v>-651875</v>
      </c>
      <c r="CT6" s="229">
        <v>-2.9100000000000001E-2</v>
      </c>
      <c r="CU6" s="230">
        <v>131518125</v>
      </c>
      <c r="CV6" s="230">
        <v>133486250</v>
      </c>
      <c r="CW6" s="230">
        <v>-1968125</v>
      </c>
      <c r="CX6" s="229">
        <v>-1.47E-2</v>
      </c>
      <c r="CY6" s="228">
        <v>18.809999999999999</v>
      </c>
      <c r="CZ6" s="228">
        <v>18.55</v>
      </c>
      <c r="DA6" s="228">
        <v>0.26</v>
      </c>
      <c r="DB6" s="228">
        <v>0.26</v>
      </c>
      <c r="DC6" s="228">
        <v>26.97</v>
      </c>
      <c r="DD6" s="228">
        <v>27</v>
      </c>
      <c r="DE6" s="228">
        <v>-8.16</v>
      </c>
      <c r="DF6" s="228">
        <v>-0.03</v>
      </c>
      <c r="DG6" s="228">
        <v>18.489999999999998</v>
      </c>
      <c r="DH6" s="228">
        <v>18.329999999999998</v>
      </c>
      <c r="DI6" s="228">
        <v>0.16</v>
      </c>
      <c r="DJ6" s="228">
        <v>0.16</v>
      </c>
      <c r="DK6" s="228">
        <v>19.32</v>
      </c>
      <c r="DL6" s="228">
        <v>18.77</v>
      </c>
      <c r="DM6" s="228">
        <v>0.55000000000000004</v>
      </c>
      <c r="DN6" s="228">
        <v>0.55000000000000004</v>
      </c>
      <c r="DO6" s="228">
        <v>0.8</v>
      </c>
      <c r="DP6" s="228">
        <v>0.76</v>
      </c>
      <c r="DQ6" s="228">
        <v>0.04</v>
      </c>
      <c r="DR6" s="229">
        <v>5.2600000000000001E-2</v>
      </c>
      <c r="DS6" s="231">
        <v>1160</v>
      </c>
      <c r="DT6" s="231">
        <v>1200</v>
      </c>
      <c r="DU6" s="228">
        <v>0.6</v>
      </c>
      <c r="DV6" s="228">
        <v>0.87</v>
      </c>
      <c r="DW6" s="228">
        <v>-0.27</v>
      </c>
      <c r="DX6" s="229">
        <v>-0.31030000000000002</v>
      </c>
      <c r="DY6" s="229">
        <v>0.82689999999999997</v>
      </c>
      <c r="DZ6" s="230">
        <v>58136250</v>
      </c>
      <c r="EA6" s="229">
        <v>6.4000000000000003E-3</v>
      </c>
      <c r="EB6" s="229">
        <v>0.82689999999999997</v>
      </c>
      <c r="EC6" s="228">
        <v>7.41</v>
      </c>
      <c r="ED6" s="229">
        <v>5.8999999999999999E-3</v>
      </c>
      <c r="EE6" s="230">
        <v>4253618</v>
      </c>
      <c r="EF6" s="230">
        <v>3244137</v>
      </c>
      <c r="EG6" s="229">
        <v>0.31119999999999998</v>
      </c>
      <c r="EH6" s="229">
        <v>0.67589999999999995</v>
      </c>
      <c r="EI6" s="231">
        <v>385546.29</v>
      </c>
      <c r="EJ6" s="231">
        <v>226173.57</v>
      </c>
      <c r="EK6" s="231">
        <v>350403.69</v>
      </c>
      <c r="EL6" s="231">
        <v>59785</v>
      </c>
      <c r="EM6" s="231">
        <v>962123.55</v>
      </c>
      <c r="EN6" s="231">
        <v>1409980.14</v>
      </c>
      <c r="EO6" s="231">
        <v>-447856.59</v>
      </c>
      <c r="EP6" s="229">
        <v>-0.31759999999999999</v>
      </c>
      <c r="EQ6" s="231">
        <v>334794</v>
      </c>
      <c r="ER6" s="231">
        <v>256481</v>
      </c>
      <c r="ES6" s="231">
        <v>1038196</v>
      </c>
      <c r="ET6" s="231">
        <v>316147681</v>
      </c>
      <c r="EU6" s="231">
        <v>1629471</v>
      </c>
      <c r="EV6" s="231">
        <v>1644510</v>
      </c>
      <c r="EW6" s="231">
        <v>-15039</v>
      </c>
      <c r="EX6" s="229">
        <v>-9.1000000000000004E-3</v>
      </c>
      <c r="EY6" s="229">
        <v>0.41599999999999998</v>
      </c>
    </row>
    <row r="7" spans="1:155" ht="17.25" thickBot="1" x14ac:dyDescent="0.3">
      <c r="A7" s="226">
        <v>45957</v>
      </c>
      <c r="B7" s="227" t="s">
        <v>162</v>
      </c>
      <c r="C7" s="227" t="s">
        <v>174</v>
      </c>
      <c r="D7" s="231">
        <v>9117.5</v>
      </c>
      <c r="E7" s="231">
        <v>9065.5</v>
      </c>
      <c r="F7" s="228">
        <v>52</v>
      </c>
      <c r="G7" s="229">
        <v>5.7000000000000002E-3</v>
      </c>
      <c r="H7" s="231">
        <v>9095.5</v>
      </c>
      <c r="I7" s="231">
        <v>9076.5</v>
      </c>
      <c r="J7" s="228">
        <v>19</v>
      </c>
      <c r="K7" s="229">
        <v>2.0999999999999999E-3</v>
      </c>
      <c r="L7" s="231">
        <v>9117.5</v>
      </c>
      <c r="M7" s="231">
        <v>9065.5</v>
      </c>
      <c r="N7" s="228">
        <v>52</v>
      </c>
      <c r="O7" s="229">
        <v>5.7000000000000002E-3</v>
      </c>
      <c r="P7" s="231">
        <v>9140.5</v>
      </c>
      <c r="Q7" s="231">
        <v>9075.5</v>
      </c>
      <c r="R7" s="228">
        <v>65</v>
      </c>
      <c r="S7" s="229">
        <v>7.1999999999999998E-3</v>
      </c>
      <c r="T7" s="231">
        <v>9174</v>
      </c>
      <c r="U7" s="231">
        <v>9113</v>
      </c>
      <c r="V7" s="228">
        <v>61</v>
      </c>
      <c r="W7" s="229">
        <v>6.7000000000000002E-3</v>
      </c>
      <c r="X7" s="228">
        <v>22</v>
      </c>
      <c r="Y7" s="228">
        <v>-11</v>
      </c>
      <c r="Z7" s="228">
        <v>33</v>
      </c>
      <c r="AA7" s="229">
        <v>2.3999999999999998E-3</v>
      </c>
      <c r="AB7" s="228">
        <v>22</v>
      </c>
      <c r="AC7" s="228">
        <v>-11</v>
      </c>
      <c r="AD7" s="228">
        <v>33</v>
      </c>
      <c r="AE7" s="229">
        <v>2.3999999999999998E-3</v>
      </c>
      <c r="AF7" s="228">
        <v>45</v>
      </c>
      <c r="AG7" s="228">
        <v>-1</v>
      </c>
      <c r="AH7" s="228">
        <v>46</v>
      </c>
      <c r="AI7" s="229">
        <v>4.8999999999999998E-3</v>
      </c>
      <c r="AJ7" s="228">
        <v>78.5</v>
      </c>
      <c r="AK7" s="228">
        <v>36.5</v>
      </c>
      <c r="AL7" s="228">
        <v>42</v>
      </c>
      <c r="AM7" s="229">
        <v>8.6E-3</v>
      </c>
      <c r="AN7" s="231">
        <v>9107.4699999999993</v>
      </c>
      <c r="AO7" s="231">
        <v>9116.64</v>
      </c>
      <c r="AP7" s="228">
        <v>0</v>
      </c>
      <c r="AQ7" s="230">
        <v>31542</v>
      </c>
      <c r="AR7" s="230">
        <v>39215</v>
      </c>
      <c r="AS7" s="230">
        <v>-7673</v>
      </c>
      <c r="AT7" s="229">
        <v>-0.19570000000000001</v>
      </c>
      <c r="AU7" s="230">
        <v>15452</v>
      </c>
      <c r="AV7" s="230">
        <v>19803</v>
      </c>
      <c r="AW7" s="230">
        <v>-4351</v>
      </c>
      <c r="AX7" s="229">
        <v>-0.21970000000000001</v>
      </c>
      <c r="AY7" s="230">
        <v>15986</v>
      </c>
      <c r="AZ7" s="230">
        <v>19330</v>
      </c>
      <c r="BA7" s="230">
        <v>-3344</v>
      </c>
      <c r="BB7" s="229">
        <v>-0.17299999999999999</v>
      </c>
      <c r="BC7" s="228">
        <v>104</v>
      </c>
      <c r="BD7" s="228">
        <v>82</v>
      </c>
      <c r="BE7" s="228">
        <v>22</v>
      </c>
      <c r="BF7" s="229">
        <v>0.26829999999999998</v>
      </c>
      <c r="BG7" s="230">
        <v>26846</v>
      </c>
      <c r="BH7" s="230">
        <v>33703</v>
      </c>
      <c r="BI7" s="230">
        <v>-6857</v>
      </c>
      <c r="BJ7" s="229">
        <v>-0.20349999999999999</v>
      </c>
      <c r="BK7" s="230">
        <v>15358</v>
      </c>
      <c r="BL7" s="230">
        <v>21571</v>
      </c>
      <c r="BM7" s="230">
        <v>-6213</v>
      </c>
      <c r="BN7" s="229">
        <v>-0.28799999999999998</v>
      </c>
      <c r="BO7" s="230">
        <v>73746</v>
      </c>
      <c r="BP7" s="230">
        <v>94489</v>
      </c>
      <c r="BQ7" s="230">
        <v>-20743</v>
      </c>
      <c r="BR7" s="229">
        <v>-0.2195</v>
      </c>
      <c r="BS7" s="230">
        <v>338172</v>
      </c>
      <c r="BT7" s="230">
        <v>347634</v>
      </c>
      <c r="BU7" s="230">
        <v>-9462</v>
      </c>
      <c r="BV7" s="229">
        <v>-2.7199999999999998E-2</v>
      </c>
      <c r="BW7" s="230">
        <v>3423000</v>
      </c>
      <c r="BX7" s="230">
        <v>3345150</v>
      </c>
      <c r="BY7" s="230">
        <v>77850</v>
      </c>
      <c r="BZ7" s="229">
        <v>2.3300000000000001E-2</v>
      </c>
      <c r="CA7" s="230">
        <v>408375</v>
      </c>
      <c r="CB7" s="230">
        <v>1045575</v>
      </c>
      <c r="CC7" s="230">
        <v>-637200</v>
      </c>
      <c r="CD7" s="229">
        <v>-0.60940000000000005</v>
      </c>
      <c r="CE7" s="230">
        <v>2981925</v>
      </c>
      <c r="CF7" s="230">
        <v>2270100</v>
      </c>
      <c r="CG7" s="230">
        <v>711825</v>
      </c>
      <c r="CH7" s="229">
        <v>0.31359999999999999</v>
      </c>
      <c r="CI7" s="230">
        <v>32700</v>
      </c>
      <c r="CJ7" s="230">
        <v>29475</v>
      </c>
      <c r="CK7" s="230">
        <v>3225</v>
      </c>
      <c r="CL7" s="229">
        <v>0.1094</v>
      </c>
      <c r="CM7" s="230">
        <v>1174800</v>
      </c>
      <c r="CN7" s="230">
        <v>1370250</v>
      </c>
      <c r="CO7" s="230">
        <v>-195450</v>
      </c>
      <c r="CP7" s="229">
        <v>-0.1426</v>
      </c>
      <c r="CQ7" s="230">
        <v>945150</v>
      </c>
      <c r="CR7" s="230">
        <v>947475</v>
      </c>
      <c r="CS7" s="230">
        <v>-2325</v>
      </c>
      <c r="CT7" s="229">
        <v>-2.5000000000000001E-3</v>
      </c>
      <c r="CU7" s="230">
        <v>5542950</v>
      </c>
      <c r="CV7" s="230">
        <v>5662875</v>
      </c>
      <c r="CW7" s="230">
        <v>-119925</v>
      </c>
      <c r="CX7" s="229">
        <v>-2.12E-2</v>
      </c>
      <c r="CY7" s="228">
        <v>25.41</v>
      </c>
      <c r="CZ7" s="228">
        <v>25.73</v>
      </c>
      <c r="DA7" s="228">
        <v>-0.32</v>
      </c>
      <c r="DB7" s="228">
        <v>-0.32</v>
      </c>
      <c r="DC7" s="228">
        <v>30.09</v>
      </c>
      <c r="DD7" s="228">
        <v>30.17</v>
      </c>
      <c r="DE7" s="228">
        <v>-4.68</v>
      </c>
      <c r="DF7" s="228">
        <v>-0.08</v>
      </c>
      <c r="DG7" s="228">
        <v>25.65</v>
      </c>
      <c r="DH7" s="228">
        <v>26.24</v>
      </c>
      <c r="DI7" s="228">
        <v>-0.59</v>
      </c>
      <c r="DJ7" s="228">
        <v>-0.59</v>
      </c>
      <c r="DK7" s="228">
        <v>25.08</v>
      </c>
      <c r="DL7" s="228">
        <v>24.99</v>
      </c>
      <c r="DM7" s="228">
        <v>0.09</v>
      </c>
      <c r="DN7" s="228">
        <v>0.09</v>
      </c>
      <c r="DO7" s="228">
        <v>0.8</v>
      </c>
      <c r="DP7" s="228">
        <v>0.69</v>
      </c>
      <c r="DQ7" s="228">
        <v>0.11</v>
      </c>
      <c r="DR7" s="229">
        <v>0.15939999999999999</v>
      </c>
      <c r="DS7" s="231">
        <v>9200</v>
      </c>
      <c r="DT7" s="231">
        <v>9000</v>
      </c>
      <c r="DU7" s="228">
        <v>0.56999999999999995</v>
      </c>
      <c r="DV7" s="228">
        <v>0.64</v>
      </c>
      <c r="DW7" s="228">
        <v>-7.0000000000000007E-2</v>
      </c>
      <c r="DX7" s="229">
        <v>-0.1094</v>
      </c>
      <c r="DY7" s="229">
        <v>0.88070000000000004</v>
      </c>
      <c r="DZ7" s="230">
        <v>2299575</v>
      </c>
      <c r="EA7" s="229">
        <v>2.5000000000000001E-3</v>
      </c>
      <c r="EB7" s="229">
        <v>0.88070000000000004</v>
      </c>
      <c r="EC7" s="228">
        <v>9.17</v>
      </c>
      <c r="ED7" s="229">
        <v>1E-3</v>
      </c>
      <c r="EE7" s="230">
        <v>219643</v>
      </c>
      <c r="EF7" s="230">
        <v>234957</v>
      </c>
      <c r="EG7" s="229">
        <v>-6.5199999999999994E-2</v>
      </c>
      <c r="EH7" s="229">
        <v>0.64949999999999997</v>
      </c>
      <c r="EI7" s="231">
        <v>188479.68</v>
      </c>
      <c r="EJ7" s="231">
        <v>103438.45</v>
      </c>
      <c r="EK7" s="231">
        <v>215563.7</v>
      </c>
      <c r="EL7" s="231">
        <v>21712</v>
      </c>
      <c r="EM7" s="231">
        <v>507481.83</v>
      </c>
      <c r="EN7" s="231">
        <v>647786.82999999996</v>
      </c>
      <c r="EO7" s="231">
        <v>-140305</v>
      </c>
      <c r="EP7" s="229">
        <v>-0.21659999999999999</v>
      </c>
      <c r="EQ7" s="231">
        <v>110686</v>
      </c>
      <c r="ER7" s="231">
        <v>81480</v>
      </c>
      <c r="ES7" s="231">
        <v>312796</v>
      </c>
      <c r="ET7" s="231">
        <v>12547731</v>
      </c>
      <c r="EU7" s="231">
        <v>504962</v>
      </c>
      <c r="EV7" s="231">
        <v>513901</v>
      </c>
      <c r="EW7" s="231">
        <v>-8939</v>
      </c>
      <c r="EX7" s="229">
        <v>-1.7399999999999999E-2</v>
      </c>
      <c r="EY7" s="229">
        <v>0.44169999999999998</v>
      </c>
    </row>
    <row r="8" spans="1:155" ht="17.25" thickBot="1" x14ac:dyDescent="0.3">
      <c r="A8" s="226">
        <v>45957</v>
      </c>
      <c r="B8" s="227" t="s">
        <v>175</v>
      </c>
      <c r="C8" s="227" t="s">
        <v>176</v>
      </c>
      <c r="D8" s="231">
        <v>2169.9</v>
      </c>
      <c r="E8" s="231">
        <v>2159.8000000000002</v>
      </c>
      <c r="F8" s="228">
        <v>10.1</v>
      </c>
      <c r="G8" s="229">
        <v>4.7000000000000002E-3</v>
      </c>
      <c r="H8" s="231">
        <v>2170.1999999999998</v>
      </c>
      <c r="I8" s="231">
        <v>2159.5</v>
      </c>
      <c r="J8" s="228">
        <v>10.7</v>
      </c>
      <c r="K8" s="229">
        <v>5.0000000000000001E-3</v>
      </c>
      <c r="L8" s="231">
        <v>2169.9</v>
      </c>
      <c r="M8" s="231">
        <v>2159.8000000000002</v>
      </c>
      <c r="N8" s="228">
        <v>10.1</v>
      </c>
      <c r="O8" s="229">
        <v>4.7000000000000002E-3</v>
      </c>
      <c r="P8" s="231">
        <v>2182.8000000000002</v>
      </c>
      <c r="Q8" s="231">
        <v>2173.4</v>
      </c>
      <c r="R8" s="228">
        <v>9.4</v>
      </c>
      <c r="S8" s="229">
        <v>4.3E-3</v>
      </c>
      <c r="T8" s="231">
        <v>2197.3000000000002</v>
      </c>
      <c r="U8" s="231">
        <v>2186.6</v>
      </c>
      <c r="V8" s="228">
        <v>10.7</v>
      </c>
      <c r="W8" s="229">
        <v>4.8999999999999998E-3</v>
      </c>
      <c r="X8" s="228">
        <v>-0.3</v>
      </c>
      <c r="Y8" s="228">
        <v>0.3</v>
      </c>
      <c r="Z8" s="228">
        <v>-0.6</v>
      </c>
      <c r="AA8" s="229">
        <v>-1E-4</v>
      </c>
      <c r="AB8" s="228">
        <v>-0.3</v>
      </c>
      <c r="AC8" s="228">
        <v>0.3</v>
      </c>
      <c r="AD8" s="228">
        <v>-0.6</v>
      </c>
      <c r="AE8" s="229">
        <v>-1E-4</v>
      </c>
      <c r="AF8" s="228">
        <v>12.6</v>
      </c>
      <c r="AG8" s="228">
        <v>13.9</v>
      </c>
      <c r="AH8" s="228">
        <v>-1.3</v>
      </c>
      <c r="AI8" s="229">
        <v>5.7999999999999996E-3</v>
      </c>
      <c r="AJ8" s="228">
        <v>27.1</v>
      </c>
      <c r="AK8" s="228">
        <v>27.1</v>
      </c>
      <c r="AL8" s="228">
        <v>0</v>
      </c>
      <c r="AM8" s="229">
        <v>1.2500000000000001E-2</v>
      </c>
      <c r="AN8" s="231">
        <v>2168.08</v>
      </c>
      <c r="AO8" s="231">
        <v>2181.0100000000002</v>
      </c>
      <c r="AP8" s="228">
        <v>0</v>
      </c>
      <c r="AQ8" s="230">
        <v>21234</v>
      </c>
      <c r="AR8" s="230">
        <v>20024</v>
      </c>
      <c r="AS8" s="230">
        <v>1210</v>
      </c>
      <c r="AT8" s="229">
        <v>6.0400000000000002E-2</v>
      </c>
      <c r="AU8" s="230">
        <v>10131</v>
      </c>
      <c r="AV8" s="230">
        <v>10017</v>
      </c>
      <c r="AW8" s="228">
        <v>114</v>
      </c>
      <c r="AX8" s="229">
        <v>1.14E-2</v>
      </c>
      <c r="AY8" s="230">
        <v>11044</v>
      </c>
      <c r="AZ8" s="230">
        <v>9967</v>
      </c>
      <c r="BA8" s="230">
        <v>1077</v>
      </c>
      <c r="BB8" s="229">
        <v>0.1081</v>
      </c>
      <c r="BC8" s="228">
        <v>59</v>
      </c>
      <c r="BD8" s="228">
        <v>40</v>
      </c>
      <c r="BE8" s="228">
        <v>19</v>
      </c>
      <c r="BF8" s="229">
        <v>0.47499999999999998</v>
      </c>
      <c r="BG8" s="230">
        <v>11812</v>
      </c>
      <c r="BH8" s="230">
        <v>13760</v>
      </c>
      <c r="BI8" s="230">
        <v>-1948</v>
      </c>
      <c r="BJ8" s="229">
        <v>-0.1416</v>
      </c>
      <c r="BK8" s="230">
        <v>11094</v>
      </c>
      <c r="BL8" s="230">
        <v>14216</v>
      </c>
      <c r="BM8" s="230">
        <v>-3122</v>
      </c>
      <c r="BN8" s="229">
        <v>-0.21959999999999999</v>
      </c>
      <c r="BO8" s="230">
        <v>44140</v>
      </c>
      <c r="BP8" s="230">
        <v>48000</v>
      </c>
      <c r="BQ8" s="230">
        <v>-3860</v>
      </c>
      <c r="BR8" s="229">
        <v>-8.0399999999999999E-2</v>
      </c>
      <c r="BS8" s="230">
        <v>459913</v>
      </c>
      <c r="BT8" s="230">
        <v>535952</v>
      </c>
      <c r="BU8" s="230">
        <v>-76039</v>
      </c>
      <c r="BV8" s="229">
        <v>-0.1419</v>
      </c>
      <c r="BW8" s="230">
        <v>19959000</v>
      </c>
      <c r="BX8" s="230">
        <v>19826500</v>
      </c>
      <c r="BY8" s="230">
        <v>132500</v>
      </c>
      <c r="BZ8" s="229">
        <v>6.7000000000000002E-3</v>
      </c>
      <c r="CA8" s="230">
        <v>5401500</v>
      </c>
      <c r="CB8" s="230">
        <v>9602000</v>
      </c>
      <c r="CC8" s="230">
        <v>-4200500</v>
      </c>
      <c r="CD8" s="229">
        <v>-0.4375</v>
      </c>
      <c r="CE8" s="230">
        <v>14472500</v>
      </c>
      <c r="CF8" s="230">
        <v>10151000</v>
      </c>
      <c r="CG8" s="230">
        <v>4321500</v>
      </c>
      <c r="CH8" s="229">
        <v>0.42570000000000002</v>
      </c>
      <c r="CI8" s="230">
        <v>85000</v>
      </c>
      <c r="CJ8" s="230">
        <v>73500</v>
      </c>
      <c r="CK8" s="230">
        <v>11500</v>
      </c>
      <c r="CL8" s="229">
        <v>0.1565</v>
      </c>
      <c r="CM8" s="230">
        <v>6716500</v>
      </c>
      <c r="CN8" s="230">
        <v>6863000</v>
      </c>
      <c r="CO8" s="230">
        <v>-146500</v>
      </c>
      <c r="CP8" s="229">
        <v>-2.1299999999999999E-2</v>
      </c>
      <c r="CQ8" s="230">
        <v>6270500</v>
      </c>
      <c r="CR8" s="230">
        <v>6450000</v>
      </c>
      <c r="CS8" s="230">
        <v>-179500</v>
      </c>
      <c r="CT8" s="229">
        <v>-2.7799999999999998E-2</v>
      </c>
      <c r="CU8" s="230">
        <v>32946000</v>
      </c>
      <c r="CV8" s="230">
        <v>33139500</v>
      </c>
      <c r="CW8" s="230">
        <v>-193500</v>
      </c>
      <c r="CX8" s="229">
        <v>-5.7999999999999996E-3</v>
      </c>
      <c r="CY8" s="228">
        <v>24.5</v>
      </c>
      <c r="CZ8" s="228">
        <v>23.77</v>
      </c>
      <c r="DA8" s="228">
        <v>0.73</v>
      </c>
      <c r="DB8" s="228">
        <v>0.73</v>
      </c>
      <c r="DC8" s="228">
        <v>28.06</v>
      </c>
      <c r="DD8" s="228">
        <v>28.13</v>
      </c>
      <c r="DE8" s="228">
        <v>-3.56</v>
      </c>
      <c r="DF8" s="228">
        <v>-7.0000000000000007E-2</v>
      </c>
      <c r="DG8" s="228">
        <v>23.5</v>
      </c>
      <c r="DH8" s="228">
        <v>23.46</v>
      </c>
      <c r="DI8" s="228">
        <v>0.04</v>
      </c>
      <c r="DJ8" s="228">
        <v>0.04</v>
      </c>
      <c r="DK8" s="228">
        <v>25.81</v>
      </c>
      <c r="DL8" s="228">
        <v>24.19</v>
      </c>
      <c r="DM8" s="228">
        <v>1.62</v>
      </c>
      <c r="DN8" s="228">
        <v>1.62</v>
      </c>
      <c r="DO8" s="228">
        <v>0.93</v>
      </c>
      <c r="DP8" s="228">
        <v>0.94</v>
      </c>
      <c r="DQ8" s="228">
        <v>-0.01</v>
      </c>
      <c r="DR8" s="229">
        <v>-1.06E-2</v>
      </c>
      <c r="DS8" s="231">
        <v>2080</v>
      </c>
      <c r="DT8" s="231">
        <v>2100</v>
      </c>
      <c r="DU8" s="228">
        <v>0.94</v>
      </c>
      <c r="DV8" s="228">
        <v>1.03</v>
      </c>
      <c r="DW8" s="228">
        <v>-0.09</v>
      </c>
      <c r="DX8" s="229">
        <v>-8.7400000000000005E-2</v>
      </c>
      <c r="DY8" s="229">
        <v>0.72940000000000005</v>
      </c>
      <c r="DZ8" s="230">
        <v>10224500</v>
      </c>
      <c r="EA8" s="229">
        <v>5.8999999999999999E-3</v>
      </c>
      <c r="EB8" s="229">
        <v>0.72940000000000005</v>
      </c>
      <c r="EC8" s="228">
        <v>12.93</v>
      </c>
      <c r="ED8" s="229">
        <v>6.0000000000000001E-3</v>
      </c>
      <c r="EE8" s="230">
        <v>205223</v>
      </c>
      <c r="EF8" s="230">
        <v>265416</v>
      </c>
      <c r="EG8" s="229">
        <v>-0.2268</v>
      </c>
      <c r="EH8" s="229">
        <v>0.44619999999999999</v>
      </c>
      <c r="EI8" s="231">
        <v>130924.04</v>
      </c>
      <c r="EJ8" s="231">
        <v>116719.9</v>
      </c>
      <c r="EK8" s="231">
        <v>230906.87</v>
      </c>
      <c r="EL8" s="231">
        <v>13435</v>
      </c>
      <c r="EM8" s="231">
        <v>478550.81</v>
      </c>
      <c r="EN8" s="231">
        <v>520565.54</v>
      </c>
      <c r="EO8" s="231">
        <v>-42014.73</v>
      </c>
      <c r="EP8" s="229">
        <v>-8.0699999999999994E-2</v>
      </c>
      <c r="EQ8" s="231">
        <v>144648</v>
      </c>
      <c r="ER8" s="231">
        <v>126827</v>
      </c>
      <c r="ES8" s="231">
        <v>434981</v>
      </c>
      <c r="ET8" s="231">
        <v>65659712</v>
      </c>
      <c r="EU8" s="231">
        <v>706456</v>
      </c>
      <c r="EV8" s="231">
        <v>707936</v>
      </c>
      <c r="EW8" s="231">
        <v>-1480</v>
      </c>
      <c r="EX8" s="229">
        <v>-2.0999999999999999E-3</v>
      </c>
      <c r="EY8" s="229">
        <v>0.50180000000000002</v>
      </c>
    </row>
    <row r="9" spans="1:155" ht="17.25" thickBot="1" x14ac:dyDescent="0.3">
      <c r="A9" s="226">
        <v>45957</v>
      </c>
      <c r="B9" s="227" t="s">
        <v>175</v>
      </c>
      <c r="C9" s="227" t="s">
        <v>177</v>
      </c>
      <c r="D9" s="231">
        <v>1085.7</v>
      </c>
      <c r="E9" s="231">
        <v>1089.4000000000001</v>
      </c>
      <c r="F9" s="228">
        <v>-3.7</v>
      </c>
      <c r="G9" s="229">
        <v>-3.3999999999999998E-3</v>
      </c>
      <c r="H9" s="231">
        <v>1084.4000000000001</v>
      </c>
      <c r="I9" s="231">
        <v>1089.75</v>
      </c>
      <c r="J9" s="228">
        <v>-5.35</v>
      </c>
      <c r="K9" s="229">
        <v>-4.8999999999999998E-3</v>
      </c>
      <c r="L9" s="231">
        <v>1085.7</v>
      </c>
      <c r="M9" s="231">
        <v>1089.4000000000001</v>
      </c>
      <c r="N9" s="228">
        <v>-3.7</v>
      </c>
      <c r="O9" s="229">
        <v>-3.3999999999999998E-3</v>
      </c>
      <c r="P9" s="231">
        <v>1091.6500000000001</v>
      </c>
      <c r="Q9" s="231">
        <v>1095.25</v>
      </c>
      <c r="R9" s="228">
        <v>-3.6</v>
      </c>
      <c r="S9" s="229">
        <v>-3.3E-3</v>
      </c>
      <c r="T9" s="231">
        <v>1098.8499999999999</v>
      </c>
      <c r="U9" s="231">
        <v>1101.6500000000001</v>
      </c>
      <c r="V9" s="228">
        <v>-2.8</v>
      </c>
      <c r="W9" s="229">
        <v>-2.5000000000000001E-3</v>
      </c>
      <c r="X9" s="228">
        <v>1.3</v>
      </c>
      <c r="Y9" s="228">
        <v>-0.35</v>
      </c>
      <c r="Z9" s="228">
        <v>1.65</v>
      </c>
      <c r="AA9" s="229">
        <v>1.1999999999999999E-3</v>
      </c>
      <c r="AB9" s="228">
        <v>1.3</v>
      </c>
      <c r="AC9" s="228">
        <v>-0.35</v>
      </c>
      <c r="AD9" s="228">
        <v>1.65</v>
      </c>
      <c r="AE9" s="229">
        <v>1.1999999999999999E-3</v>
      </c>
      <c r="AF9" s="228">
        <v>7.25</v>
      </c>
      <c r="AG9" s="228">
        <v>5.5</v>
      </c>
      <c r="AH9" s="228">
        <v>1.75</v>
      </c>
      <c r="AI9" s="229">
        <v>6.7000000000000002E-3</v>
      </c>
      <c r="AJ9" s="228">
        <v>14.45</v>
      </c>
      <c r="AK9" s="228">
        <v>11.9</v>
      </c>
      <c r="AL9" s="228">
        <v>2.5499999999999998</v>
      </c>
      <c r="AM9" s="229">
        <v>1.3299999999999999E-2</v>
      </c>
      <c r="AN9" s="231">
        <v>1082</v>
      </c>
      <c r="AO9" s="231">
        <v>1088.01</v>
      </c>
      <c r="AP9" s="228">
        <v>0</v>
      </c>
      <c r="AQ9" s="230">
        <v>74536</v>
      </c>
      <c r="AR9" s="230">
        <v>80797</v>
      </c>
      <c r="AS9" s="230">
        <v>-6261</v>
      </c>
      <c r="AT9" s="229">
        <v>-7.7499999999999999E-2</v>
      </c>
      <c r="AU9" s="230">
        <v>36952</v>
      </c>
      <c r="AV9" s="230">
        <v>40295</v>
      </c>
      <c r="AW9" s="230">
        <v>-3343</v>
      </c>
      <c r="AX9" s="229">
        <v>-8.3000000000000004E-2</v>
      </c>
      <c r="AY9" s="230">
        <v>37335</v>
      </c>
      <c r="AZ9" s="230">
        <v>40335</v>
      </c>
      <c r="BA9" s="230">
        <v>-3000</v>
      </c>
      <c r="BB9" s="229">
        <v>-7.4399999999999994E-2</v>
      </c>
      <c r="BC9" s="228">
        <v>249</v>
      </c>
      <c r="BD9" s="228">
        <v>167</v>
      </c>
      <c r="BE9" s="228">
        <v>82</v>
      </c>
      <c r="BF9" s="229">
        <v>0.49099999999999999</v>
      </c>
      <c r="BG9" s="230">
        <v>26269</v>
      </c>
      <c r="BH9" s="230">
        <v>25444</v>
      </c>
      <c r="BI9" s="228">
        <v>825</v>
      </c>
      <c r="BJ9" s="229">
        <v>3.2399999999999998E-2</v>
      </c>
      <c r="BK9" s="230">
        <v>26842</v>
      </c>
      <c r="BL9" s="230">
        <v>29952</v>
      </c>
      <c r="BM9" s="230">
        <v>-3110</v>
      </c>
      <c r="BN9" s="229">
        <v>-0.1038</v>
      </c>
      <c r="BO9" s="230">
        <v>127647</v>
      </c>
      <c r="BP9" s="230">
        <v>136193</v>
      </c>
      <c r="BQ9" s="230">
        <v>-8546</v>
      </c>
      <c r="BR9" s="229">
        <v>-6.2700000000000006E-2</v>
      </c>
      <c r="BS9" s="230">
        <v>7746854</v>
      </c>
      <c r="BT9" s="230">
        <v>6673589</v>
      </c>
      <c r="BU9" s="230">
        <v>1073265</v>
      </c>
      <c r="BV9" s="229">
        <v>0.1608</v>
      </c>
      <c r="BW9" s="230">
        <v>93279000</v>
      </c>
      <c r="BX9" s="230">
        <v>95038500</v>
      </c>
      <c r="BY9" s="230">
        <v>-1759500</v>
      </c>
      <c r="BZ9" s="229">
        <v>-1.8499999999999999E-2</v>
      </c>
      <c r="CA9" s="230">
        <v>11457000</v>
      </c>
      <c r="CB9" s="230">
        <v>35063250</v>
      </c>
      <c r="CC9" s="230">
        <v>-23606250</v>
      </c>
      <c r="CD9" s="229">
        <v>-0.67320000000000002</v>
      </c>
      <c r="CE9" s="230">
        <v>81447750</v>
      </c>
      <c r="CF9" s="230">
        <v>59686500</v>
      </c>
      <c r="CG9" s="230">
        <v>21761250</v>
      </c>
      <c r="CH9" s="229">
        <v>0.36459999999999998</v>
      </c>
      <c r="CI9" s="230">
        <v>374250</v>
      </c>
      <c r="CJ9" s="230">
        <v>288750</v>
      </c>
      <c r="CK9" s="230">
        <v>85500</v>
      </c>
      <c r="CL9" s="229">
        <v>0.29609999999999997</v>
      </c>
      <c r="CM9" s="230">
        <v>17707500</v>
      </c>
      <c r="CN9" s="230">
        <v>19032750</v>
      </c>
      <c r="CO9" s="230">
        <v>-1325250</v>
      </c>
      <c r="CP9" s="229">
        <v>-6.9599999999999995E-2</v>
      </c>
      <c r="CQ9" s="230">
        <v>19322250</v>
      </c>
      <c r="CR9" s="230">
        <v>21750000</v>
      </c>
      <c r="CS9" s="230">
        <v>-2427750</v>
      </c>
      <c r="CT9" s="229">
        <v>-0.1116</v>
      </c>
      <c r="CU9" s="230">
        <v>130308750</v>
      </c>
      <c r="CV9" s="230">
        <v>135821250</v>
      </c>
      <c r="CW9" s="230">
        <v>-5512500</v>
      </c>
      <c r="CX9" s="229">
        <v>-4.0599999999999997E-2</v>
      </c>
      <c r="CY9" s="228">
        <v>27.63</v>
      </c>
      <c r="CZ9" s="228">
        <v>27.89</v>
      </c>
      <c r="DA9" s="228">
        <v>-0.26</v>
      </c>
      <c r="DB9" s="228">
        <v>-0.26</v>
      </c>
      <c r="DC9" s="228">
        <v>30.99</v>
      </c>
      <c r="DD9" s="228">
        <v>31.06</v>
      </c>
      <c r="DE9" s="228">
        <v>-3.36</v>
      </c>
      <c r="DF9" s="228">
        <v>-7.0000000000000007E-2</v>
      </c>
      <c r="DG9" s="228">
        <v>27.51</v>
      </c>
      <c r="DH9" s="228">
        <v>27.22</v>
      </c>
      <c r="DI9" s="228">
        <v>0.28999999999999998</v>
      </c>
      <c r="DJ9" s="228">
        <v>0.28999999999999998</v>
      </c>
      <c r="DK9" s="228">
        <v>27.78</v>
      </c>
      <c r="DL9" s="228">
        <v>28.56</v>
      </c>
      <c r="DM9" s="228">
        <v>-0.78</v>
      </c>
      <c r="DN9" s="228">
        <v>-0.78</v>
      </c>
      <c r="DO9" s="228">
        <v>1.0900000000000001</v>
      </c>
      <c r="DP9" s="228">
        <v>1.1399999999999999</v>
      </c>
      <c r="DQ9" s="228">
        <v>-0.05</v>
      </c>
      <c r="DR9" s="229">
        <v>-4.3900000000000002E-2</v>
      </c>
      <c r="DS9" s="231">
        <v>1100</v>
      </c>
      <c r="DT9" s="231">
        <v>1020</v>
      </c>
      <c r="DU9" s="228">
        <v>1.02</v>
      </c>
      <c r="DV9" s="228">
        <v>1.18</v>
      </c>
      <c r="DW9" s="228">
        <v>-0.16</v>
      </c>
      <c r="DX9" s="229">
        <v>-0.1356</v>
      </c>
      <c r="DY9" s="229">
        <v>0.87719999999999998</v>
      </c>
      <c r="DZ9" s="230">
        <v>59975250</v>
      </c>
      <c r="EA9" s="229">
        <v>5.4999999999999997E-3</v>
      </c>
      <c r="EB9" s="229">
        <v>0.87719999999999998</v>
      </c>
      <c r="EC9" s="228">
        <v>6.01</v>
      </c>
      <c r="ED9" s="229">
        <v>5.5999999999999999E-3</v>
      </c>
      <c r="EE9" s="230">
        <v>5574904</v>
      </c>
      <c r="EF9" s="230">
        <v>4504397</v>
      </c>
      <c r="EG9" s="229">
        <v>0.23769999999999999</v>
      </c>
      <c r="EH9" s="229">
        <v>0.71960000000000002</v>
      </c>
      <c r="EI9" s="231">
        <v>219583.31</v>
      </c>
      <c r="EJ9" s="231">
        <v>213963.81</v>
      </c>
      <c r="EK9" s="231">
        <v>606568.99</v>
      </c>
      <c r="EL9" s="231">
        <v>45890</v>
      </c>
      <c r="EM9" s="231">
        <v>1040116.11</v>
      </c>
      <c r="EN9" s="231">
        <v>1117469.26</v>
      </c>
      <c r="EO9" s="231">
        <v>-77353.149999999994</v>
      </c>
      <c r="EP9" s="229">
        <v>-6.9199999999999998E-2</v>
      </c>
      <c r="EQ9" s="231">
        <v>191375</v>
      </c>
      <c r="ER9" s="231">
        <v>195872</v>
      </c>
      <c r="ES9" s="231">
        <v>1017625</v>
      </c>
      <c r="ET9" s="231">
        <v>281116345</v>
      </c>
      <c r="EU9" s="231">
        <v>1404872</v>
      </c>
      <c r="EV9" s="231">
        <v>1465142</v>
      </c>
      <c r="EW9" s="231">
        <v>-60270</v>
      </c>
      <c r="EX9" s="229">
        <v>-4.1099999999999998E-2</v>
      </c>
      <c r="EY9" s="229">
        <v>0.46350000000000002</v>
      </c>
    </row>
    <row r="10" spans="1:155" ht="17.25" thickBot="1" x14ac:dyDescent="0.3">
      <c r="A10" s="226">
        <v>45957</v>
      </c>
      <c r="B10" s="227" t="s">
        <v>184</v>
      </c>
      <c r="C10" s="227" t="s">
        <v>185</v>
      </c>
      <c r="D10" s="228">
        <v>414.85</v>
      </c>
      <c r="E10" s="228">
        <v>421.55</v>
      </c>
      <c r="F10" s="228">
        <v>-6.7</v>
      </c>
      <c r="G10" s="229">
        <v>-1.5900000000000001E-2</v>
      </c>
      <c r="H10" s="228">
        <v>415.15</v>
      </c>
      <c r="I10" s="228">
        <v>422.05</v>
      </c>
      <c r="J10" s="228">
        <v>-6.9</v>
      </c>
      <c r="K10" s="229">
        <v>-1.6299999999999999E-2</v>
      </c>
      <c r="L10" s="228">
        <v>414.85</v>
      </c>
      <c r="M10" s="228">
        <v>421.55</v>
      </c>
      <c r="N10" s="228">
        <v>-6.7</v>
      </c>
      <c r="O10" s="229">
        <v>-1.5900000000000001E-2</v>
      </c>
      <c r="P10" s="228">
        <v>417.1</v>
      </c>
      <c r="Q10" s="228">
        <v>423.8</v>
      </c>
      <c r="R10" s="228">
        <v>-6.7</v>
      </c>
      <c r="S10" s="229">
        <v>-1.5800000000000002E-2</v>
      </c>
      <c r="T10" s="228">
        <v>419.95</v>
      </c>
      <c r="U10" s="228">
        <v>426.7</v>
      </c>
      <c r="V10" s="228">
        <v>-6.75</v>
      </c>
      <c r="W10" s="229">
        <v>-1.5800000000000002E-2</v>
      </c>
      <c r="X10" s="228">
        <v>-0.3</v>
      </c>
      <c r="Y10" s="228">
        <v>-0.5</v>
      </c>
      <c r="Z10" s="228">
        <v>0.2</v>
      </c>
      <c r="AA10" s="229">
        <v>-6.9999999999999999E-4</v>
      </c>
      <c r="AB10" s="228">
        <v>-0.3</v>
      </c>
      <c r="AC10" s="228">
        <v>-0.5</v>
      </c>
      <c r="AD10" s="228">
        <v>0.2</v>
      </c>
      <c r="AE10" s="229">
        <v>-6.9999999999999999E-4</v>
      </c>
      <c r="AF10" s="228">
        <v>1.95</v>
      </c>
      <c r="AG10" s="228">
        <v>1.75</v>
      </c>
      <c r="AH10" s="228">
        <v>0.2</v>
      </c>
      <c r="AI10" s="229">
        <v>4.7000000000000002E-3</v>
      </c>
      <c r="AJ10" s="228">
        <v>4.8</v>
      </c>
      <c r="AK10" s="228">
        <v>4.6500000000000004</v>
      </c>
      <c r="AL10" s="228">
        <v>0.15</v>
      </c>
      <c r="AM10" s="229">
        <v>1.1599999999999999E-2</v>
      </c>
      <c r="AN10" s="228">
        <v>416.27</v>
      </c>
      <c r="AO10" s="228">
        <v>418.61</v>
      </c>
      <c r="AP10" s="228">
        <v>0</v>
      </c>
      <c r="AQ10" s="230">
        <v>27473</v>
      </c>
      <c r="AR10" s="230">
        <v>27854</v>
      </c>
      <c r="AS10" s="228">
        <v>-381</v>
      </c>
      <c r="AT10" s="229">
        <v>-1.37E-2</v>
      </c>
      <c r="AU10" s="230">
        <v>11966</v>
      </c>
      <c r="AV10" s="230">
        <v>14024</v>
      </c>
      <c r="AW10" s="230">
        <v>-2058</v>
      </c>
      <c r="AX10" s="229">
        <v>-0.1467</v>
      </c>
      <c r="AY10" s="230">
        <v>14940</v>
      </c>
      <c r="AZ10" s="230">
        <v>13533</v>
      </c>
      <c r="BA10" s="230">
        <v>1407</v>
      </c>
      <c r="BB10" s="229">
        <v>0.104</v>
      </c>
      <c r="BC10" s="228">
        <v>567</v>
      </c>
      <c r="BD10" s="228">
        <v>297</v>
      </c>
      <c r="BE10" s="228">
        <v>270</v>
      </c>
      <c r="BF10" s="229">
        <v>0.90910000000000002</v>
      </c>
      <c r="BG10" s="230">
        <v>40928</v>
      </c>
      <c r="BH10" s="230">
        <v>45941</v>
      </c>
      <c r="BI10" s="230">
        <v>-5013</v>
      </c>
      <c r="BJ10" s="229">
        <v>-0.1091</v>
      </c>
      <c r="BK10" s="230">
        <v>19965</v>
      </c>
      <c r="BL10" s="230">
        <v>19196</v>
      </c>
      <c r="BM10" s="228">
        <v>769</v>
      </c>
      <c r="BN10" s="229">
        <v>4.0099999999999997E-2</v>
      </c>
      <c r="BO10" s="230">
        <v>88366</v>
      </c>
      <c r="BP10" s="230">
        <v>92991</v>
      </c>
      <c r="BQ10" s="230">
        <v>-4625</v>
      </c>
      <c r="BR10" s="229">
        <v>-4.9700000000000001E-2</v>
      </c>
      <c r="BS10" s="230">
        <v>12923429</v>
      </c>
      <c r="BT10" s="230">
        <v>19481525</v>
      </c>
      <c r="BU10" s="230">
        <v>-6558096</v>
      </c>
      <c r="BV10" s="229">
        <v>-0.33660000000000001</v>
      </c>
      <c r="BW10" s="230">
        <v>116160300</v>
      </c>
      <c r="BX10" s="230">
        <v>112760250</v>
      </c>
      <c r="BY10" s="230">
        <v>3400050</v>
      </c>
      <c r="BZ10" s="229">
        <v>3.0200000000000001E-2</v>
      </c>
      <c r="CA10" s="230">
        <v>19251750</v>
      </c>
      <c r="CB10" s="230">
        <v>45833700</v>
      </c>
      <c r="CC10" s="230">
        <v>-26581950</v>
      </c>
      <c r="CD10" s="229">
        <v>-0.57999999999999996</v>
      </c>
      <c r="CE10" s="230">
        <v>93782100</v>
      </c>
      <c r="CF10" s="230">
        <v>64817550</v>
      </c>
      <c r="CG10" s="230">
        <v>28964550</v>
      </c>
      <c r="CH10" s="229">
        <v>0.44690000000000002</v>
      </c>
      <c r="CI10" s="230">
        <v>3126450</v>
      </c>
      <c r="CJ10" s="230">
        <v>2109000</v>
      </c>
      <c r="CK10" s="230">
        <v>1017450</v>
      </c>
      <c r="CL10" s="229">
        <v>0.4824</v>
      </c>
      <c r="CM10" s="230">
        <v>62030250</v>
      </c>
      <c r="CN10" s="230">
        <v>64170600</v>
      </c>
      <c r="CO10" s="230">
        <v>-2140350</v>
      </c>
      <c r="CP10" s="229">
        <v>-3.3399999999999999E-2</v>
      </c>
      <c r="CQ10" s="230">
        <v>43992600</v>
      </c>
      <c r="CR10" s="230">
        <v>43066350</v>
      </c>
      <c r="CS10" s="230">
        <v>926250</v>
      </c>
      <c r="CT10" s="229">
        <v>2.1499999999999998E-2</v>
      </c>
      <c r="CU10" s="230">
        <v>222183150</v>
      </c>
      <c r="CV10" s="230">
        <v>219997200</v>
      </c>
      <c r="CW10" s="230">
        <v>2185950</v>
      </c>
      <c r="CX10" s="229">
        <v>9.9000000000000008E-3</v>
      </c>
      <c r="CY10" s="228">
        <v>29.33</v>
      </c>
      <c r="CZ10" s="228">
        <v>28.28</v>
      </c>
      <c r="DA10" s="228">
        <v>1.05</v>
      </c>
      <c r="DB10" s="228">
        <v>1.05</v>
      </c>
      <c r="DC10" s="228">
        <v>37.200000000000003</v>
      </c>
      <c r="DD10" s="228">
        <v>37.22</v>
      </c>
      <c r="DE10" s="228">
        <v>-7.87</v>
      </c>
      <c r="DF10" s="228">
        <v>-0.02</v>
      </c>
      <c r="DG10" s="228">
        <v>29.83</v>
      </c>
      <c r="DH10" s="228">
        <v>28.42</v>
      </c>
      <c r="DI10" s="228">
        <v>1.41</v>
      </c>
      <c r="DJ10" s="228">
        <v>1.41</v>
      </c>
      <c r="DK10" s="228">
        <v>28.56</v>
      </c>
      <c r="DL10" s="228">
        <v>28.01</v>
      </c>
      <c r="DM10" s="228">
        <v>0.55000000000000004</v>
      </c>
      <c r="DN10" s="228">
        <v>0.55000000000000004</v>
      </c>
      <c r="DO10" s="228">
        <v>0.71</v>
      </c>
      <c r="DP10" s="228">
        <v>0.67</v>
      </c>
      <c r="DQ10" s="228">
        <v>0.04</v>
      </c>
      <c r="DR10" s="229">
        <v>5.9700000000000003E-2</v>
      </c>
      <c r="DS10" s="228">
        <v>420</v>
      </c>
      <c r="DT10" s="228">
        <v>400</v>
      </c>
      <c r="DU10" s="228">
        <v>0.49</v>
      </c>
      <c r="DV10" s="228">
        <v>0.42</v>
      </c>
      <c r="DW10" s="228">
        <v>7.0000000000000007E-2</v>
      </c>
      <c r="DX10" s="229">
        <v>0.16669999999999999</v>
      </c>
      <c r="DY10" s="229">
        <v>0.83430000000000004</v>
      </c>
      <c r="DZ10" s="230">
        <v>66926550</v>
      </c>
      <c r="EA10" s="229">
        <v>5.4000000000000003E-3</v>
      </c>
      <c r="EB10" s="229">
        <v>0.83430000000000004</v>
      </c>
      <c r="EC10" s="228">
        <v>2.34</v>
      </c>
      <c r="ED10" s="229">
        <v>5.5999999999999999E-3</v>
      </c>
      <c r="EE10" s="230">
        <v>7034566</v>
      </c>
      <c r="EF10" s="230">
        <v>11714521</v>
      </c>
      <c r="EG10" s="229">
        <v>-0.39950000000000002</v>
      </c>
      <c r="EH10" s="229">
        <v>0.54430000000000001</v>
      </c>
      <c r="EI10" s="231">
        <v>501523.17</v>
      </c>
      <c r="EJ10" s="231">
        <v>236605.66</v>
      </c>
      <c r="EK10" s="231">
        <v>327018.48</v>
      </c>
      <c r="EL10" s="231">
        <v>15111</v>
      </c>
      <c r="EM10" s="231">
        <v>1065147.31</v>
      </c>
      <c r="EN10" s="231">
        <v>1130522.32</v>
      </c>
      <c r="EO10" s="231">
        <v>-65375.01</v>
      </c>
      <c r="EP10" s="229">
        <v>-5.7799999999999997E-2</v>
      </c>
      <c r="EQ10" s="231">
        <v>266164</v>
      </c>
      <c r="ER10" s="231">
        <v>176268</v>
      </c>
      <c r="ES10" s="231">
        <v>484161</v>
      </c>
      <c r="ET10" s="231">
        <v>535778534</v>
      </c>
      <c r="EU10" s="231">
        <v>926592</v>
      </c>
      <c r="EV10" s="231">
        <v>925313</v>
      </c>
      <c r="EW10" s="231">
        <v>1279</v>
      </c>
      <c r="EX10" s="229">
        <v>1.4E-3</v>
      </c>
      <c r="EY10" s="229">
        <v>0.41470000000000001</v>
      </c>
    </row>
    <row r="11" spans="1:155" ht="17.25" thickBot="1" x14ac:dyDescent="0.3">
      <c r="A11" s="226">
        <v>45957</v>
      </c>
      <c r="B11" s="227" t="s">
        <v>188</v>
      </c>
      <c r="C11" s="227" t="s">
        <v>189</v>
      </c>
      <c r="D11" s="231">
        <v>2076.6</v>
      </c>
      <c r="E11" s="231">
        <v>2026.6</v>
      </c>
      <c r="F11" s="228">
        <v>50</v>
      </c>
      <c r="G11" s="229">
        <v>2.47E-2</v>
      </c>
      <c r="H11" s="231">
        <v>2080.1</v>
      </c>
      <c r="I11" s="231">
        <v>2029.3</v>
      </c>
      <c r="J11" s="228">
        <v>50.8</v>
      </c>
      <c r="K11" s="229">
        <v>2.5000000000000001E-2</v>
      </c>
      <c r="L11" s="231">
        <v>2076.6</v>
      </c>
      <c r="M11" s="231">
        <v>2026.6</v>
      </c>
      <c r="N11" s="228">
        <v>50</v>
      </c>
      <c r="O11" s="229">
        <v>2.47E-2</v>
      </c>
      <c r="P11" s="231">
        <v>2088.6</v>
      </c>
      <c r="Q11" s="231">
        <v>2038.5</v>
      </c>
      <c r="R11" s="228">
        <v>50.1</v>
      </c>
      <c r="S11" s="229">
        <v>2.46E-2</v>
      </c>
      <c r="T11" s="231">
        <v>2102.8000000000002</v>
      </c>
      <c r="U11" s="231">
        <v>2051.1999999999998</v>
      </c>
      <c r="V11" s="228">
        <v>51.6</v>
      </c>
      <c r="W11" s="229">
        <v>2.52E-2</v>
      </c>
      <c r="X11" s="228">
        <v>-3.5</v>
      </c>
      <c r="Y11" s="228">
        <v>-2.7</v>
      </c>
      <c r="Z11" s="228">
        <v>-0.8</v>
      </c>
      <c r="AA11" s="229">
        <v>-1.6999999999999999E-3</v>
      </c>
      <c r="AB11" s="228">
        <v>-3.5</v>
      </c>
      <c r="AC11" s="228">
        <v>-2.7</v>
      </c>
      <c r="AD11" s="228">
        <v>-0.8</v>
      </c>
      <c r="AE11" s="229">
        <v>-1.6999999999999999E-3</v>
      </c>
      <c r="AF11" s="228">
        <v>8.5</v>
      </c>
      <c r="AG11" s="228">
        <v>9.1999999999999993</v>
      </c>
      <c r="AH11" s="228">
        <v>-0.7</v>
      </c>
      <c r="AI11" s="229">
        <v>4.1000000000000003E-3</v>
      </c>
      <c r="AJ11" s="228">
        <v>22.7</v>
      </c>
      <c r="AK11" s="228">
        <v>21.9</v>
      </c>
      <c r="AL11" s="228">
        <v>0.8</v>
      </c>
      <c r="AM11" s="229">
        <v>1.09E-2</v>
      </c>
      <c r="AN11" s="231">
        <v>2075.02</v>
      </c>
      <c r="AO11" s="231">
        <v>2087.02</v>
      </c>
      <c r="AP11" s="228">
        <v>0</v>
      </c>
      <c r="AQ11" s="230">
        <v>64433</v>
      </c>
      <c r="AR11" s="230">
        <v>57334</v>
      </c>
      <c r="AS11" s="230">
        <v>7099</v>
      </c>
      <c r="AT11" s="229">
        <v>0.12379999999999999</v>
      </c>
      <c r="AU11" s="230">
        <v>30034</v>
      </c>
      <c r="AV11" s="230">
        <v>30030</v>
      </c>
      <c r="AW11" s="228">
        <v>4</v>
      </c>
      <c r="AX11" s="229">
        <v>1E-4</v>
      </c>
      <c r="AY11" s="230">
        <v>34036</v>
      </c>
      <c r="AZ11" s="230">
        <v>27233</v>
      </c>
      <c r="BA11" s="230">
        <v>6803</v>
      </c>
      <c r="BB11" s="229">
        <v>0.24979999999999999</v>
      </c>
      <c r="BC11" s="228">
        <v>363</v>
      </c>
      <c r="BD11" s="228">
        <v>71</v>
      </c>
      <c r="BE11" s="228">
        <v>292</v>
      </c>
      <c r="BF11" s="229">
        <v>4.1127000000000002</v>
      </c>
      <c r="BG11" s="230">
        <v>214593</v>
      </c>
      <c r="BH11" s="230">
        <v>73453</v>
      </c>
      <c r="BI11" s="230">
        <v>141140</v>
      </c>
      <c r="BJ11" s="229">
        <v>1.9215</v>
      </c>
      <c r="BK11" s="230">
        <v>79000</v>
      </c>
      <c r="BL11" s="230">
        <v>36651</v>
      </c>
      <c r="BM11" s="230">
        <v>42349</v>
      </c>
      <c r="BN11" s="229">
        <v>1.1555</v>
      </c>
      <c r="BO11" s="230">
        <v>358026</v>
      </c>
      <c r="BP11" s="230">
        <v>167438</v>
      </c>
      <c r="BQ11" s="230">
        <v>190588</v>
      </c>
      <c r="BR11" s="229">
        <v>1.1383000000000001</v>
      </c>
      <c r="BS11" s="230">
        <v>7215134</v>
      </c>
      <c r="BT11" s="230">
        <v>3292972</v>
      </c>
      <c r="BU11" s="230">
        <v>3922162</v>
      </c>
      <c r="BV11" s="229">
        <v>1.1911</v>
      </c>
      <c r="BW11" s="230">
        <v>51093375</v>
      </c>
      <c r="BX11" s="230">
        <v>51050625</v>
      </c>
      <c r="BY11" s="230">
        <v>42750</v>
      </c>
      <c r="BZ11" s="229">
        <v>8.0000000000000004E-4</v>
      </c>
      <c r="CA11" s="230">
        <v>12448325</v>
      </c>
      <c r="CB11" s="230">
        <v>22397675</v>
      </c>
      <c r="CC11" s="230">
        <v>-9949350</v>
      </c>
      <c r="CD11" s="229">
        <v>-0.44419999999999998</v>
      </c>
      <c r="CE11" s="230">
        <v>35810250</v>
      </c>
      <c r="CF11" s="230">
        <v>25851400</v>
      </c>
      <c r="CG11" s="230">
        <v>9958850</v>
      </c>
      <c r="CH11" s="229">
        <v>0.38519999999999999</v>
      </c>
      <c r="CI11" s="230">
        <v>2834800</v>
      </c>
      <c r="CJ11" s="230">
        <v>2801550</v>
      </c>
      <c r="CK11" s="230">
        <v>33250</v>
      </c>
      <c r="CL11" s="229">
        <v>1.1900000000000001E-2</v>
      </c>
      <c r="CM11" s="230">
        <v>15760975</v>
      </c>
      <c r="CN11" s="230">
        <v>15857400</v>
      </c>
      <c r="CO11" s="230">
        <v>-96425</v>
      </c>
      <c r="CP11" s="229">
        <v>-6.1000000000000004E-3</v>
      </c>
      <c r="CQ11" s="230">
        <v>11702100</v>
      </c>
      <c r="CR11" s="230">
        <v>10674675</v>
      </c>
      <c r="CS11" s="230">
        <v>1027425</v>
      </c>
      <c r="CT11" s="229">
        <v>9.6199999999999994E-2</v>
      </c>
      <c r="CU11" s="230">
        <v>78556450</v>
      </c>
      <c r="CV11" s="230">
        <v>77582700</v>
      </c>
      <c r="CW11" s="230">
        <v>973750</v>
      </c>
      <c r="CX11" s="229">
        <v>1.26E-2</v>
      </c>
      <c r="CY11" s="228">
        <v>22.43</v>
      </c>
      <c r="CZ11" s="228">
        <v>21.14</v>
      </c>
      <c r="DA11" s="228">
        <v>1.29</v>
      </c>
      <c r="DB11" s="228">
        <v>1.29</v>
      </c>
      <c r="DC11" s="228">
        <v>24.93</v>
      </c>
      <c r="DD11" s="228">
        <v>24.77</v>
      </c>
      <c r="DE11" s="228">
        <v>-2.5</v>
      </c>
      <c r="DF11" s="228">
        <v>0.16</v>
      </c>
      <c r="DG11" s="228">
        <v>22.3</v>
      </c>
      <c r="DH11" s="228">
        <v>21.2</v>
      </c>
      <c r="DI11" s="228">
        <v>1.1000000000000001</v>
      </c>
      <c r="DJ11" s="228">
        <v>1.1000000000000001</v>
      </c>
      <c r="DK11" s="228">
        <v>22.69</v>
      </c>
      <c r="DL11" s="228">
        <v>21.03</v>
      </c>
      <c r="DM11" s="228">
        <v>1.66</v>
      </c>
      <c r="DN11" s="228">
        <v>1.66</v>
      </c>
      <c r="DO11" s="228">
        <v>0.74</v>
      </c>
      <c r="DP11" s="228">
        <v>0.67</v>
      </c>
      <c r="DQ11" s="228">
        <v>7.0000000000000007E-2</v>
      </c>
      <c r="DR11" s="229">
        <v>0.1045</v>
      </c>
      <c r="DS11" s="231">
        <v>1960</v>
      </c>
      <c r="DT11" s="231">
        <v>1960</v>
      </c>
      <c r="DU11" s="228">
        <v>0.37</v>
      </c>
      <c r="DV11" s="228">
        <v>0.5</v>
      </c>
      <c r="DW11" s="228">
        <v>-0.13</v>
      </c>
      <c r="DX11" s="229">
        <v>-0.26</v>
      </c>
      <c r="DY11" s="229">
        <v>0.75639999999999996</v>
      </c>
      <c r="DZ11" s="230">
        <v>28652950</v>
      </c>
      <c r="EA11" s="229">
        <v>5.7999999999999996E-3</v>
      </c>
      <c r="EB11" s="229">
        <v>0.75639999999999996</v>
      </c>
      <c r="EC11" s="228">
        <v>12</v>
      </c>
      <c r="ED11" s="229">
        <v>5.7999999999999996E-3</v>
      </c>
      <c r="EE11" s="230">
        <v>4528761</v>
      </c>
      <c r="EF11" s="230">
        <v>1837718</v>
      </c>
      <c r="EG11" s="229">
        <v>1.4642999999999999</v>
      </c>
      <c r="EH11" s="229">
        <v>0.62770000000000004</v>
      </c>
      <c r="EI11" s="231">
        <v>2156621.71</v>
      </c>
      <c r="EJ11" s="231">
        <v>767865.64</v>
      </c>
      <c r="EK11" s="231">
        <v>637056.89</v>
      </c>
      <c r="EL11" s="231">
        <v>33926</v>
      </c>
      <c r="EM11" s="231">
        <v>3561544.24</v>
      </c>
      <c r="EN11" s="231">
        <v>1622343.34</v>
      </c>
      <c r="EO11" s="231">
        <v>1939200.9</v>
      </c>
      <c r="EP11" s="229">
        <v>1.1953</v>
      </c>
      <c r="EQ11" s="231">
        <v>319835</v>
      </c>
      <c r="ER11" s="231">
        <v>229372</v>
      </c>
      <c r="ES11" s="231">
        <v>1066045</v>
      </c>
      <c r="ET11" s="231">
        <v>314058656</v>
      </c>
      <c r="EU11" s="231">
        <v>1615252</v>
      </c>
      <c r="EV11" s="231">
        <v>1565138</v>
      </c>
      <c r="EW11" s="231">
        <v>50114</v>
      </c>
      <c r="EX11" s="229">
        <v>3.2000000000000001E-2</v>
      </c>
      <c r="EY11" s="229">
        <v>0.25009999999999999</v>
      </c>
    </row>
    <row r="12" spans="1:155" ht="17.25" thickBot="1" x14ac:dyDescent="0.3">
      <c r="A12" s="226">
        <v>45957</v>
      </c>
      <c r="B12" s="227" t="s">
        <v>170</v>
      </c>
      <c r="C12" s="227" t="s">
        <v>199</v>
      </c>
      <c r="D12" s="231">
        <v>1582.8</v>
      </c>
      <c r="E12" s="231">
        <v>1583.1</v>
      </c>
      <c r="F12" s="228">
        <v>-0.3</v>
      </c>
      <c r="G12" s="229">
        <v>-2.0000000000000001E-4</v>
      </c>
      <c r="H12" s="231">
        <v>1584</v>
      </c>
      <c r="I12" s="231">
        <v>1584.4</v>
      </c>
      <c r="J12" s="228">
        <v>-0.4</v>
      </c>
      <c r="K12" s="229">
        <v>-2.9999999999999997E-4</v>
      </c>
      <c r="L12" s="231">
        <v>1582.8</v>
      </c>
      <c r="M12" s="231">
        <v>1583.1</v>
      </c>
      <c r="N12" s="228">
        <v>-0.3</v>
      </c>
      <c r="O12" s="229">
        <v>-2.0000000000000001E-4</v>
      </c>
      <c r="P12" s="231">
        <v>1591</v>
      </c>
      <c r="Q12" s="231">
        <v>1592.2</v>
      </c>
      <c r="R12" s="228">
        <v>-1.2</v>
      </c>
      <c r="S12" s="229">
        <v>-8.0000000000000004E-4</v>
      </c>
      <c r="T12" s="231">
        <v>1601.5</v>
      </c>
      <c r="U12" s="231">
        <v>1602.5</v>
      </c>
      <c r="V12" s="228">
        <v>-1</v>
      </c>
      <c r="W12" s="229">
        <v>-5.9999999999999995E-4</v>
      </c>
      <c r="X12" s="228">
        <v>-1.2</v>
      </c>
      <c r="Y12" s="228">
        <v>-1.3</v>
      </c>
      <c r="Z12" s="228">
        <v>0.1</v>
      </c>
      <c r="AA12" s="229">
        <v>-8.0000000000000004E-4</v>
      </c>
      <c r="AB12" s="228">
        <v>-1.2</v>
      </c>
      <c r="AC12" s="228">
        <v>-1.3</v>
      </c>
      <c r="AD12" s="228">
        <v>0.1</v>
      </c>
      <c r="AE12" s="229">
        <v>-8.0000000000000004E-4</v>
      </c>
      <c r="AF12" s="228">
        <v>7</v>
      </c>
      <c r="AG12" s="228">
        <v>7.8</v>
      </c>
      <c r="AH12" s="228">
        <v>-0.8</v>
      </c>
      <c r="AI12" s="229">
        <v>4.4000000000000003E-3</v>
      </c>
      <c r="AJ12" s="228">
        <v>17.5</v>
      </c>
      <c r="AK12" s="228">
        <v>18.100000000000001</v>
      </c>
      <c r="AL12" s="228">
        <v>-0.6</v>
      </c>
      <c r="AM12" s="229">
        <v>1.0999999999999999E-2</v>
      </c>
      <c r="AN12" s="231">
        <v>1580.91</v>
      </c>
      <c r="AO12" s="231">
        <v>1589.53</v>
      </c>
      <c r="AP12" s="228">
        <v>0</v>
      </c>
      <c r="AQ12" s="230">
        <v>27553</v>
      </c>
      <c r="AR12" s="230">
        <v>39441</v>
      </c>
      <c r="AS12" s="230">
        <v>-11888</v>
      </c>
      <c r="AT12" s="229">
        <v>-0.3014</v>
      </c>
      <c r="AU12" s="230">
        <v>13353</v>
      </c>
      <c r="AV12" s="230">
        <v>19608</v>
      </c>
      <c r="AW12" s="230">
        <v>-6255</v>
      </c>
      <c r="AX12" s="229">
        <v>-0.31900000000000001</v>
      </c>
      <c r="AY12" s="230">
        <v>14064</v>
      </c>
      <c r="AZ12" s="230">
        <v>19523</v>
      </c>
      <c r="BA12" s="230">
        <v>-5459</v>
      </c>
      <c r="BB12" s="229">
        <v>-0.27960000000000002</v>
      </c>
      <c r="BC12" s="228">
        <v>136</v>
      </c>
      <c r="BD12" s="228">
        <v>310</v>
      </c>
      <c r="BE12" s="228">
        <v>-174</v>
      </c>
      <c r="BF12" s="229">
        <v>-0.56130000000000002</v>
      </c>
      <c r="BG12" s="230">
        <v>64178</v>
      </c>
      <c r="BH12" s="230">
        <v>123131</v>
      </c>
      <c r="BI12" s="230">
        <v>-58953</v>
      </c>
      <c r="BJ12" s="229">
        <v>-0.4788</v>
      </c>
      <c r="BK12" s="230">
        <v>32404</v>
      </c>
      <c r="BL12" s="230">
        <v>70280</v>
      </c>
      <c r="BM12" s="230">
        <v>-37876</v>
      </c>
      <c r="BN12" s="229">
        <v>-0.53890000000000005</v>
      </c>
      <c r="BO12" s="230">
        <v>124135</v>
      </c>
      <c r="BP12" s="230">
        <v>232852</v>
      </c>
      <c r="BQ12" s="230">
        <v>-108717</v>
      </c>
      <c r="BR12" s="229">
        <v>-0.46689999999999998</v>
      </c>
      <c r="BS12" s="230">
        <v>1234222</v>
      </c>
      <c r="BT12" s="230">
        <v>3098782</v>
      </c>
      <c r="BU12" s="230">
        <v>-1864560</v>
      </c>
      <c r="BV12" s="229">
        <v>-0.60170000000000001</v>
      </c>
      <c r="BW12" s="230">
        <v>16620375</v>
      </c>
      <c r="BX12" s="230">
        <v>16950375</v>
      </c>
      <c r="BY12" s="230">
        <v>-330000</v>
      </c>
      <c r="BZ12" s="229">
        <v>-1.95E-2</v>
      </c>
      <c r="CA12" s="230">
        <v>2198625</v>
      </c>
      <c r="CB12" s="230">
        <v>6409500</v>
      </c>
      <c r="CC12" s="230">
        <v>-4210875</v>
      </c>
      <c r="CD12" s="229">
        <v>-0.65700000000000003</v>
      </c>
      <c r="CE12" s="230">
        <v>14305500</v>
      </c>
      <c r="CF12" s="230">
        <v>10435500</v>
      </c>
      <c r="CG12" s="230">
        <v>3870000</v>
      </c>
      <c r="CH12" s="229">
        <v>0.37080000000000002</v>
      </c>
      <c r="CI12" s="230">
        <v>116250</v>
      </c>
      <c r="CJ12" s="230">
        <v>105375</v>
      </c>
      <c r="CK12" s="230">
        <v>10875</v>
      </c>
      <c r="CL12" s="229">
        <v>0.1032</v>
      </c>
      <c r="CM12" s="230">
        <v>10969500</v>
      </c>
      <c r="CN12" s="230">
        <v>11562375</v>
      </c>
      <c r="CO12" s="230">
        <v>-592875</v>
      </c>
      <c r="CP12" s="229">
        <v>-5.1299999999999998E-2</v>
      </c>
      <c r="CQ12" s="230">
        <v>5338500</v>
      </c>
      <c r="CR12" s="230">
        <v>5421375</v>
      </c>
      <c r="CS12" s="230">
        <v>-82875</v>
      </c>
      <c r="CT12" s="229">
        <v>-1.5299999999999999E-2</v>
      </c>
      <c r="CU12" s="230">
        <v>32928375</v>
      </c>
      <c r="CV12" s="230">
        <v>33934125</v>
      </c>
      <c r="CW12" s="230">
        <v>-1005750</v>
      </c>
      <c r="CX12" s="229">
        <v>-2.9600000000000001E-2</v>
      </c>
      <c r="CY12" s="228">
        <v>25.79</v>
      </c>
      <c r="CZ12" s="228">
        <v>27.75</v>
      </c>
      <c r="DA12" s="228">
        <v>-1.96</v>
      </c>
      <c r="DB12" s="228">
        <v>-1.96</v>
      </c>
      <c r="DC12" s="228">
        <v>27.01</v>
      </c>
      <c r="DD12" s="228">
        <v>27.08</v>
      </c>
      <c r="DE12" s="228">
        <v>-1.22</v>
      </c>
      <c r="DF12" s="228">
        <v>-7.0000000000000007E-2</v>
      </c>
      <c r="DG12" s="228">
        <v>25.84</v>
      </c>
      <c r="DH12" s="228">
        <v>28.06</v>
      </c>
      <c r="DI12" s="228">
        <v>-2.2200000000000002</v>
      </c>
      <c r="DJ12" s="228">
        <v>-2.2200000000000002</v>
      </c>
      <c r="DK12" s="228">
        <v>25.69</v>
      </c>
      <c r="DL12" s="228">
        <v>27.27</v>
      </c>
      <c r="DM12" s="228">
        <v>-1.58</v>
      </c>
      <c r="DN12" s="228">
        <v>-1.58</v>
      </c>
      <c r="DO12" s="228">
        <v>0.49</v>
      </c>
      <c r="DP12" s="228">
        <v>0.47</v>
      </c>
      <c r="DQ12" s="228">
        <v>0.02</v>
      </c>
      <c r="DR12" s="229">
        <v>4.2599999999999999E-2</v>
      </c>
      <c r="DS12" s="231">
        <v>1600</v>
      </c>
      <c r="DT12" s="231">
        <v>1580</v>
      </c>
      <c r="DU12" s="228">
        <v>0.5</v>
      </c>
      <c r="DV12" s="228">
        <v>0.56999999999999995</v>
      </c>
      <c r="DW12" s="228">
        <v>-7.0000000000000007E-2</v>
      </c>
      <c r="DX12" s="229">
        <v>-0.12280000000000001</v>
      </c>
      <c r="DY12" s="229">
        <v>0.86770000000000003</v>
      </c>
      <c r="DZ12" s="230">
        <v>10540875</v>
      </c>
      <c r="EA12" s="229">
        <v>5.1999999999999998E-3</v>
      </c>
      <c r="EB12" s="229">
        <v>0.86770000000000003</v>
      </c>
      <c r="EC12" s="228">
        <v>8.6199999999999992</v>
      </c>
      <c r="ED12" s="229">
        <v>5.4999999999999997E-3</v>
      </c>
      <c r="EE12" s="230">
        <v>651295</v>
      </c>
      <c r="EF12" s="230">
        <v>1079748</v>
      </c>
      <c r="EG12" s="229">
        <v>-0.39679999999999999</v>
      </c>
      <c r="EH12" s="229">
        <v>0.52769999999999995</v>
      </c>
      <c r="EI12" s="231">
        <v>390740.42</v>
      </c>
      <c r="EJ12" s="231">
        <v>190952.05</v>
      </c>
      <c r="EK12" s="231">
        <v>163809.64000000001</v>
      </c>
      <c r="EL12" s="231">
        <v>22769</v>
      </c>
      <c r="EM12" s="231">
        <v>745502.11</v>
      </c>
      <c r="EN12" s="231">
        <v>1420276.63</v>
      </c>
      <c r="EO12" s="231">
        <v>-674774.52</v>
      </c>
      <c r="EP12" s="229">
        <v>-0.47510000000000002</v>
      </c>
      <c r="EQ12" s="231">
        <v>181539</v>
      </c>
      <c r="ER12" s="231">
        <v>82381</v>
      </c>
      <c r="ES12" s="231">
        <v>264262</v>
      </c>
      <c r="ET12" s="231">
        <v>57073940</v>
      </c>
      <c r="EU12" s="231">
        <v>528183</v>
      </c>
      <c r="EV12" s="231">
        <v>544685</v>
      </c>
      <c r="EW12" s="231">
        <v>-16502</v>
      </c>
      <c r="EX12" s="229">
        <v>-3.0300000000000001E-2</v>
      </c>
      <c r="EY12" s="229">
        <v>0.57689999999999997</v>
      </c>
    </row>
    <row r="13" spans="1:155" ht="17.25" thickBot="1" x14ac:dyDescent="0.3">
      <c r="A13" s="226">
        <v>45957</v>
      </c>
      <c r="B13" s="227" t="s">
        <v>227</v>
      </c>
      <c r="C13" s="227" t="s">
        <v>200</v>
      </c>
      <c r="D13" s="228">
        <v>396.55</v>
      </c>
      <c r="E13" s="228">
        <v>393.95</v>
      </c>
      <c r="F13" s="228">
        <v>2.6</v>
      </c>
      <c r="G13" s="229">
        <v>6.6E-3</v>
      </c>
      <c r="H13" s="228">
        <v>396.7</v>
      </c>
      <c r="I13" s="228">
        <v>394.05</v>
      </c>
      <c r="J13" s="228">
        <v>2.65</v>
      </c>
      <c r="K13" s="229">
        <v>6.7000000000000002E-3</v>
      </c>
      <c r="L13" s="228">
        <v>396.55</v>
      </c>
      <c r="M13" s="228">
        <v>393.95</v>
      </c>
      <c r="N13" s="228">
        <v>2.6</v>
      </c>
      <c r="O13" s="229">
        <v>6.6E-3</v>
      </c>
      <c r="P13" s="228">
        <v>394.05</v>
      </c>
      <c r="Q13" s="228">
        <v>391.35</v>
      </c>
      <c r="R13" s="228">
        <v>2.7</v>
      </c>
      <c r="S13" s="229">
        <v>6.8999999999999999E-3</v>
      </c>
      <c r="T13" s="228">
        <v>396.6</v>
      </c>
      <c r="U13" s="228">
        <v>393.95</v>
      </c>
      <c r="V13" s="228">
        <v>2.65</v>
      </c>
      <c r="W13" s="229">
        <v>6.7000000000000002E-3</v>
      </c>
      <c r="X13" s="228">
        <v>-0.15</v>
      </c>
      <c r="Y13" s="228">
        <v>-0.1</v>
      </c>
      <c r="Z13" s="228">
        <v>-0.05</v>
      </c>
      <c r="AA13" s="229">
        <v>-4.0000000000000002E-4</v>
      </c>
      <c r="AB13" s="228">
        <v>-0.15</v>
      </c>
      <c r="AC13" s="228">
        <v>-0.1</v>
      </c>
      <c r="AD13" s="228">
        <v>-0.05</v>
      </c>
      <c r="AE13" s="229">
        <v>-4.0000000000000002E-4</v>
      </c>
      <c r="AF13" s="228">
        <v>-2.65</v>
      </c>
      <c r="AG13" s="228">
        <v>-2.7</v>
      </c>
      <c r="AH13" s="228">
        <v>0.05</v>
      </c>
      <c r="AI13" s="229">
        <v>-6.7000000000000002E-3</v>
      </c>
      <c r="AJ13" s="228">
        <v>-0.1</v>
      </c>
      <c r="AK13" s="228">
        <v>-0.1</v>
      </c>
      <c r="AL13" s="228">
        <v>0</v>
      </c>
      <c r="AM13" s="229">
        <v>-2.9999999999999997E-4</v>
      </c>
      <c r="AN13" s="228">
        <v>396.9</v>
      </c>
      <c r="AO13" s="228">
        <v>394.34</v>
      </c>
      <c r="AP13" s="228">
        <v>0</v>
      </c>
      <c r="AQ13" s="230">
        <v>34318</v>
      </c>
      <c r="AR13" s="230">
        <v>19780</v>
      </c>
      <c r="AS13" s="230">
        <v>14538</v>
      </c>
      <c r="AT13" s="229">
        <v>0.73499999999999999</v>
      </c>
      <c r="AU13" s="230">
        <v>17000</v>
      </c>
      <c r="AV13" s="230">
        <v>9910</v>
      </c>
      <c r="AW13" s="230">
        <v>7090</v>
      </c>
      <c r="AX13" s="229">
        <v>0.71540000000000004</v>
      </c>
      <c r="AY13" s="230">
        <v>17094</v>
      </c>
      <c r="AZ13" s="230">
        <v>9712</v>
      </c>
      <c r="BA13" s="230">
        <v>7382</v>
      </c>
      <c r="BB13" s="229">
        <v>0.7601</v>
      </c>
      <c r="BC13" s="228">
        <v>224</v>
      </c>
      <c r="BD13" s="228">
        <v>158</v>
      </c>
      <c r="BE13" s="228">
        <v>66</v>
      </c>
      <c r="BF13" s="229">
        <v>0.41770000000000002</v>
      </c>
      <c r="BG13" s="230">
        <v>26379</v>
      </c>
      <c r="BH13" s="230">
        <v>23458</v>
      </c>
      <c r="BI13" s="230">
        <v>2921</v>
      </c>
      <c r="BJ13" s="229">
        <v>0.1245</v>
      </c>
      <c r="BK13" s="230">
        <v>14572</v>
      </c>
      <c r="BL13" s="230">
        <v>14963</v>
      </c>
      <c r="BM13" s="228">
        <v>-391</v>
      </c>
      <c r="BN13" s="229">
        <v>-2.6100000000000002E-2</v>
      </c>
      <c r="BO13" s="230">
        <v>75269</v>
      </c>
      <c r="BP13" s="230">
        <v>58201</v>
      </c>
      <c r="BQ13" s="230">
        <v>17068</v>
      </c>
      <c r="BR13" s="229">
        <v>0.29330000000000001</v>
      </c>
      <c r="BS13" s="230">
        <v>5785602</v>
      </c>
      <c r="BT13" s="230">
        <v>4187394</v>
      </c>
      <c r="BU13" s="230">
        <v>1598208</v>
      </c>
      <c r="BV13" s="229">
        <v>0.38169999999999998</v>
      </c>
      <c r="BW13" s="230">
        <v>68561100</v>
      </c>
      <c r="BX13" s="230">
        <v>69940800</v>
      </c>
      <c r="BY13" s="230">
        <v>-1379700</v>
      </c>
      <c r="BZ13" s="229">
        <v>-1.9699999999999999E-2</v>
      </c>
      <c r="CA13" s="230">
        <v>30318300</v>
      </c>
      <c r="CB13" s="230">
        <v>47677950</v>
      </c>
      <c r="CC13" s="230">
        <v>-17359650</v>
      </c>
      <c r="CD13" s="229">
        <v>-0.36409999999999998</v>
      </c>
      <c r="CE13" s="230">
        <v>37299150</v>
      </c>
      <c r="CF13" s="230">
        <v>21450150</v>
      </c>
      <c r="CG13" s="230">
        <v>15849000</v>
      </c>
      <c r="CH13" s="229">
        <v>0.7389</v>
      </c>
      <c r="CI13" s="230">
        <v>943650</v>
      </c>
      <c r="CJ13" s="230">
        <v>812700</v>
      </c>
      <c r="CK13" s="230">
        <v>130950</v>
      </c>
      <c r="CL13" s="229">
        <v>0.16109999999999999</v>
      </c>
      <c r="CM13" s="230">
        <v>26106300</v>
      </c>
      <c r="CN13" s="230">
        <v>27098550</v>
      </c>
      <c r="CO13" s="230">
        <v>-992250</v>
      </c>
      <c r="CP13" s="229">
        <v>-3.6600000000000001E-2</v>
      </c>
      <c r="CQ13" s="230">
        <v>21787650</v>
      </c>
      <c r="CR13" s="230">
        <v>19961100</v>
      </c>
      <c r="CS13" s="230">
        <v>1826550</v>
      </c>
      <c r="CT13" s="229">
        <v>9.1499999999999998E-2</v>
      </c>
      <c r="CU13" s="230">
        <v>116455050</v>
      </c>
      <c r="CV13" s="230">
        <v>117000450</v>
      </c>
      <c r="CW13" s="230">
        <v>-545400</v>
      </c>
      <c r="CX13" s="229">
        <v>-4.7000000000000002E-3</v>
      </c>
      <c r="CY13" s="228">
        <v>20.149999999999999</v>
      </c>
      <c r="CZ13" s="228">
        <v>19</v>
      </c>
      <c r="DA13" s="228">
        <v>1.1499999999999999</v>
      </c>
      <c r="DB13" s="228">
        <v>1.1499999999999999</v>
      </c>
      <c r="DC13" s="228">
        <v>28.42</v>
      </c>
      <c r="DD13" s="228">
        <v>28.48</v>
      </c>
      <c r="DE13" s="228">
        <v>-8.27</v>
      </c>
      <c r="DF13" s="228">
        <v>-0.06</v>
      </c>
      <c r="DG13" s="228">
        <v>20.37</v>
      </c>
      <c r="DH13" s="228">
        <v>19.32</v>
      </c>
      <c r="DI13" s="228">
        <v>1.05</v>
      </c>
      <c r="DJ13" s="228">
        <v>1.05</v>
      </c>
      <c r="DK13" s="228">
        <v>19.760000000000002</v>
      </c>
      <c r="DL13" s="228">
        <v>18.61</v>
      </c>
      <c r="DM13" s="228">
        <v>1.1499999999999999</v>
      </c>
      <c r="DN13" s="228">
        <v>1.1499999999999999</v>
      </c>
      <c r="DO13" s="228">
        <v>0.83</v>
      </c>
      <c r="DP13" s="228">
        <v>0.74</v>
      </c>
      <c r="DQ13" s="228">
        <v>0.09</v>
      </c>
      <c r="DR13" s="229">
        <v>0.1216</v>
      </c>
      <c r="DS13" s="228">
        <v>400</v>
      </c>
      <c r="DT13" s="228">
        <v>450</v>
      </c>
      <c r="DU13" s="228">
        <v>0.55000000000000004</v>
      </c>
      <c r="DV13" s="228">
        <v>0.64</v>
      </c>
      <c r="DW13" s="228">
        <v>-0.09</v>
      </c>
      <c r="DX13" s="229">
        <v>-0.1406</v>
      </c>
      <c r="DY13" s="229">
        <v>0.55779999999999996</v>
      </c>
      <c r="DZ13" s="230">
        <v>22262850</v>
      </c>
      <c r="EA13" s="229">
        <v>-6.3E-3</v>
      </c>
      <c r="EB13" s="229">
        <v>0.55779999999999996</v>
      </c>
      <c r="EC13" s="228">
        <v>-2.56</v>
      </c>
      <c r="ED13" s="229">
        <v>-6.4000000000000003E-3</v>
      </c>
      <c r="EE13" s="230">
        <v>3713866</v>
      </c>
      <c r="EF13" s="230">
        <v>2329577</v>
      </c>
      <c r="EG13" s="229">
        <v>0.59419999999999995</v>
      </c>
      <c r="EH13" s="229">
        <v>0.64190000000000003</v>
      </c>
      <c r="EI13" s="231">
        <v>144144.28</v>
      </c>
      <c r="EJ13" s="231">
        <v>77897.08</v>
      </c>
      <c r="EK13" s="231">
        <v>183290.47</v>
      </c>
      <c r="EL13" s="231">
        <v>12504</v>
      </c>
      <c r="EM13" s="231">
        <v>405331.83</v>
      </c>
      <c r="EN13" s="231">
        <v>313365.61</v>
      </c>
      <c r="EO13" s="231">
        <v>91966.22</v>
      </c>
      <c r="EP13" s="229">
        <v>0.29349999999999998</v>
      </c>
      <c r="EQ13" s="231">
        <v>105859</v>
      </c>
      <c r="ER13" s="231">
        <v>85405</v>
      </c>
      <c r="ES13" s="231">
        <v>270947</v>
      </c>
      <c r="ET13" s="231">
        <v>227199238</v>
      </c>
      <c r="EU13" s="231">
        <v>462211</v>
      </c>
      <c r="EV13" s="231">
        <v>462843</v>
      </c>
      <c r="EW13" s="228">
        <v>-632</v>
      </c>
      <c r="EX13" s="229">
        <v>-1.4E-3</v>
      </c>
      <c r="EY13" s="229">
        <v>0.51259999999999994</v>
      </c>
    </row>
    <row r="14" spans="1:155" ht="17.25" thickBot="1" x14ac:dyDescent="0.3">
      <c r="A14" s="226">
        <v>45957</v>
      </c>
      <c r="B14" s="227" t="s">
        <v>170</v>
      </c>
      <c r="C14" s="227" t="s">
        <v>208</v>
      </c>
      <c r="D14" s="231">
        <v>1286.7</v>
      </c>
      <c r="E14" s="231">
        <v>1282.5</v>
      </c>
      <c r="F14" s="228">
        <v>4.2</v>
      </c>
      <c r="G14" s="229">
        <v>3.3E-3</v>
      </c>
      <c r="H14" s="231">
        <v>1284.3</v>
      </c>
      <c r="I14" s="231">
        <v>1283.5999999999999</v>
      </c>
      <c r="J14" s="228">
        <v>0.7</v>
      </c>
      <c r="K14" s="229">
        <v>5.0000000000000001E-4</v>
      </c>
      <c r="L14" s="231">
        <v>1286.7</v>
      </c>
      <c r="M14" s="231">
        <v>1282.5</v>
      </c>
      <c r="N14" s="228">
        <v>4.2</v>
      </c>
      <c r="O14" s="229">
        <v>3.3E-3</v>
      </c>
      <c r="P14" s="231">
        <v>1291.5999999999999</v>
      </c>
      <c r="Q14" s="231">
        <v>1287.5</v>
      </c>
      <c r="R14" s="228">
        <v>4.0999999999999996</v>
      </c>
      <c r="S14" s="229">
        <v>3.2000000000000002E-3</v>
      </c>
      <c r="T14" s="231">
        <v>1297</v>
      </c>
      <c r="U14" s="231">
        <v>1290.9000000000001</v>
      </c>
      <c r="V14" s="228">
        <v>6.1</v>
      </c>
      <c r="W14" s="229">
        <v>4.7000000000000002E-3</v>
      </c>
      <c r="X14" s="228">
        <v>2.4</v>
      </c>
      <c r="Y14" s="228">
        <v>-1.1000000000000001</v>
      </c>
      <c r="Z14" s="228">
        <v>3.5</v>
      </c>
      <c r="AA14" s="229">
        <v>1.9E-3</v>
      </c>
      <c r="AB14" s="228">
        <v>2.4</v>
      </c>
      <c r="AC14" s="228">
        <v>-1.1000000000000001</v>
      </c>
      <c r="AD14" s="228">
        <v>3.5</v>
      </c>
      <c r="AE14" s="229">
        <v>1.9E-3</v>
      </c>
      <c r="AF14" s="228">
        <v>7.3</v>
      </c>
      <c r="AG14" s="228">
        <v>3.9</v>
      </c>
      <c r="AH14" s="228">
        <v>3.4</v>
      </c>
      <c r="AI14" s="229">
        <v>5.7000000000000002E-3</v>
      </c>
      <c r="AJ14" s="228">
        <v>12.7</v>
      </c>
      <c r="AK14" s="228">
        <v>7.3</v>
      </c>
      <c r="AL14" s="228">
        <v>5.4</v>
      </c>
      <c r="AM14" s="229">
        <v>9.9000000000000008E-3</v>
      </c>
      <c r="AN14" s="231">
        <v>1286.94</v>
      </c>
      <c r="AO14" s="231">
        <v>1290.6400000000001</v>
      </c>
      <c r="AP14" s="228">
        <v>0</v>
      </c>
      <c r="AQ14" s="230">
        <v>19803</v>
      </c>
      <c r="AR14" s="230">
        <v>16395</v>
      </c>
      <c r="AS14" s="230">
        <v>3408</v>
      </c>
      <c r="AT14" s="229">
        <v>0.2079</v>
      </c>
      <c r="AU14" s="230">
        <v>8999</v>
      </c>
      <c r="AV14" s="230">
        <v>8465</v>
      </c>
      <c r="AW14" s="228">
        <v>534</v>
      </c>
      <c r="AX14" s="229">
        <v>6.3100000000000003E-2</v>
      </c>
      <c r="AY14" s="230">
        <v>10730</v>
      </c>
      <c r="AZ14" s="230">
        <v>7897</v>
      </c>
      <c r="BA14" s="230">
        <v>2833</v>
      </c>
      <c r="BB14" s="229">
        <v>0.35870000000000002</v>
      </c>
      <c r="BC14" s="228">
        <v>74</v>
      </c>
      <c r="BD14" s="228">
        <v>33</v>
      </c>
      <c r="BE14" s="228">
        <v>41</v>
      </c>
      <c r="BF14" s="229">
        <v>1.2423999999999999</v>
      </c>
      <c r="BG14" s="230">
        <v>38218</v>
      </c>
      <c r="BH14" s="230">
        <v>25516</v>
      </c>
      <c r="BI14" s="230">
        <v>12702</v>
      </c>
      <c r="BJ14" s="229">
        <v>0.49780000000000002</v>
      </c>
      <c r="BK14" s="230">
        <v>22425</v>
      </c>
      <c r="BL14" s="230">
        <v>13522</v>
      </c>
      <c r="BM14" s="230">
        <v>8903</v>
      </c>
      <c r="BN14" s="229">
        <v>0.65839999999999999</v>
      </c>
      <c r="BO14" s="230">
        <v>80446</v>
      </c>
      <c r="BP14" s="230">
        <v>55433</v>
      </c>
      <c r="BQ14" s="230">
        <v>25013</v>
      </c>
      <c r="BR14" s="229">
        <v>0.45119999999999999</v>
      </c>
      <c r="BS14" s="230">
        <v>2050621</v>
      </c>
      <c r="BT14" s="230">
        <v>1215787</v>
      </c>
      <c r="BU14" s="230">
        <v>834834</v>
      </c>
      <c r="BV14" s="229">
        <v>0.68669999999999998</v>
      </c>
      <c r="BW14" s="230">
        <v>13928125</v>
      </c>
      <c r="BX14" s="230">
        <v>13855000</v>
      </c>
      <c r="BY14" s="230">
        <v>73125</v>
      </c>
      <c r="BZ14" s="229">
        <v>5.3E-3</v>
      </c>
      <c r="CA14" s="230">
        <v>2551250</v>
      </c>
      <c r="CB14" s="230">
        <v>5891250</v>
      </c>
      <c r="CC14" s="230">
        <v>-3340000</v>
      </c>
      <c r="CD14" s="229">
        <v>-0.56689999999999996</v>
      </c>
      <c r="CE14" s="230">
        <v>11311250</v>
      </c>
      <c r="CF14" s="230">
        <v>7906875</v>
      </c>
      <c r="CG14" s="230">
        <v>3404375</v>
      </c>
      <c r="CH14" s="229">
        <v>0.43059999999999998</v>
      </c>
      <c r="CI14" s="230">
        <v>65625</v>
      </c>
      <c r="CJ14" s="230">
        <v>56875</v>
      </c>
      <c r="CK14" s="230">
        <v>8750</v>
      </c>
      <c r="CL14" s="229">
        <v>0.15379999999999999</v>
      </c>
      <c r="CM14" s="230">
        <v>8733125</v>
      </c>
      <c r="CN14" s="230">
        <v>9162500</v>
      </c>
      <c r="CO14" s="230">
        <v>-429375</v>
      </c>
      <c r="CP14" s="229">
        <v>-4.6899999999999997E-2</v>
      </c>
      <c r="CQ14" s="230">
        <v>5075000</v>
      </c>
      <c r="CR14" s="230">
        <v>5321875</v>
      </c>
      <c r="CS14" s="230">
        <v>-246875</v>
      </c>
      <c r="CT14" s="229">
        <v>-4.6399999999999997E-2</v>
      </c>
      <c r="CU14" s="230">
        <v>27736250</v>
      </c>
      <c r="CV14" s="230">
        <v>28339375</v>
      </c>
      <c r="CW14" s="230">
        <v>-603125</v>
      </c>
      <c r="CX14" s="229">
        <v>-2.1299999999999999E-2</v>
      </c>
      <c r="CY14" s="228">
        <v>20.91</v>
      </c>
      <c r="CZ14" s="228">
        <v>24.44</v>
      </c>
      <c r="DA14" s="228">
        <v>-3.53</v>
      </c>
      <c r="DB14" s="228">
        <v>-3.53</v>
      </c>
      <c r="DC14" s="228">
        <v>24.64</v>
      </c>
      <c r="DD14" s="228">
        <v>24.71</v>
      </c>
      <c r="DE14" s="228">
        <v>-3.73</v>
      </c>
      <c r="DF14" s="228">
        <v>-7.0000000000000007E-2</v>
      </c>
      <c r="DG14" s="228">
        <v>20.95</v>
      </c>
      <c r="DH14" s="228">
        <v>24.49</v>
      </c>
      <c r="DI14" s="228">
        <v>-3.54</v>
      </c>
      <c r="DJ14" s="228">
        <v>-3.54</v>
      </c>
      <c r="DK14" s="228">
        <v>20.85</v>
      </c>
      <c r="DL14" s="228">
        <v>24.34</v>
      </c>
      <c r="DM14" s="228">
        <v>-3.49</v>
      </c>
      <c r="DN14" s="228">
        <v>-3.49</v>
      </c>
      <c r="DO14" s="228">
        <v>0.57999999999999996</v>
      </c>
      <c r="DP14" s="228">
        <v>0.57999999999999996</v>
      </c>
      <c r="DQ14" s="228">
        <v>0</v>
      </c>
      <c r="DR14" s="229">
        <v>0</v>
      </c>
      <c r="DS14" s="231">
        <v>1300</v>
      </c>
      <c r="DT14" s="231">
        <v>1280</v>
      </c>
      <c r="DU14" s="228">
        <v>0.59</v>
      </c>
      <c r="DV14" s="228">
        <v>0.53</v>
      </c>
      <c r="DW14" s="228">
        <v>0.06</v>
      </c>
      <c r="DX14" s="229">
        <v>0.1132</v>
      </c>
      <c r="DY14" s="229">
        <v>0.81679999999999997</v>
      </c>
      <c r="DZ14" s="230">
        <v>7963750</v>
      </c>
      <c r="EA14" s="229">
        <v>3.8E-3</v>
      </c>
      <c r="EB14" s="229">
        <v>0.81679999999999997</v>
      </c>
      <c r="EC14" s="228">
        <v>3.7</v>
      </c>
      <c r="ED14" s="229">
        <v>2.8999999999999998E-3</v>
      </c>
      <c r="EE14" s="230">
        <v>998307</v>
      </c>
      <c r="EF14" s="230">
        <v>621499</v>
      </c>
      <c r="EG14" s="229">
        <v>0.60629999999999995</v>
      </c>
      <c r="EH14" s="229">
        <v>0.48680000000000001</v>
      </c>
      <c r="EI14" s="231">
        <v>314708.09000000003</v>
      </c>
      <c r="EJ14" s="231">
        <v>177874.35</v>
      </c>
      <c r="EK14" s="231">
        <v>159534.6</v>
      </c>
      <c r="EL14" s="231">
        <v>10107</v>
      </c>
      <c r="EM14" s="231">
        <v>652117.04</v>
      </c>
      <c r="EN14" s="231">
        <v>449303.23</v>
      </c>
      <c r="EO14" s="231">
        <v>202813.81</v>
      </c>
      <c r="EP14" s="229">
        <v>0.45140000000000002</v>
      </c>
      <c r="EQ14" s="231">
        <v>114969</v>
      </c>
      <c r="ER14" s="231">
        <v>62812</v>
      </c>
      <c r="ES14" s="231">
        <v>179774</v>
      </c>
      <c r="ET14" s="231">
        <v>61006521</v>
      </c>
      <c r="EU14" s="231">
        <v>357555</v>
      </c>
      <c r="EV14" s="231">
        <v>364036</v>
      </c>
      <c r="EW14" s="231">
        <v>-6481</v>
      </c>
      <c r="EX14" s="229">
        <v>-1.78E-2</v>
      </c>
      <c r="EY14" s="229">
        <v>0.4546</v>
      </c>
    </row>
    <row r="15" spans="1:155" ht="17.25" thickBot="1" x14ac:dyDescent="0.3">
      <c r="A15" s="226">
        <v>45957</v>
      </c>
      <c r="B15" s="227" t="s">
        <v>162</v>
      </c>
      <c r="C15" s="227" t="s">
        <v>209</v>
      </c>
      <c r="D15" s="231">
        <v>6911.5</v>
      </c>
      <c r="E15" s="231">
        <v>6846.5</v>
      </c>
      <c r="F15" s="228">
        <v>65</v>
      </c>
      <c r="G15" s="229">
        <v>9.4999999999999998E-3</v>
      </c>
      <c r="H15" s="231">
        <v>6906.5</v>
      </c>
      <c r="I15" s="231">
        <v>6840</v>
      </c>
      <c r="J15" s="228">
        <v>66.5</v>
      </c>
      <c r="K15" s="229">
        <v>9.7000000000000003E-3</v>
      </c>
      <c r="L15" s="231">
        <v>6911.5</v>
      </c>
      <c r="M15" s="231">
        <v>6846.5</v>
      </c>
      <c r="N15" s="228">
        <v>65</v>
      </c>
      <c r="O15" s="229">
        <v>9.4999999999999998E-3</v>
      </c>
      <c r="P15" s="231">
        <v>6950</v>
      </c>
      <c r="Q15" s="231">
        <v>6889</v>
      </c>
      <c r="R15" s="228">
        <v>61</v>
      </c>
      <c r="S15" s="229">
        <v>8.8999999999999999E-3</v>
      </c>
      <c r="T15" s="231">
        <v>6998.5</v>
      </c>
      <c r="U15" s="231">
        <v>6932.5</v>
      </c>
      <c r="V15" s="228">
        <v>66</v>
      </c>
      <c r="W15" s="229">
        <v>9.4999999999999998E-3</v>
      </c>
      <c r="X15" s="228">
        <v>5</v>
      </c>
      <c r="Y15" s="228">
        <v>6.5</v>
      </c>
      <c r="Z15" s="228">
        <v>-1.5</v>
      </c>
      <c r="AA15" s="229">
        <v>6.9999999999999999E-4</v>
      </c>
      <c r="AB15" s="228">
        <v>5</v>
      </c>
      <c r="AC15" s="228">
        <v>6.5</v>
      </c>
      <c r="AD15" s="228">
        <v>-1.5</v>
      </c>
      <c r="AE15" s="229">
        <v>6.9999999999999999E-4</v>
      </c>
      <c r="AF15" s="228">
        <v>43.5</v>
      </c>
      <c r="AG15" s="228">
        <v>49</v>
      </c>
      <c r="AH15" s="228">
        <v>-5.5</v>
      </c>
      <c r="AI15" s="229">
        <v>6.3E-3</v>
      </c>
      <c r="AJ15" s="228">
        <v>92</v>
      </c>
      <c r="AK15" s="228">
        <v>92.5</v>
      </c>
      <c r="AL15" s="228">
        <v>-0.5</v>
      </c>
      <c r="AM15" s="229">
        <v>1.3299999999999999E-2</v>
      </c>
      <c r="AN15" s="231">
        <v>6888.05</v>
      </c>
      <c r="AO15" s="231">
        <v>6928.96</v>
      </c>
      <c r="AP15" s="228">
        <v>0</v>
      </c>
      <c r="AQ15" s="230">
        <v>16548</v>
      </c>
      <c r="AR15" s="230">
        <v>13238</v>
      </c>
      <c r="AS15" s="230">
        <v>3310</v>
      </c>
      <c r="AT15" s="229">
        <v>0.25</v>
      </c>
      <c r="AU15" s="230">
        <v>7932</v>
      </c>
      <c r="AV15" s="230">
        <v>6462</v>
      </c>
      <c r="AW15" s="230">
        <v>1470</v>
      </c>
      <c r="AX15" s="229">
        <v>0.22750000000000001</v>
      </c>
      <c r="AY15" s="230">
        <v>8566</v>
      </c>
      <c r="AZ15" s="230">
        <v>6724</v>
      </c>
      <c r="BA15" s="230">
        <v>1842</v>
      </c>
      <c r="BB15" s="229">
        <v>0.27389999999999998</v>
      </c>
      <c r="BC15" s="228">
        <v>50</v>
      </c>
      <c r="BD15" s="228">
        <v>52</v>
      </c>
      <c r="BE15" s="228">
        <v>-2</v>
      </c>
      <c r="BF15" s="229">
        <v>-3.85E-2</v>
      </c>
      <c r="BG15" s="230">
        <v>13067</v>
      </c>
      <c r="BH15" s="230">
        <v>20570</v>
      </c>
      <c r="BI15" s="230">
        <v>-7503</v>
      </c>
      <c r="BJ15" s="229">
        <v>-0.36480000000000001</v>
      </c>
      <c r="BK15" s="230">
        <v>5880</v>
      </c>
      <c r="BL15" s="230">
        <v>14155</v>
      </c>
      <c r="BM15" s="230">
        <v>-8275</v>
      </c>
      <c r="BN15" s="229">
        <v>-0.58460000000000001</v>
      </c>
      <c r="BO15" s="230">
        <v>35495</v>
      </c>
      <c r="BP15" s="230">
        <v>47963</v>
      </c>
      <c r="BQ15" s="230">
        <v>-12468</v>
      </c>
      <c r="BR15" s="229">
        <v>-0.26</v>
      </c>
      <c r="BS15" s="230">
        <v>231646</v>
      </c>
      <c r="BT15" s="230">
        <v>302682</v>
      </c>
      <c r="BU15" s="230">
        <v>-71036</v>
      </c>
      <c r="BV15" s="229">
        <v>-0.23469999999999999</v>
      </c>
      <c r="BW15" s="230">
        <v>3682700</v>
      </c>
      <c r="BX15" s="230">
        <v>3602200</v>
      </c>
      <c r="BY15" s="230">
        <v>80500</v>
      </c>
      <c r="BZ15" s="229">
        <v>2.23E-2</v>
      </c>
      <c r="CA15" s="230">
        <v>623875</v>
      </c>
      <c r="CB15" s="230">
        <v>1751050</v>
      </c>
      <c r="CC15" s="230">
        <v>-1127175</v>
      </c>
      <c r="CD15" s="229">
        <v>-0.64370000000000005</v>
      </c>
      <c r="CE15" s="230">
        <v>3037300</v>
      </c>
      <c r="CF15" s="230">
        <v>1830500</v>
      </c>
      <c r="CG15" s="230">
        <v>1206800</v>
      </c>
      <c r="CH15" s="229">
        <v>0.6593</v>
      </c>
      <c r="CI15" s="230">
        <v>21525</v>
      </c>
      <c r="CJ15" s="230">
        <v>20650</v>
      </c>
      <c r="CK15" s="228">
        <v>875</v>
      </c>
      <c r="CL15" s="229">
        <v>4.24E-2</v>
      </c>
      <c r="CM15" s="230">
        <v>1676675</v>
      </c>
      <c r="CN15" s="230">
        <v>1990275</v>
      </c>
      <c r="CO15" s="230">
        <v>-313600</v>
      </c>
      <c r="CP15" s="229">
        <v>-0.15759999999999999</v>
      </c>
      <c r="CQ15" s="230">
        <v>1317925</v>
      </c>
      <c r="CR15" s="230">
        <v>1382325</v>
      </c>
      <c r="CS15" s="230">
        <v>-64400</v>
      </c>
      <c r="CT15" s="229">
        <v>-4.6600000000000003E-2</v>
      </c>
      <c r="CU15" s="230">
        <v>6677300</v>
      </c>
      <c r="CV15" s="230">
        <v>6974800</v>
      </c>
      <c r="CW15" s="230">
        <v>-297500</v>
      </c>
      <c r="CX15" s="229">
        <v>-4.2700000000000002E-2</v>
      </c>
      <c r="CY15" s="228">
        <v>23.24</v>
      </c>
      <c r="CZ15" s="228">
        <v>22.61</v>
      </c>
      <c r="DA15" s="228">
        <v>0.63</v>
      </c>
      <c r="DB15" s="228">
        <v>0.63</v>
      </c>
      <c r="DC15" s="228">
        <v>27.79</v>
      </c>
      <c r="DD15" s="228">
        <v>27.83</v>
      </c>
      <c r="DE15" s="228">
        <v>-4.55</v>
      </c>
      <c r="DF15" s="228">
        <v>-0.04</v>
      </c>
      <c r="DG15" s="228">
        <v>23.54</v>
      </c>
      <c r="DH15" s="228">
        <v>22.37</v>
      </c>
      <c r="DI15" s="228">
        <v>1.17</v>
      </c>
      <c r="DJ15" s="228">
        <v>1.17</v>
      </c>
      <c r="DK15" s="228">
        <v>22.64</v>
      </c>
      <c r="DL15" s="228">
        <v>22.81</v>
      </c>
      <c r="DM15" s="228">
        <v>-0.17</v>
      </c>
      <c r="DN15" s="228">
        <v>-0.17</v>
      </c>
      <c r="DO15" s="228">
        <v>0.79</v>
      </c>
      <c r="DP15" s="228">
        <v>0.69</v>
      </c>
      <c r="DQ15" s="228">
        <v>0.1</v>
      </c>
      <c r="DR15" s="229">
        <v>0.1449</v>
      </c>
      <c r="DS15" s="231">
        <v>7000</v>
      </c>
      <c r="DT15" s="231">
        <v>6200</v>
      </c>
      <c r="DU15" s="228">
        <v>0.45</v>
      </c>
      <c r="DV15" s="228">
        <v>0.69</v>
      </c>
      <c r="DW15" s="228">
        <v>-0.24</v>
      </c>
      <c r="DX15" s="229">
        <v>-0.3478</v>
      </c>
      <c r="DY15" s="229">
        <v>0.8306</v>
      </c>
      <c r="DZ15" s="230">
        <v>1851150</v>
      </c>
      <c r="EA15" s="229">
        <v>5.5999999999999999E-3</v>
      </c>
      <c r="EB15" s="229">
        <v>0.8306</v>
      </c>
      <c r="EC15" s="228">
        <v>40.909999999999997</v>
      </c>
      <c r="ED15" s="229">
        <v>5.8999999999999999E-3</v>
      </c>
      <c r="EE15" s="230">
        <v>149230</v>
      </c>
      <c r="EF15" s="230">
        <v>216406</v>
      </c>
      <c r="EG15" s="229">
        <v>-0.31040000000000001</v>
      </c>
      <c r="EH15" s="229">
        <v>0.64419999999999999</v>
      </c>
      <c r="EI15" s="231">
        <v>163045.88</v>
      </c>
      <c r="EJ15" s="231">
        <v>69569.62</v>
      </c>
      <c r="EK15" s="231">
        <v>200091.31</v>
      </c>
      <c r="EL15" s="231">
        <v>6744</v>
      </c>
      <c r="EM15" s="231">
        <v>432706.81</v>
      </c>
      <c r="EN15" s="231">
        <v>582327.49</v>
      </c>
      <c r="EO15" s="231">
        <v>-149620.68</v>
      </c>
      <c r="EP15" s="229">
        <v>-0.25690000000000002</v>
      </c>
      <c r="EQ15" s="231">
        <v>121280</v>
      </c>
      <c r="ER15" s="231">
        <v>86753</v>
      </c>
      <c r="ES15" s="231">
        <v>255718</v>
      </c>
      <c r="ET15" s="231">
        <v>20353850</v>
      </c>
      <c r="EU15" s="231">
        <v>463752</v>
      </c>
      <c r="EV15" s="231">
        <v>482017</v>
      </c>
      <c r="EW15" s="231">
        <v>-18265</v>
      </c>
      <c r="EX15" s="229">
        <v>-3.7900000000000003E-2</v>
      </c>
      <c r="EY15" s="229">
        <v>0.3281</v>
      </c>
    </row>
    <row r="16" spans="1:155" ht="17.25" thickBot="1" x14ac:dyDescent="0.3">
      <c r="A16" s="226">
        <v>45957</v>
      </c>
      <c r="B16" s="227" t="s">
        <v>615</v>
      </c>
      <c r="C16" s="227" t="s">
        <v>668</v>
      </c>
      <c r="D16" s="228">
        <v>334.15</v>
      </c>
      <c r="E16" s="228">
        <v>327.14999999999998</v>
      </c>
      <c r="F16" s="228">
        <v>7</v>
      </c>
      <c r="G16" s="229">
        <v>2.1399999999999999E-2</v>
      </c>
      <c r="H16" s="228">
        <v>333.7</v>
      </c>
      <c r="I16" s="228">
        <v>326.60000000000002</v>
      </c>
      <c r="J16" s="228">
        <v>7.1</v>
      </c>
      <c r="K16" s="229">
        <v>2.1700000000000001E-2</v>
      </c>
      <c r="L16" s="228">
        <v>334.15</v>
      </c>
      <c r="M16" s="228">
        <v>327.14999999999998</v>
      </c>
      <c r="N16" s="228">
        <v>7</v>
      </c>
      <c r="O16" s="229">
        <v>2.1399999999999999E-2</v>
      </c>
      <c r="P16" s="228">
        <v>336.05</v>
      </c>
      <c r="Q16" s="228">
        <v>328.95</v>
      </c>
      <c r="R16" s="228">
        <v>7.1</v>
      </c>
      <c r="S16" s="229">
        <v>2.1600000000000001E-2</v>
      </c>
      <c r="T16" s="228">
        <v>338.1</v>
      </c>
      <c r="U16" s="228">
        <v>331.15</v>
      </c>
      <c r="V16" s="228">
        <v>6.95</v>
      </c>
      <c r="W16" s="229">
        <v>2.1000000000000001E-2</v>
      </c>
      <c r="X16" s="228">
        <v>0.45</v>
      </c>
      <c r="Y16" s="228">
        <v>0.55000000000000004</v>
      </c>
      <c r="Z16" s="228">
        <v>-0.1</v>
      </c>
      <c r="AA16" s="229">
        <v>1.2999999999999999E-3</v>
      </c>
      <c r="AB16" s="228">
        <v>0.45</v>
      </c>
      <c r="AC16" s="228">
        <v>0.55000000000000004</v>
      </c>
      <c r="AD16" s="228">
        <v>-0.1</v>
      </c>
      <c r="AE16" s="229">
        <v>1.2999999999999999E-3</v>
      </c>
      <c r="AF16" s="228">
        <v>2.35</v>
      </c>
      <c r="AG16" s="228">
        <v>2.35</v>
      </c>
      <c r="AH16" s="228">
        <v>0</v>
      </c>
      <c r="AI16" s="229">
        <v>7.0000000000000001E-3</v>
      </c>
      <c r="AJ16" s="228">
        <v>4.4000000000000004</v>
      </c>
      <c r="AK16" s="228">
        <v>4.55</v>
      </c>
      <c r="AL16" s="228">
        <v>-0.15</v>
      </c>
      <c r="AM16" s="229">
        <v>1.32E-2</v>
      </c>
      <c r="AN16" s="228">
        <v>330.63</v>
      </c>
      <c r="AO16" s="228">
        <v>332.79</v>
      </c>
      <c r="AP16" s="228">
        <v>0</v>
      </c>
      <c r="AQ16" s="230">
        <v>47019</v>
      </c>
      <c r="AR16" s="230">
        <v>76149</v>
      </c>
      <c r="AS16" s="230">
        <v>-29130</v>
      </c>
      <c r="AT16" s="229">
        <v>-0.38250000000000001</v>
      </c>
      <c r="AU16" s="230">
        <v>20689</v>
      </c>
      <c r="AV16" s="230">
        <v>38163</v>
      </c>
      <c r="AW16" s="230">
        <v>-17474</v>
      </c>
      <c r="AX16" s="229">
        <v>-0.45789999999999997</v>
      </c>
      <c r="AY16" s="230">
        <v>25993</v>
      </c>
      <c r="AZ16" s="230">
        <v>37771</v>
      </c>
      <c r="BA16" s="230">
        <v>-11778</v>
      </c>
      <c r="BB16" s="229">
        <v>-0.31180000000000002</v>
      </c>
      <c r="BC16" s="228">
        <v>337</v>
      </c>
      <c r="BD16" s="228">
        <v>215</v>
      </c>
      <c r="BE16" s="228">
        <v>122</v>
      </c>
      <c r="BF16" s="229">
        <v>0.56740000000000002</v>
      </c>
      <c r="BG16" s="230">
        <v>52902</v>
      </c>
      <c r="BH16" s="230">
        <v>48689</v>
      </c>
      <c r="BI16" s="230">
        <v>4213</v>
      </c>
      <c r="BJ16" s="229">
        <v>8.6499999999999994E-2</v>
      </c>
      <c r="BK16" s="230">
        <v>25267</v>
      </c>
      <c r="BL16" s="230">
        <v>24661</v>
      </c>
      <c r="BM16" s="228">
        <v>606</v>
      </c>
      <c r="BN16" s="229">
        <v>2.46E-2</v>
      </c>
      <c r="BO16" s="230">
        <v>125188</v>
      </c>
      <c r="BP16" s="230">
        <v>149499</v>
      </c>
      <c r="BQ16" s="230">
        <v>-24311</v>
      </c>
      <c r="BR16" s="229">
        <v>-0.16259999999999999</v>
      </c>
      <c r="BS16" s="230">
        <v>28849412</v>
      </c>
      <c r="BT16" s="230">
        <v>36267951</v>
      </c>
      <c r="BU16" s="230">
        <v>-7418539</v>
      </c>
      <c r="BV16" s="229">
        <v>-0.20449999999999999</v>
      </c>
      <c r="BW16" s="230">
        <v>247199650</v>
      </c>
      <c r="BX16" s="230">
        <v>241059550</v>
      </c>
      <c r="BY16" s="230">
        <v>6140100</v>
      </c>
      <c r="BZ16" s="229">
        <v>2.5499999999999998E-2</v>
      </c>
      <c r="CA16" s="230">
        <v>32946050</v>
      </c>
      <c r="CB16" s="230">
        <v>72398375</v>
      </c>
      <c r="CC16" s="230">
        <v>-39452325</v>
      </c>
      <c r="CD16" s="229">
        <v>-0.54490000000000005</v>
      </c>
      <c r="CE16" s="230">
        <v>212754950</v>
      </c>
      <c r="CF16" s="230">
        <v>167211025</v>
      </c>
      <c r="CG16" s="230">
        <v>45543925</v>
      </c>
      <c r="CH16" s="229">
        <v>0.27239999999999998</v>
      </c>
      <c r="CI16" s="230">
        <v>1498650</v>
      </c>
      <c r="CJ16" s="230">
        <v>1450150</v>
      </c>
      <c r="CK16" s="230">
        <v>48500</v>
      </c>
      <c r="CL16" s="229">
        <v>3.3399999999999999E-2</v>
      </c>
      <c r="CM16" s="230">
        <v>89492200</v>
      </c>
      <c r="CN16" s="230">
        <v>97809950</v>
      </c>
      <c r="CO16" s="230">
        <v>-8317750</v>
      </c>
      <c r="CP16" s="229">
        <v>-8.5000000000000006E-2</v>
      </c>
      <c r="CQ16" s="230">
        <v>49225075</v>
      </c>
      <c r="CR16" s="230">
        <v>53165700</v>
      </c>
      <c r="CS16" s="230">
        <v>-3940625</v>
      </c>
      <c r="CT16" s="229">
        <v>-7.4099999999999999E-2</v>
      </c>
      <c r="CU16" s="230">
        <v>385916925</v>
      </c>
      <c r="CV16" s="230">
        <v>392035200</v>
      </c>
      <c r="CW16" s="230">
        <v>-6118275</v>
      </c>
      <c r="CX16" s="229">
        <v>-1.5599999999999999E-2</v>
      </c>
      <c r="CY16" s="228">
        <v>28.65</v>
      </c>
      <c r="CZ16" s="228">
        <v>29.41</v>
      </c>
      <c r="DA16" s="228">
        <v>-0.76</v>
      </c>
      <c r="DB16" s="228">
        <v>-0.76</v>
      </c>
      <c r="DC16" s="228">
        <v>45.37</v>
      </c>
      <c r="DD16" s="228">
        <v>45.39</v>
      </c>
      <c r="DE16" s="228">
        <v>-16.72</v>
      </c>
      <c r="DF16" s="228">
        <v>-0.02</v>
      </c>
      <c r="DG16" s="228">
        <v>28.37</v>
      </c>
      <c r="DH16" s="228">
        <v>29.4</v>
      </c>
      <c r="DI16" s="228">
        <v>-1.03</v>
      </c>
      <c r="DJ16" s="228">
        <v>-1.03</v>
      </c>
      <c r="DK16" s="228">
        <v>29.17</v>
      </c>
      <c r="DL16" s="228">
        <v>29.41</v>
      </c>
      <c r="DM16" s="228">
        <v>-0.24</v>
      </c>
      <c r="DN16" s="228">
        <v>-0.24</v>
      </c>
      <c r="DO16" s="228">
        <v>0.55000000000000004</v>
      </c>
      <c r="DP16" s="228">
        <v>0.54</v>
      </c>
      <c r="DQ16" s="228">
        <v>0.01</v>
      </c>
      <c r="DR16" s="229">
        <v>1.8499999999999999E-2</v>
      </c>
      <c r="DS16" s="228">
        <v>350</v>
      </c>
      <c r="DT16" s="228">
        <v>320</v>
      </c>
      <c r="DU16" s="228">
        <v>0.48</v>
      </c>
      <c r="DV16" s="228">
        <v>0.51</v>
      </c>
      <c r="DW16" s="228">
        <v>-0.03</v>
      </c>
      <c r="DX16" s="229">
        <v>-5.8799999999999998E-2</v>
      </c>
      <c r="DY16" s="229">
        <v>0.86670000000000003</v>
      </c>
      <c r="DZ16" s="230">
        <v>168661175</v>
      </c>
      <c r="EA16" s="229">
        <v>5.7000000000000002E-3</v>
      </c>
      <c r="EB16" s="229">
        <v>0.86670000000000003</v>
      </c>
      <c r="EC16" s="228">
        <v>2.16</v>
      </c>
      <c r="ED16" s="229">
        <v>6.4999999999999997E-3</v>
      </c>
      <c r="EE16" s="230">
        <v>16485807</v>
      </c>
      <c r="EF16" s="230">
        <v>24445396</v>
      </c>
      <c r="EG16" s="229">
        <v>-0.3256</v>
      </c>
      <c r="EH16" s="229">
        <v>0.57140000000000002</v>
      </c>
      <c r="EI16" s="231">
        <v>439608.4</v>
      </c>
      <c r="EJ16" s="231">
        <v>200377.28</v>
      </c>
      <c r="EK16" s="231">
        <v>378377.19</v>
      </c>
      <c r="EL16" s="231">
        <v>40416</v>
      </c>
      <c r="EM16" s="231">
        <v>1018362.87</v>
      </c>
      <c r="EN16" s="231">
        <v>1207502.56</v>
      </c>
      <c r="EO16" s="231">
        <v>-189139.69</v>
      </c>
      <c r="EP16" s="229">
        <v>-0.15659999999999999</v>
      </c>
      <c r="EQ16" s="231">
        <v>315090</v>
      </c>
      <c r="ER16" s="231">
        <v>159016</v>
      </c>
      <c r="ES16" s="231">
        <v>830119</v>
      </c>
      <c r="ET16" s="231">
        <v>1361988292</v>
      </c>
      <c r="EU16" s="231">
        <v>1304225</v>
      </c>
      <c r="EV16" s="231">
        <v>1307876</v>
      </c>
      <c r="EW16" s="231">
        <v>-3651</v>
      </c>
      <c r="EX16" s="229">
        <v>-2.8E-3</v>
      </c>
      <c r="EY16" s="229">
        <v>0.2833</v>
      </c>
    </row>
    <row r="17" spans="1:155" ht="17.25" thickBot="1" x14ac:dyDescent="0.3">
      <c r="A17" s="226">
        <v>45957</v>
      </c>
      <c r="B17" s="227" t="s">
        <v>157</v>
      </c>
      <c r="C17" s="227" t="s">
        <v>219</v>
      </c>
      <c r="D17" s="231">
        <v>2922.6</v>
      </c>
      <c r="E17" s="231">
        <v>2841.8</v>
      </c>
      <c r="F17" s="228">
        <v>80.8</v>
      </c>
      <c r="G17" s="229">
        <v>2.8400000000000002E-2</v>
      </c>
      <c r="H17" s="231">
        <v>2923.9</v>
      </c>
      <c r="I17" s="231">
        <v>2841.3</v>
      </c>
      <c r="J17" s="228">
        <v>82.6</v>
      </c>
      <c r="K17" s="229">
        <v>2.9100000000000001E-2</v>
      </c>
      <c r="L17" s="231">
        <v>2922.6</v>
      </c>
      <c r="M17" s="231">
        <v>2841.8</v>
      </c>
      <c r="N17" s="228">
        <v>80.8</v>
      </c>
      <c r="O17" s="229">
        <v>2.8400000000000002E-2</v>
      </c>
      <c r="P17" s="231">
        <v>2942.4</v>
      </c>
      <c r="Q17" s="231">
        <v>2859</v>
      </c>
      <c r="R17" s="228">
        <v>83.4</v>
      </c>
      <c r="S17" s="229">
        <v>2.92E-2</v>
      </c>
      <c r="T17" s="231">
        <v>2967.2</v>
      </c>
      <c r="U17" s="231">
        <v>2878.6</v>
      </c>
      <c r="V17" s="228">
        <v>88.6</v>
      </c>
      <c r="W17" s="229">
        <v>3.0800000000000001E-2</v>
      </c>
      <c r="X17" s="228">
        <v>-1.3</v>
      </c>
      <c r="Y17" s="228">
        <v>0.5</v>
      </c>
      <c r="Z17" s="228">
        <v>-1.8</v>
      </c>
      <c r="AA17" s="229">
        <v>-4.0000000000000002E-4</v>
      </c>
      <c r="AB17" s="228">
        <v>-1.3</v>
      </c>
      <c r="AC17" s="228">
        <v>0.5</v>
      </c>
      <c r="AD17" s="228">
        <v>-1.8</v>
      </c>
      <c r="AE17" s="229">
        <v>-4.0000000000000002E-4</v>
      </c>
      <c r="AF17" s="228">
        <v>18.5</v>
      </c>
      <c r="AG17" s="228">
        <v>17.7</v>
      </c>
      <c r="AH17" s="228">
        <v>0.8</v>
      </c>
      <c r="AI17" s="229">
        <v>6.3E-3</v>
      </c>
      <c r="AJ17" s="228">
        <v>43.3</v>
      </c>
      <c r="AK17" s="228">
        <v>37.299999999999997</v>
      </c>
      <c r="AL17" s="228">
        <v>6</v>
      </c>
      <c r="AM17" s="229">
        <v>1.4800000000000001E-2</v>
      </c>
      <c r="AN17" s="231">
        <v>2898.02</v>
      </c>
      <c r="AO17" s="231">
        <v>2917.33</v>
      </c>
      <c r="AP17" s="228">
        <v>0</v>
      </c>
      <c r="AQ17" s="230">
        <v>29981</v>
      </c>
      <c r="AR17" s="230">
        <v>49706</v>
      </c>
      <c r="AS17" s="230">
        <v>-19725</v>
      </c>
      <c r="AT17" s="229">
        <v>-0.39679999999999999</v>
      </c>
      <c r="AU17" s="230">
        <v>12718</v>
      </c>
      <c r="AV17" s="230">
        <v>24274</v>
      </c>
      <c r="AW17" s="230">
        <v>-11556</v>
      </c>
      <c r="AX17" s="229">
        <v>-0.47610000000000002</v>
      </c>
      <c r="AY17" s="230">
        <v>17180</v>
      </c>
      <c r="AZ17" s="230">
        <v>25393</v>
      </c>
      <c r="BA17" s="230">
        <v>-8213</v>
      </c>
      <c r="BB17" s="229">
        <v>-0.32340000000000002</v>
      </c>
      <c r="BC17" s="228">
        <v>83</v>
      </c>
      <c r="BD17" s="228">
        <v>39</v>
      </c>
      <c r="BE17" s="228">
        <v>44</v>
      </c>
      <c r="BF17" s="229">
        <v>1.1282000000000001</v>
      </c>
      <c r="BG17" s="230">
        <v>31985</v>
      </c>
      <c r="BH17" s="230">
        <v>11455</v>
      </c>
      <c r="BI17" s="230">
        <v>20530</v>
      </c>
      <c r="BJ17" s="229">
        <v>1.7922</v>
      </c>
      <c r="BK17" s="230">
        <v>11450</v>
      </c>
      <c r="BL17" s="230">
        <v>6272</v>
      </c>
      <c r="BM17" s="230">
        <v>5178</v>
      </c>
      <c r="BN17" s="229">
        <v>0.8256</v>
      </c>
      <c r="BO17" s="230">
        <v>73416</v>
      </c>
      <c r="BP17" s="230">
        <v>67433</v>
      </c>
      <c r="BQ17" s="230">
        <v>5983</v>
      </c>
      <c r="BR17" s="229">
        <v>8.8700000000000001E-2</v>
      </c>
      <c r="BS17" s="230">
        <v>778209</v>
      </c>
      <c r="BT17" s="230">
        <v>464526</v>
      </c>
      <c r="BU17" s="230">
        <v>313683</v>
      </c>
      <c r="BV17" s="229">
        <v>0.67530000000000001</v>
      </c>
      <c r="BW17" s="230">
        <v>15485500</v>
      </c>
      <c r="BX17" s="230">
        <v>15348250</v>
      </c>
      <c r="BY17" s="230">
        <v>137250</v>
      </c>
      <c r="BZ17" s="229">
        <v>8.8999999999999999E-3</v>
      </c>
      <c r="CA17" s="230">
        <v>2601000</v>
      </c>
      <c r="CB17" s="230">
        <v>5158000</v>
      </c>
      <c r="CC17" s="230">
        <v>-2557000</v>
      </c>
      <c r="CD17" s="229">
        <v>-0.49569999999999997</v>
      </c>
      <c r="CE17" s="230">
        <v>12852750</v>
      </c>
      <c r="CF17" s="230">
        <v>10165000</v>
      </c>
      <c r="CG17" s="230">
        <v>2687750</v>
      </c>
      <c r="CH17" s="229">
        <v>0.26440000000000002</v>
      </c>
      <c r="CI17" s="230">
        <v>31750</v>
      </c>
      <c r="CJ17" s="230">
        <v>25250</v>
      </c>
      <c r="CK17" s="230">
        <v>6500</v>
      </c>
      <c r="CL17" s="229">
        <v>0.25740000000000002</v>
      </c>
      <c r="CM17" s="230">
        <v>2206000</v>
      </c>
      <c r="CN17" s="230">
        <v>1828000</v>
      </c>
      <c r="CO17" s="230">
        <v>378000</v>
      </c>
      <c r="CP17" s="229">
        <v>0.20680000000000001</v>
      </c>
      <c r="CQ17" s="230">
        <v>1381000</v>
      </c>
      <c r="CR17" s="230">
        <v>1097000</v>
      </c>
      <c r="CS17" s="230">
        <v>284000</v>
      </c>
      <c r="CT17" s="229">
        <v>0.25890000000000002</v>
      </c>
      <c r="CU17" s="230">
        <v>19072500</v>
      </c>
      <c r="CV17" s="230">
        <v>18273250</v>
      </c>
      <c r="CW17" s="230">
        <v>799250</v>
      </c>
      <c r="CX17" s="229">
        <v>4.3700000000000003E-2</v>
      </c>
      <c r="CY17" s="228">
        <v>24.74</v>
      </c>
      <c r="CZ17" s="228">
        <v>22.31</v>
      </c>
      <c r="DA17" s="228">
        <v>2.4300000000000002</v>
      </c>
      <c r="DB17" s="228">
        <v>2.4300000000000002</v>
      </c>
      <c r="DC17" s="228">
        <v>25.53</v>
      </c>
      <c r="DD17" s="228">
        <v>25.3</v>
      </c>
      <c r="DE17" s="228">
        <v>-0.79</v>
      </c>
      <c r="DF17" s="228">
        <v>0.23</v>
      </c>
      <c r="DG17" s="228">
        <v>24.97</v>
      </c>
      <c r="DH17" s="228">
        <v>22.42</v>
      </c>
      <c r="DI17" s="228">
        <v>2.5499999999999998</v>
      </c>
      <c r="DJ17" s="228">
        <v>2.5499999999999998</v>
      </c>
      <c r="DK17" s="228">
        <v>23.97</v>
      </c>
      <c r="DL17" s="228">
        <v>22.1</v>
      </c>
      <c r="DM17" s="228">
        <v>1.87</v>
      </c>
      <c r="DN17" s="228">
        <v>1.87</v>
      </c>
      <c r="DO17" s="228">
        <v>0.63</v>
      </c>
      <c r="DP17" s="228">
        <v>0.6</v>
      </c>
      <c r="DQ17" s="228">
        <v>0.03</v>
      </c>
      <c r="DR17" s="229">
        <v>0.05</v>
      </c>
      <c r="DS17" s="231">
        <v>2960</v>
      </c>
      <c r="DT17" s="231">
        <v>2900</v>
      </c>
      <c r="DU17" s="228">
        <v>0.36</v>
      </c>
      <c r="DV17" s="228">
        <v>0.55000000000000004</v>
      </c>
      <c r="DW17" s="228">
        <v>-0.19</v>
      </c>
      <c r="DX17" s="229">
        <v>-0.34549999999999997</v>
      </c>
      <c r="DY17" s="229">
        <v>0.83199999999999996</v>
      </c>
      <c r="DZ17" s="230">
        <v>10190250</v>
      </c>
      <c r="EA17" s="229">
        <v>6.7999999999999996E-3</v>
      </c>
      <c r="EB17" s="229">
        <v>0.83199999999999996</v>
      </c>
      <c r="EC17" s="228">
        <v>19.309999999999999</v>
      </c>
      <c r="ED17" s="229">
        <v>6.7000000000000002E-3</v>
      </c>
      <c r="EE17" s="230">
        <v>414208</v>
      </c>
      <c r="EF17" s="230">
        <v>284222</v>
      </c>
      <c r="EG17" s="229">
        <v>0.45729999999999998</v>
      </c>
      <c r="EH17" s="229">
        <v>0.5323</v>
      </c>
      <c r="EI17" s="231">
        <v>238446.69</v>
      </c>
      <c r="EJ17" s="231">
        <v>81513.25</v>
      </c>
      <c r="EK17" s="231">
        <v>218052.45</v>
      </c>
      <c r="EL17" s="231">
        <v>21579</v>
      </c>
      <c r="EM17" s="231">
        <v>538012.39</v>
      </c>
      <c r="EN17" s="231">
        <v>483271.51</v>
      </c>
      <c r="EO17" s="231">
        <v>54740.88</v>
      </c>
      <c r="EP17" s="229">
        <v>0.1133</v>
      </c>
      <c r="EQ17" s="231">
        <v>65761</v>
      </c>
      <c r="ER17" s="231">
        <v>38245</v>
      </c>
      <c r="ES17" s="231">
        <v>455138</v>
      </c>
      <c r="ET17" s="231">
        <v>38514157</v>
      </c>
      <c r="EU17" s="231">
        <v>559144</v>
      </c>
      <c r="EV17" s="231">
        <v>522167</v>
      </c>
      <c r="EW17" s="231">
        <v>36977</v>
      </c>
      <c r="EX17" s="229">
        <v>7.0800000000000002E-2</v>
      </c>
      <c r="EY17" s="229">
        <v>0.49519999999999997</v>
      </c>
    </row>
    <row r="18" spans="1:155" ht="17.25" thickBot="1" x14ac:dyDescent="0.3">
      <c r="A18" s="226">
        <v>45957</v>
      </c>
      <c r="B18" s="227" t="s">
        <v>221</v>
      </c>
      <c r="C18" s="227" t="s">
        <v>222</v>
      </c>
      <c r="D18" s="231">
        <v>1535.4</v>
      </c>
      <c r="E18" s="231">
        <v>1522.6</v>
      </c>
      <c r="F18" s="228">
        <v>12.8</v>
      </c>
      <c r="G18" s="229">
        <v>8.3999999999999995E-3</v>
      </c>
      <c r="H18" s="231">
        <v>1533.5</v>
      </c>
      <c r="I18" s="231">
        <v>1523.8</v>
      </c>
      <c r="J18" s="228">
        <v>9.6999999999999993</v>
      </c>
      <c r="K18" s="229">
        <v>6.4000000000000003E-3</v>
      </c>
      <c r="L18" s="231">
        <v>1535.4</v>
      </c>
      <c r="M18" s="231">
        <v>1522.6</v>
      </c>
      <c r="N18" s="228">
        <v>12.8</v>
      </c>
      <c r="O18" s="229">
        <v>8.3999999999999995E-3</v>
      </c>
      <c r="P18" s="231">
        <v>1544.1</v>
      </c>
      <c r="Q18" s="231">
        <v>1530.8</v>
      </c>
      <c r="R18" s="228">
        <v>13.3</v>
      </c>
      <c r="S18" s="229">
        <v>8.6999999999999994E-3</v>
      </c>
      <c r="T18" s="231">
        <v>1554.2</v>
      </c>
      <c r="U18" s="231">
        <v>1540</v>
      </c>
      <c r="V18" s="228">
        <v>14.2</v>
      </c>
      <c r="W18" s="229">
        <v>9.1999999999999998E-3</v>
      </c>
      <c r="X18" s="228">
        <v>1.9</v>
      </c>
      <c r="Y18" s="228">
        <v>-1.2</v>
      </c>
      <c r="Z18" s="228">
        <v>3.1</v>
      </c>
      <c r="AA18" s="229">
        <v>1.1999999999999999E-3</v>
      </c>
      <c r="AB18" s="228">
        <v>1.9</v>
      </c>
      <c r="AC18" s="228">
        <v>-1.2</v>
      </c>
      <c r="AD18" s="228">
        <v>3.1</v>
      </c>
      <c r="AE18" s="229">
        <v>1.1999999999999999E-3</v>
      </c>
      <c r="AF18" s="228">
        <v>10.6</v>
      </c>
      <c r="AG18" s="228">
        <v>7</v>
      </c>
      <c r="AH18" s="228">
        <v>3.6</v>
      </c>
      <c r="AI18" s="229">
        <v>6.8999999999999999E-3</v>
      </c>
      <c r="AJ18" s="228">
        <v>20.7</v>
      </c>
      <c r="AK18" s="228">
        <v>16.2</v>
      </c>
      <c r="AL18" s="228">
        <v>4.5</v>
      </c>
      <c r="AM18" s="229">
        <v>1.35E-2</v>
      </c>
      <c r="AN18" s="231">
        <v>1539.09</v>
      </c>
      <c r="AO18" s="231">
        <v>1547.61</v>
      </c>
      <c r="AP18" s="228">
        <v>0</v>
      </c>
      <c r="AQ18" s="230">
        <v>37981</v>
      </c>
      <c r="AR18" s="230">
        <v>40206</v>
      </c>
      <c r="AS18" s="230">
        <v>-2225</v>
      </c>
      <c r="AT18" s="229">
        <v>-5.5300000000000002E-2</v>
      </c>
      <c r="AU18" s="230">
        <v>17878</v>
      </c>
      <c r="AV18" s="230">
        <v>19869</v>
      </c>
      <c r="AW18" s="230">
        <v>-1991</v>
      </c>
      <c r="AX18" s="229">
        <v>-0.1002</v>
      </c>
      <c r="AY18" s="230">
        <v>19940</v>
      </c>
      <c r="AZ18" s="230">
        <v>20193</v>
      </c>
      <c r="BA18" s="228">
        <v>-253</v>
      </c>
      <c r="BB18" s="229">
        <v>-1.2500000000000001E-2</v>
      </c>
      <c r="BC18" s="228">
        <v>163</v>
      </c>
      <c r="BD18" s="228">
        <v>144</v>
      </c>
      <c r="BE18" s="228">
        <v>19</v>
      </c>
      <c r="BF18" s="229">
        <v>0.13189999999999999</v>
      </c>
      <c r="BG18" s="230">
        <v>26451</v>
      </c>
      <c r="BH18" s="230">
        <v>31150</v>
      </c>
      <c r="BI18" s="230">
        <v>-4699</v>
      </c>
      <c r="BJ18" s="229">
        <v>-0.15090000000000001</v>
      </c>
      <c r="BK18" s="230">
        <v>14931</v>
      </c>
      <c r="BL18" s="230">
        <v>20813</v>
      </c>
      <c r="BM18" s="230">
        <v>-5882</v>
      </c>
      <c r="BN18" s="229">
        <v>-0.28260000000000002</v>
      </c>
      <c r="BO18" s="230">
        <v>79363</v>
      </c>
      <c r="BP18" s="230">
        <v>92169</v>
      </c>
      <c r="BQ18" s="230">
        <v>-12806</v>
      </c>
      <c r="BR18" s="229">
        <v>-0.1389</v>
      </c>
      <c r="BS18" s="230">
        <v>1432622</v>
      </c>
      <c r="BT18" s="230">
        <v>1556662</v>
      </c>
      <c r="BU18" s="230">
        <v>-124040</v>
      </c>
      <c r="BV18" s="229">
        <v>-7.9699999999999993E-2</v>
      </c>
      <c r="BW18" s="230">
        <v>18294850</v>
      </c>
      <c r="BX18" s="230">
        <v>18019400</v>
      </c>
      <c r="BY18" s="230">
        <v>275450</v>
      </c>
      <c r="BZ18" s="229">
        <v>1.5299999999999999E-2</v>
      </c>
      <c r="CA18" s="230">
        <v>3228750</v>
      </c>
      <c r="CB18" s="230">
        <v>8045450</v>
      </c>
      <c r="CC18" s="230">
        <v>-4816700</v>
      </c>
      <c r="CD18" s="229">
        <v>-0.59870000000000001</v>
      </c>
      <c r="CE18" s="230">
        <v>14906850</v>
      </c>
      <c r="CF18" s="230">
        <v>9840250</v>
      </c>
      <c r="CG18" s="230">
        <v>5066600</v>
      </c>
      <c r="CH18" s="229">
        <v>0.51490000000000002</v>
      </c>
      <c r="CI18" s="230">
        <v>159250</v>
      </c>
      <c r="CJ18" s="230">
        <v>133700</v>
      </c>
      <c r="CK18" s="230">
        <v>25550</v>
      </c>
      <c r="CL18" s="229">
        <v>0.19109999999999999</v>
      </c>
      <c r="CM18" s="230">
        <v>7290500</v>
      </c>
      <c r="CN18" s="230">
        <v>8018150</v>
      </c>
      <c r="CO18" s="230">
        <v>-727650</v>
      </c>
      <c r="CP18" s="229">
        <v>-9.0800000000000006E-2</v>
      </c>
      <c r="CQ18" s="230">
        <v>4918550</v>
      </c>
      <c r="CR18" s="230">
        <v>5047700</v>
      </c>
      <c r="CS18" s="230">
        <v>-129150</v>
      </c>
      <c r="CT18" s="229">
        <v>-2.5600000000000001E-2</v>
      </c>
      <c r="CU18" s="230">
        <v>30503900</v>
      </c>
      <c r="CV18" s="230">
        <v>31085250</v>
      </c>
      <c r="CW18" s="230">
        <v>-581350</v>
      </c>
      <c r="CX18" s="229">
        <v>-1.8700000000000001E-2</v>
      </c>
      <c r="CY18" s="228">
        <v>21.27</v>
      </c>
      <c r="CZ18" s="228">
        <v>21.16</v>
      </c>
      <c r="DA18" s="228">
        <v>0.11</v>
      </c>
      <c r="DB18" s="228">
        <v>0.11</v>
      </c>
      <c r="DC18" s="228">
        <v>28.77</v>
      </c>
      <c r="DD18" s="228">
        <v>28.83</v>
      </c>
      <c r="DE18" s="228">
        <v>-7.5</v>
      </c>
      <c r="DF18" s="228">
        <v>-0.06</v>
      </c>
      <c r="DG18" s="228">
        <v>21.25</v>
      </c>
      <c r="DH18" s="228">
        <v>21.09</v>
      </c>
      <c r="DI18" s="228">
        <v>0.16</v>
      </c>
      <c r="DJ18" s="228">
        <v>0.16</v>
      </c>
      <c r="DK18" s="228">
        <v>21.3</v>
      </c>
      <c r="DL18" s="228">
        <v>21.29</v>
      </c>
      <c r="DM18" s="228">
        <v>0.01</v>
      </c>
      <c r="DN18" s="228">
        <v>0.01</v>
      </c>
      <c r="DO18" s="228">
        <v>0.67</v>
      </c>
      <c r="DP18" s="228">
        <v>0.63</v>
      </c>
      <c r="DQ18" s="228">
        <v>0.04</v>
      </c>
      <c r="DR18" s="229">
        <v>6.3500000000000001E-2</v>
      </c>
      <c r="DS18" s="231">
        <v>1600</v>
      </c>
      <c r="DT18" s="231">
        <v>1500</v>
      </c>
      <c r="DU18" s="228">
        <v>0.56000000000000005</v>
      </c>
      <c r="DV18" s="228">
        <v>0.67</v>
      </c>
      <c r="DW18" s="228">
        <v>-0.11</v>
      </c>
      <c r="DX18" s="229">
        <v>-0.16420000000000001</v>
      </c>
      <c r="DY18" s="229">
        <v>0.82350000000000001</v>
      </c>
      <c r="DZ18" s="230">
        <v>9973950</v>
      </c>
      <c r="EA18" s="229">
        <v>5.7000000000000002E-3</v>
      </c>
      <c r="EB18" s="229">
        <v>0.82350000000000001</v>
      </c>
      <c r="EC18" s="228">
        <v>8.52</v>
      </c>
      <c r="ED18" s="229">
        <v>5.4999999999999997E-3</v>
      </c>
      <c r="EE18" s="230">
        <v>854993</v>
      </c>
      <c r="EF18" s="230">
        <v>984153</v>
      </c>
      <c r="EG18" s="229">
        <v>-0.13120000000000001</v>
      </c>
      <c r="EH18" s="229">
        <v>0.5968</v>
      </c>
      <c r="EI18" s="231">
        <v>146120.32999999999</v>
      </c>
      <c r="EJ18" s="231">
        <v>78951.33</v>
      </c>
      <c r="EK18" s="231">
        <v>205201.61</v>
      </c>
      <c r="EL18" s="231">
        <v>20525</v>
      </c>
      <c r="EM18" s="231">
        <v>430273.27</v>
      </c>
      <c r="EN18" s="231">
        <v>496115.37</v>
      </c>
      <c r="EO18" s="231">
        <v>-65842.100000000006</v>
      </c>
      <c r="EP18" s="229">
        <v>-0.13270000000000001</v>
      </c>
      <c r="EQ18" s="231">
        <v>113719</v>
      </c>
      <c r="ER18" s="231">
        <v>70211</v>
      </c>
      <c r="ES18" s="231">
        <v>282226</v>
      </c>
      <c r="ET18" s="231">
        <v>145993539</v>
      </c>
      <c r="EU18" s="231">
        <v>466155</v>
      </c>
      <c r="EV18" s="231">
        <v>471895</v>
      </c>
      <c r="EW18" s="231">
        <v>-5740</v>
      </c>
      <c r="EX18" s="229">
        <v>-1.2200000000000001E-2</v>
      </c>
      <c r="EY18" s="229">
        <v>0.2089</v>
      </c>
    </row>
    <row r="19" spans="1:155" ht="17.25" thickBot="1" x14ac:dyDescent="0.3">
      <c r="A19" s="226">
        <v>45957</v>
      </c>
      <c r="B19" s="227" t="s">
        <v>172</v>
      </c>
      <c r="C19" s="227" t="s">
        <v>224</v>
      </c>
      <c r="D19" s="231">
        <v>1004.3</v>
      </c>
      <c r="E19" s="228">
        <v>994.15</v>
      </c>
      <c r="F19" s="228">
        <v>10.15</v>
      </c>
      <c r="G19" s="229">
        <v>1.0200000000000001E-2</v>
      </c>
      <c r="H19" s="231">
        <v>1002.95</v>
      </c>
      <c r="I19" s="228">
        <v>994.75</v>
      </c>
      <c r="J19" s="228">
        <v>8.1999999999999993</v>
      </c>
      <c r="K19" s="229">
        <v>8.2000000000000007E-3</v>
      </c>
      <c r="L19" s="231">
        <v>1004.3</v>
      </c>
      <c r="M19" s="228">
        <v>994.15</v>
      </c>
      <c r="N19" s="228">
        <v>10.15</v>
      </c>
      <c r="O19" s="229">
        <v>1.0200000000000001E-2</v>
      </c>
      <c r="P19" s="231">
        <v>1009.95</v>
      </c>
      <c r="Q19" s="231">
        <v>1000</v>
      </c>
      <c r="R19" s="228">
        <v>9.9499999999999993</v>
      </c>
      <c r="S19" s="229">
        <v>0.01</v>
      </c>
      <c r="T19" s="231">
        <v>1016.75</v>
      </c>
      <c r="U19" s="231">
        <v>1006.25</v>
      </c>
      <c r="V19" s="228">
        <v>10.5</v>
      </c>
      <c r="W19" s="229">
        <v>1.04E-2</v>
      </c>
      <c r="X19" s="228">
        <v>1.35</v>
      </c>
      <c r="Y19" s="228">
        <v>-0.6</v>
      </c>
      <c r="Z19" s="228">
        <v>1.95</v>
      </c>
      <c r="AA19" s="229">
        <v>1.2999999999999999E-3</v>
      </c>
      <c r="AB19" s="228">
        <v>1.35</v>
      </c>
      <c r="AC19" s="228">
        <v>-0.6</v>
      </c>
      <c r="AD19" s="228">
        <v>1.95</v>
      </c>
      <c r="AE19" s="229">
        <v>1.2999999999999999E-3</v>
      </c>
      <c r="AF19" s="228">
        <v>7</v>
      </c>
      <c r="AG19" s="228">
        <v>5.25</v>
      </c>
      <c r="AH19" s="228">
        <v>1.75</v>
      </c>
      <c r="AI19" s="229">
        <v>7.0000000000000001E-3</v>
      </c>
      <c r="AJ19" s="228">
        <v>13.8</v>
      </c>
      <c r="AK19" s="228">
        <v>11.5</v>
      </c>
      <c r="AL19" s="228">
        <v>2.2999999999999998</v>
      </c>
      <c r="AM19" s="229">
        <v>1.38E-2</v>
      </c>
      <c r="AN19" s="231">
        <v>1005.41</v>
      </c>
      <c r="AO19" s="231">
        <v>1011.17</v>
      </c>
      <c r="AP19" s="228">
        <v>0</v>
      </c>
      <c r="AQ19" s="230">
        <v>100644</v>
      </c>
      <c r="AR19" s="230">
        <v>131044</v>
      </c>
      <c r="AS19" s="230">
        <v>-30400</v>
      </c>
      <c r="AT19" s="229">
        <v>-0.23200000000000001</v>
      </c>
      <c r="AU19" s="230">
        <v>48530</v>
      </c>
      <c r="AV19" s="230">
        <v>66922</v>
      </c>
      <c r="AW19" s="230">
        <v>-18392</v>
      </c>
      <c r="AX19" s="229">
        <v>-0.27479999999999999</v>
      </c>
      <c r="AY19" s="230">
        <v>51718</v>
      </c>
      <c r="AZ19" s="230">
        <v>63817</v>
      </c>
      <c r="BA19" s="230">
        <v>-12099</v>
      </c>
      <c r="BB19" s="229">
        <v>-0.18959999999999999</v>
      </c>
      <c r="BC19" s="228">
        <v>396</v>
      </c>
      <c r="BD19" s="228">
        <v>305</v>
      </c>
      <c r="BE19" s="228">
        <v>91</v>
      </c>
      <c r="BF19" s="229">
        <v>0.2984</v>
      </c>
      <c r="BG19" s="230">
        <v>81257</v>
      </c>
      <c r="BH19" s="230">
        <v>86102</v>
      </c>
      <c r="BI19" s="230">
        <v>-4845</v>
      </c>
      <c r="BJ19" s="229">
        <v>-5.6300000000000003E-2</v>
      </c>
      <c r="BK19" s="230">
        <v>54001</v>
      </c>
      <c r="BL19" s="230">
        <v>72994</v>
      </c>
      <c r="BM19" s="230">
        <v>-18993</v>
      </c>
      <c r="BN19" s="229">
        <v>-0.26019999999999999</v>
      </c>
      <c r="BO19" s="230">
        <v>235902</v>
      </c>
      <c r="BP19" s="230">
        <v>290140</v>
      </c>
      <c r="BQ19" s="230">
        <v>-54238</v>
      </c>
      <c r="BR19" s="229">
        <v>-0.18690000000000001</v>
      </c>
      <c r="BS19" s="230">
        <v>15988637</v>
      </c>
      <c r="BT19" s="230">
        <v>18053780</v>
      </c>
      <c r="BU19" s="230">
        <v>-2065143</v>
      </c>
      <c r="BV19" s="229">
        <v>-0.1144</v>
      </c>
      <c r="BW19" s="230">
        <v>210641200</v>
      </c>
      <c r="BX19" s="230">
        <v>212543100</v>
      </c>
      <c r="BY19" s="230">
        <v>-1901900</v>
      </c>
      <c r="BZ19" s="229">
        <v>-8.8999999999999999E-3</v>
      </c>
      <c r="CA19" s="230">
        <v>30690000</v>
      </c>
      <c r="CB19" s="230">
        <v>75885700</v>
      </c>
      <c r="CC19" s="230">
        <v>-45195700</v>
      </c>
      <c r="CD19" s="229">
        <v>-0.59560000000000002</v>
      </c>
      <c r="CE19" s="230">
        <v>174868100</v>
      </c>
      <c r="CF19" s="230">
        <v>131692000</v>
      </c>
      <c r="CG19" s="230">
        <v>43176100</v>
      </c>
      <c r="CH19" s="229">
        <v>0.32790000000000002</v>
      </c>
      <c r="CI19" s="230">
        <v>5083100</v>
      </c>
      <c r="CJ19" s="230">
        <v>4965400</v>
      </c>
      <c r="CK19" s="230">
        <v>117700</v>
      </c>
      <c r="CL19" s="229">
        <v>2.3699999999999999E-2</v>
      </c>
      <c r="CM19" s="230">
        <v>33664400</v>
      </c>
      <c r="CN19" s="230">
        <v>37582600</v>
      </c>
      <c r="CO19" s="230">
        <v>-3918200</v>
      </c>
      <c r="CP19" s="229">
        <v>-0.1043</v>
      </c>
      <c r="CQ19" s="230">
        <v>31660200</v>
      </c>
      <c r="CR19" s="230">
        <v>32818500</v>
      </c>
      <c r="CS19" s="230">
        <v>-1158300</v>
      </c>
      <c r="CT19" s="229">
        <v>-3.5299999999999998E-2</v>
      </c>
      <c r="CU19" s="230">
        <v>275965800</v>
      </c>
      <c r="CV19" s="230">
        <v>282944200</v>
      </c>
      <c r="CW19" s="230">
        <v>-6978400</v>
      </c>
      <c r="CX19" s="229">
        <v>-2.47E-2</v>
      </c>
      <c r="CY19" s="228">
        <v>16.93</v>
      </c>
      <c r="CZ19" s="228">
        <v>17</v>
      </c>
      <c r="DA19" s="228">
        <v>-7.0000000000000007E-2</v>
      </c>
      <c r="DB19" s="228">
        <v>-7.0000000000000007E-2</v>
      </c>
      <c r="DC19" s="228">
        <v>21.04</v>
      </c>
      <c r="DD19" s="228">
        <v>21.06</v>
      </c>
      <c r="DE19" s="228">
        <v>-4.1100000000000003</v>
      </c>
      <c r="DF19" s="228">
        <v>-0.02</v>
      </c>
      <c r="DG19" s="228">
        <v>16.71</v>
      </c>
      <c r="DH19" s="228">
        <v>16.739999999999998</v>
      </c>
      <c r="DI19" s="228">
        <v>-0.03</v>
      </c>
      <c r="DJ19" s="228">
        <v>-0.03</v>
      </c>
      <c r="DK19" s="228">
        <v>17.29</v>
      </c>
      <c r="DL19" s="228">
        <v>17.38</v>
      </c>
      <c r="DM19" s="228">
        <v>-0.09</v>
      </c>
      <c r="DN19" s="228">
        <v>-0.09</v>
      </c>
      <c r="DO19" s="228">
        <v>0.94</v>
      </c>
      <c r="DP19" s="228">
        <v>0.87</v>
      </c>
      <c r="DQ19" s="228">
        <v>7.0000000000000007E-2</v>
      </c>
      <c r="DR19" s="229">
        <v>8.0500000000000002E-2</v>
      </c>
      <c r="DS19" s="231">
        <v>1020</v>
      </c>
      <c r="DT19" s="231">
        <v>1000</v>
      </c>
      <c r="DU19" s="228">
        <v>0.66</v>
      </c>
      <c r="DV19" s="228">
        <v>0.85</v>
      </c>
      <c r="DW19" s="228">
        <v>-0.19</v>
      </c>
      <c r="DX19" s="229">
        <v>-0.2235</v>
      </c>
      <c r="DY19" s="229">
        <v>0.85429999999999995</v>
      </c>
      <c r="DZ19" s="230">
        <v>136657400</v>
      </c>
      <c r="EA19" s="229">
        <v>5.5999999999999999E-3</v>
      </c>
      <c r="EB19" s="229">
        <v>0.85429999999999995</v>
      </c>
      <c r="EC19" s="228">
        <v>5.76</v>
      </c>
      <c r="ED19" s="229">
        <v>5.7000000000000002E-3</v>
      </c>
      <c r="EE19" s="230">
        <v>11001548</v>
      </c>
      <c r="EF19" s="230">
        <v>10501298</v>
      </c>
      <c r="EG19" s="229">
        <v>4.7600000000000003E-2</v>
      </c>
      <c r="EH19" s="229">
        <v>0.68810000000000004</v>
      </c>
      <c r="EI19" s="231">
        <v>913987.53</v>
      </c>
      <c r="EJ19" s="231">
        <v>590634.29</v>
      </c>
      <c r="EK19" s="231">
        <v>1116403.68</v>
      </c>
      <c r="EL19" s="231">
        <v>73153</v>
      </c>
      <c r="EM19" s="231">
        <v>2621025.5</v>
      </c>
      <c r="EN19" s="231">
        <v>3210776.95</v>
      </c>
      <c r="EO19" s="231">
        <v>-589751.44999999995</v>
      </c>
      <c r="EP19" s="229">
        <v>-0.1837</v>
      </c>
      <c r="EQ19" s="231">
        <v>344612</v>
      </c>
      <c r="ER19" s="231">
        <v>305967</v>
      </c>
      <c r="ES19" s="231">
        <v>2125982</v>
      </c>
      <c r="ET19" s="231">
        <v>1329733550</v>
      </c>
      <c r="EU19" s="231">
        <v>2776562</v>
      </c>
      <c r="EV19" s="231">
        <v>2821841</v>
      </c>
      <c r="EW19" s="231">
        <v>-45279</v>
      </c>
      <c r="EX19" s="229">
        <v>-1.6E-2</v>
      </c>
      <c r="EY19" s="229">
        <v>0.20749999999999999</v>
      </c>
    </row>
    <row r="20" spans="1:155" ht="17.25" thickBot="1" x14ac:dyDescent="0.3">
      <c r="A20" s="226">
        <v>45957</v>
      </c>
      <c r="B20" s="227" t="s">
        <v>175</v>
      </c>
      <c r="C20" s="227" t="s">
        <v>225</v>
      </c>
      <c r="D20" s="228">
        <v>739.3</v>
      </c>
      <c r="E20" s="228">
        <v>735.8</v>
      </c>
      <c r="F20" s="228">
        <v>3.5</v>
      </c>
      <c r="G20" s="229">
        <v>4.7999999999999996E-3</v>
      </c>
      <c r="H20" s="228">
        <v>737.25</v>
      </c>
      <c r="I20" s="228">
        <v>734.95</v>
      </c>
      <c r="J20" s="228">
        <v>2.2999999999999998</v>
      </c>
      <c r="K20" s="229">
        <v>3.0999999999999999E-3</v>
      </c>
      <c r="L20" s="228">
        <v>739.3</v>
      </c>
      <c r="M20" s="228">
        <v>735.8</v>
      </c>
      <c r="N20" s="228">
        <v>3.5</v>
      </c>
      <c r="O20" s="229">
        <v>4.7999999999999996E-3</v>
      </c>
      <c r="P20" s="228">
        <v>742.15</v>
      </c>
      <c r="Q20" s="228">
        <v>739.7</v>
      </c>
      <c r="R20" s="228">
        <v>2.4500000000000002</v>
      </c>
      <c r="S20" s="229">
        <v>3.3E-3</v>
      </c>
      <c r="T20" s="228">
        <v>746.75</v>
      </c>
      <c r="U20" s="228">
        <v>745.2</v>
      </c>
      <c r="V20" s="228">
        <v>1.55</v>
      </c>
      <c r="W20" s="229">
        <v>2.0999999999999999E-3</v>
      </c>
      <c r="X20" s="228">
        <v>2.0499999999999998</v>
      </c>
      <c r="Y20" s="228">
        <v>0.85</v>
      </c>
      <c r="Z20" s="228">
        <v>1.2</v>
      </c>
      <c r="AA20" s="229">
        <v>2.8E-3</v>
      </c>
      <c r="AB20" s="228">
        <v>2.0499999999999998</v>
      </c>
      <c r="AC20" s="228">
        <v>0.85</v>
      </c>
      <c r="AD20" s="228">
        <v>1.2</v>
      </c>
      <c r="AE20" s="229">
        <v>2.8E-3</v>
      </c>
      <c r="AF20" s="228">
        <v>4.9000000000000004</v>
      </c>
      <c r="AG20" s="228">
        <v>4.75</v>
      </c>
      <c r="AH20" s="228">
        <v>0.15</v>
      </c>
      <c r="AI20" s="229">
        <v>6.6E-3</v>
      </c>
      <c r="AJ20" s="228">
        <v>9.5</v>
      </c>
      <c r="AK20" s="228">
        <v>10.25</v>
      </c>
      <c r="AL20" s="228">
        <v>-0.75</v>
      </c>
      <c r="AM20" s="229">
        <v>1.29E-2</v>
      </c>
      <c r="AN20" s="228">
        <v>738.08</v>
      </c>
      <c r="AO20" s="228">
        <v>741.91</v>
      </c>
      <c r="AP20" s="228">
        <v>0</v>
      </c>
      <c r="AQ20" s="230">
        <v>26169</v>
      </c>
      <c r="AR20" s="230">
        <v>21748</v>
      </c>
      <c r="AS20" s="230">
        <v>4421</v>
      </c>
      <c r="AT20" s="229">
        <v>0.20330000000000001</v>
      </c>
      <c r="AU20" s="230">
        <v>12315</v>
      </c>
      <c r="AV20" s="230">
        <v>10602</v>
      </c>
      <c r="AW20" s="230">
        <v>1713</v>
      </c>
      <c r="AX20" s="229">
        <v>0.16159999999999999</v>
      </c>
      <c r="AY20" s="230">
        <v>13746</v>
      </c>
      <c r="AZ20" s="230">
        <v>11091</v>
      </c>
      <c r="BA20" s="230">
        <v>2655</v>
      </c>
      <c r="BB20" s="229">
        <v>0.2394</v>
      </c>
      <c r="BC20" s="228">
        <v>108</v>
      </c>
      <c r="BD20" s="228">
        <v>55</v>
      </c>
      <c r="BE20" s="228">
        <v>53</v>
      </c>
      <c r="BF20" s="229">
        <v>0.96360000000000001</v>
      </c>
      <c r="BG20" s="230">
        <v>15173</v>
      </c>
      <c r="BH20" s="230">
        <v>11858</v>
      </c>
      <c r="BI20" s="230">
        <v>3315</v>
      </c>
      <c r="BJ20" s="229">
        <v>0.27960000000000002</v>
      </c>
      <c r="BK20" s="230">
        <v>6644</v>
      </c>
      <c r="BL20" s="230">
        <v>3985</v>
      </c>
      <c r="BM20" s="230">
        <v>2659</v>
      </c>
      <c r="BN20" s="229">
        <v>0.6673</v>
      </c>
      <c r="BO20" s="230">
        <v>47986</v>
      </c>
      <c r="BP20" s="230">
        <v>37591</v>
      </c>
      <c r="BQ20" s="230">
        <v>10395</v>
      </c>
      <c r="BR20" s="229">
        <v>0.27650000000000002</v>
      </c>
      <c r="BS20" s="230">
        <v>3804039</v>
      </c>
      <c r="BT20" s="230">
        <v>2769438</v>
      </c>
      <c r="BU20" s="230">
        <v>1034601</v>
      </c>
      <c r="BV20" s="229">
        <v>0.37359999999999999</v>
      </c>
      <c r="BW20" s="230">
        <v>33405900</v>
      </c>
      <c r="BX20" s="230">
        <v>33933900</v>
      </c>
      <c r="BY20" s="230">
        <v>-528000</v>
      </c>
      <c r="BZ20" s="229">
        <v>-1.5599999999999999E-2</v>
      </c>
      <c r="CA20" s="230">
        <v>4288900</v>
      </c>
      <c r="CB20" s="230">
        <v>14523300</v>
      </c>
      <c r="CC20" s="230">
        <v>-10234400</v>
      </c>
      <c r="CD20" s="229">
        <v>-0.70469999999999999</v>
      </c>
      <c r="CE20" s="230">
        <v>28894800</v>
      </c>
      <c r="CF20" s="230">
        <v>19230200</v>
      </c>
      <c r="CG20" s="230">
        <v>9664600</v>
      </c>
      <c r="CH20" s="229">
        <v>0.50260000000000005</v>
      </c>
      <c r="CI20" s="230">
        <v>222200</v>
      </c>
      <c r="CJ20" s="230">
        <v>180400</v>
      </c>
      <c r="CK20" s="230">
        <v>41800</v>
      </c>
      <c r="CL20" s="229">
        <v>0.23169999999999999</v>
      </c>
      <c r="CM20" s="230">
        <v>12999800</v>
      </c>
      <c r="CN20" s="230">
        <v>13585000</v>
      </c>
      <c r="CO20" s="230">
        <v>-585200</v>
      </c>
      <c r="CP20" s="229">
        <v>-4.3099999999999999E-2</v>
      </c>
      <c r="CQ20" s="230">
        <v>6524100</v>
      </c>
      <c r="CR20" s="230">
        <v>7102700</v>
      </c>
      <c r="CS20" s="230">
        <v>-578600</v>
      </c>
      <c r="CT20" s="229">
        <v>-8.1500000000000003E-2</v>
      </c>
      <c r="CU20" s="230">
        <v>52929800</v>
      </c>
      <c r="CV20" s="230">
        <v>54621600</v>
      </c>
      <c r="CW20" s="230">
        <v>-1691800</v>
      </c>
      <c r="CX20" s="229">
        <v>-3.1E-2</v>
      </c>
      <c r="CY20" s="228">
        <v>19.98</v>
      </c>
      <c r="CZ20" s="228">
        <v>19.79</v>
      </c>
      <c r="DA20" s="228">
        <v>0.19</v>
      </c>
      <c r="DB20" s="228">
        <v>0.19</v>
      </c>
      <c r="DC20" s="228">
        <v>25.79</v>
      </c>
      <c r="DD20" s="228">
        <v>25.85</v>
      </c>
      <c r="DE20" s="228">
        <v>-5.81</v>
      </c>
      <c r="DF20" s="228">
        <v>-0.06</v>
      </c>
      <c r="DG20" s="228">
        <v>20.27</v>
      </c>
      <c r="DH20" s="228">
        <v>20.18</v>
      </c>
      <c r="DI20" s="228">
        <v>0.09</v>
      </c>
      <c r="DJ20" s="228">
        <v>0.09</v>
      </c>
      <c r="DK20" s="228">
        <v>19.27</v>
      </c>
      <c r="DL20" s="228">
        <v>19.100000000000001</v>
      </c>
      <c r="DM20" s="228">
        <v>0.17</v>
      </c>
      <c r="DN20" s="228">
        <v>0.17</v>
      </c>
      <c r="DO20" s="228">
        <v>0.5</v>
      </c>
      <c r="DP20" s="228">
        <v>0.52</v>
      </c>
      <c r="DQ20" s="228">
        <v>-0.02</v>
      </c>
      <c r="DR20" s="229">
        <v>-3.85E-2</v>
      </c>
      <c r="DS20" s="228">
        <v>800</v>
      </c>
      <c r="DT20" s="228">
        <v>740</v>
      </c>
      <c r="DU20" s="228">
        <v>0.44</v>
      </c>
      <c r="DV20" s="228">
        <v>0.34</v>
      </c>
      <c r="DW20" s="228">
        <v>0.1</v>
      </c>
      <c r="DX20" s="229">
        <v>0.29409999999999997</v>
      </c>
      <c r="DY20" s="229">
        <v>0.87160000000000004</v>
      </c>
      <c r="DZ20" s="230">
        <v>19410600</v>
      </c>
      <c r="EA20" s="229">
        <v>3.8999999999999998E-3</v>
      </c>
      <c r="EB20" s="229">
        <v>0.87160000000000004</v>
      </c>
      <c r="EC20" s="228">
        <v>3.83</v>
      </c>
      <c r="ED20" s="229">
        <v>5.1999999999999998E-3</v>
      </c>
      <c r="EE20" s="230">
        <v>2513810</v>
      </c>
      <c r="EF20" s="230">
        <v>2074854</v>
      </c>
      <c r="EG20" s="229">
        <v>0.21160000000000001</v>
      </c>
      <c r="EH20" s="229">
        <v>0.66080000000000005</v>
      </c>
      <c r="EI20" s="231">
        <v>127697.11</v>
      </c>
      <c r="EJ20" s="231">
        <v>54507.03</v>
      </c>
      <c r="EK20" s="231">
        <v>213052.65</v>
      </c>
      <c r="EL20" s="231">
        <v>10604</v>
      </c>
      <c r="EM20" s="231">
        <v>395256.79</v>
      </c>
      <c r="EN20" s="231">
        <v>309812.36</v>
      </c>
      <c r="EO20" s="231">
        <v>85444.43</v>
      </c>
      <c r="EP20" s="229">
        <v>0.27579999999999999</v>
      </c>
      <c r="EQ20" s="231">
        <v>102179</v>
      </c>
      <c r="ER20" s="231">
        <v>47470</v>
      </c>
      <c r="ES20" s="231">
        <v>247810</v>
      </c>
      <c r="ET20" s="231">
        <v>119296253</v>
      </c>
      <c r="EU20" s="231">
        <v>397459</v>
      </c>
      <c r="EV20" s="231">
        <v>409022</v>
      </c>
      <c r="EW20" s="231">
        <v>-11563</v>
      </c>
      <c r="EX20" s="229">
        <v>-2.8299999999999999E-2</v>
      </c>
      <c r="EY20" s="229">
        <v>0.44369999999999998</v>
      </c>
    </row>
    <row r="21" spans="1:155" ht="17.25" thickBot="1" x14ac:dyDescent="0.3">
      <c r="A21" s="226">
        <v>45957</v>
      </c>
      <c r="B21" s="227" t="s">
        <v>227</v>
      </c>
      <c r="C21" s="227" t="s">
        <v>228</v>
      </c>
      <c r="D21" s="228">
        <v>840.8</v>
      </c>
      <c r="E21" s="228">
        <v>822.65</v>
      </c>
      <c r="F21" s="228">
        <v>18.149999999999999</v>
      </c>
      <c r="G21" s="229">
        <v>2.2100000000000002E-2</v>
      </c>
      <c r="H21" s="228">
        <v>840.85</v>
      </c>
      <c r="I21" s="228">
        <v>824.45</v>
      </c>
      <c r="J21" s="228">
        <v>16.399999999999999</v>
      </c>
      <c r="K21" s="229">
        <v>1.9900000000000001E-2</v>
      </c>
      <c r="L21" s="228">
        <v>840.8</v>
      </c>
      <c r="M21" s="228">
        <v>822.65</v>
      </c>
      <c r="N21" s="228">
        <v>18.149999999999999</v>
      </c>
      <c r="O21" s="229">
        <v>2.2100000000000002E-2</v>
      </c>
      <c r="P21" s="228">
        <v>846.05</v>
      </c>
      <c r="Q21" s="228">
        <v>827.4</v>
      </c>
      <c r="R21" s="228">
        <v>18.649999999999999</v>
      </c>
      <c r="S21" s="229">
        <v>2.2499999999999999E-2</v>
      </c>
      <c r="T21" s="228">
        <v>851.3</v>
      </c>
      <c r="U21" s="228">
        <v>833.2</v>
      </c>
      <c r="V21" s="228">
        <v>18.100000000000001</v>
      </c>
      <c r="W21" s="229">
        <v>2.1700000000000001E-2</v>
      </c>
      <c r="X21" s="228">
        <v>-0.05</v>
      </c>
      <c r="Y21" s="228">
        <v>-1.8</v>
      </c>
      <c r="Z21" s="228">
        <v>1.75</v>
      </c>
      <c r="AA21" s="229">
        <v>-1E-4</v>
      </c>
      <c r="AB21" s="228">
        <v>-0.05</v>
      </c>
      <c r="AC21" s="228">
        <v>-1.8</v>
      </c>
      <c r="AD21" s="228">
        <v>1.75</v>
      </c>
      <c r="AE21" s="229">
        <v>-1E-4</v>
      </c>
      <c r="AF21" s="228">
        <v>5.2</v>
      </c>
      <c r="AG21" s="228">
        <v>2.95</v>
      </c>
      <c r="AH21" s="228">
        <v>2.25</v>
      </c>
      <c r="AI21" s="229">
        <v>6.1999999999999998E-3</v>
      </c>
      <c r="AJ21" s="228">
        <v>10.45</v>
      </c>
      <c r="AK21" s="228">
        <v>8.75</v>
      </c>
      <c r="AL21" s="228">
        <v>1.7</v>
      </c>
      <c r="AM21" s="229">
        <v>1.24E-2</v>
      </c>
      <c r="AN21" s="228">
        <v>835.7</v>
      </c>
      <c r="AO21" s="228">
        <v>841.03</v>
      </c>
      <c r="AP21" s="228">
        <v>0</v>
      </c>
      <c r="AQ21" s="230">
        <v>25901</v>
      </c>
      <c r="AR21" s="230">
        <v>35130</v>
      </c>
      <c r="AS21" s="230">
        <v>-9229</v>
      </c>
      <c r="AT21" s="229">
        <v>-0.26269999999999999</v>
      </c>
      <c r="AU21" s="230">
        <v>11767</v>
      </c>
      <c r="AV21" s="230">
        <v>18661</v>
      </c>
      <c r="AW21" s="230">
        <v>-6894</v>
      </c>
      <c r="AX21" s="229">
        <v>-0.36940000000000001</v>
      </c>
      <c r="AY21" s="230">
        <v>13904</v>
      </c>
      <c r="AZ21" s="230">
        <v>16237</v>
      </c>
      <c r="BA21" s="230">
        <v>-2333</v>
      </c>
      <c r="BB21" s="229">
        <v>-0.14369999999999999</v>
      </c>
      <c r="BC21" s="228">
        <v>230</v>
      </c>
      <c r="BD21" s="228">
        <v>232</v>
      </c>
      <c r="BE21" s="228">
        <v>-2</v>
      </c>
      <c r="BF21" s="229">
        <v>-8.6E-3</v>
      </c>
      <c r="BG21" s="230">
        <v>51744</v>
      </c>
      <c r="BH21" s="230">
        <v>115022</v>
      </c>
      <c r="BI21" s="230">
        <v>-63278</v>
      </c>
      <c r="BJ21" s="229">
        <v>-0.55010000000000003</v>
      </c>
      <c r="BK21" s="230">
        <v>31464</v>
      </c>
      <c r="BL21" s="230">
        <v>48328</v>
      </c>
      <c r="BM21" s="230">
        <v>-16864</v>
      </c>
      <c r="BN21" s="229">
        <v>-0.34889999999999999</v>
      </c>
      <c r="BO21" s="230">
        <v>109109</v>
      </c>
      <c r="BP21" s="230">
        <v>198480</v>
      </c>
      <c r="BQ21" s="230">
        <v>-89371</v>
      </c>
      <c r="BR21" s="229">
        <v>-0.45029999999999998</v>
      </c>
      <c r="BS21" s="230">
        <v>8242621</v>
      </c>
      <c r="BT21" s="230">
        <v>17783426</v>
      </c>
      <c r="BU21" s="230">
        <v>-9540805</v>
      </c>
      <c r="BV21" s="229">
        <v>-0.53649999999999998</v>
      </c>
      <c r="BW21" s="230">
        <v>65990400</v>
      </c>
      <c r="BX21" s="230">
        <v>64671600</v>
      </c>
      <c r="BY21" s="230">
        <v>1318800</v>
      </c>
      <c r="BZ21" s="229">
        <v>2.0400000000000001E-2</v>
      </c>
      <c r="CA21" s="230">
        <v>10946600</v>
      </c>
      <c r="CB21" s="230">
        <v>21018200</v>
      </c>
      <c r="CC21" s="230">
        <v>-10071600</v>
      </c>
      <c r="CD21" s="229">
        <v>-0.47920000000000001</v>
      </c>
      <c r="CE21" s="230">
        <v>54635000</v>
      </c>
      <c r="CF21" s="230">
        <v>43334200</v>
      </c>
      <c r="CG21" s="230">
        <v>11300800</v>
      </c>
      <c r="CH21" s="229">
        <v>0.26079999999999998</v>
      </c>
      <c r="CI21" s="230">
        <v>408800</v>
      </c>
      <c r="CJ21" s="230">
        <v>319200</v>
      </c>
      <c r="CK21" s="230">
        <v>89600</v>
      </c>
      <c r="CL21" s="229">
        <v>0.28070000000000001</v>
      </c>
      <c r="CM21" s="230">
        <v>18016600</v>
      </c>
      <c r="CN21" s="230">
        <v>20071800</v>
      </c>
      <c r="CO21" s="230">
        <v>-2055200</v>
      </c>
      <c r="CP21" s="229">
        <v>-0.1024</v>
      </c>
      <c r="CQ21" s="230">
        <v>19131000</v>
      </c>
      <c r="CR21" s="230">
        <v>17154200</v>
      </c>
      <c r="CS21" s="230">
        <v>1976800</v>
      </c>
      <c r="CT21" s="229">
        <v>0.1152</v>
      </c>
      <c r="CU21" s="230">
        <v>103138000</v>
      </c>
      <c r="CV21" s="230">
        <v>101897600</v>
      </c>
      <c r="CW21" s="230">
        <v>1240400</v>
      </c>
      <c r="CX21" s="229">
        <v>1.2200000000000001E-2</v>
      </c>
      <c r="CY21" s="228">
        <v>28.41</v>
      </c>
      <c r="CZ21" s="228">
        <v>28.09</v>
      </c>
      <c r="DA21" s="228">
        <v>0.32</v>
      </c>
      <c r="DB21" s="228">
        <v>0.32</v>
      </c>
      <c r="DC21" s="228">
        <v>33.28</v>
      </c>
      <c r="DD21" s="228">
        <v>33.26</v>
      </c>
      <c r="DE21" s="228">
        <v>-4.87</v>
      </c>
      <c r="DF21" s="228">
        <v>0.02</v>
      </c>
      <c r="DG21" s="228">
        <v>27.71</v>
      </c>
      <c r="DH21" s="228">
        <v>27.86</v>
      </c>
      <c r="DI21" s="228">
        <v>-0.15</v>
      </c>
      <c r="DJ21" s="228">
        <v>-0.15</v>
      </c>
      <c r="DK21" s="228">
        <v>29.49</v>
      </c>
      <c r="DL21" s="228">
        <v>28.5</v>
      </c>
      <c r="DM21" s="228">
        <v>0.99</v>
      </c>
      <c r="DN21" s="228">
        <v>0.99</v>
      </c>
      <c r="DO21" s="228">
        <v>1.06</v>
      </c>
      <c r="DP21" s="228">
        <v>0.85</v>
      </c>
      <c r="DQ21" s="228">
        <v>0.21</v>
      </c>
      <c r="DR21" s="229">
        <v>0.24709999999999999</v>
      </c>
      <c r="DS21" s="228">
        <v>800</v>
      </c>
      <c r="DT21" s="228">
        <v>820</v>
      </c>
      <c r="DU21" s="228">
        <v>0.61</v>
      </c>
      <c r="DV21" s="228">
        <v>0.42</v>
      </c>
      <c r="DW21" s="228">
        <v>0.19</v>
      </c>
      <c r="DX21" s="229">
        <v>0.45240000000000002</v>
      </c>
      <c r="DY21" s="229">
        <v>0.83409999999999995</v>
      </c>
      <c r="DZ21" s="230">
        <v>43653400</v>
      </c>
      <c r="EA21" s="229">
        <v>6.1999999999999998E-3</v>
      </c>
      <c r="EB21" s="229">
        <v>0.83409999999999995</v>
      </c>
      <c r="EC21" s="228">
        <v>5.33</v>
      </c>
      <c r="ED21" s="229">
        <v>6.4000000000000003E-3</v>
      </c>
      <c r="EE21" s="230">
        <v>4066043</v>
      </c>
      <c r="EF21" s="230">
        <v>6733340</v>
      </c>
      <c r="EG21" s="229">
        <v>-0.39610000000000001</v>
      </c>
      <c r="EH21" s="229">
        <v>0.49330000000000002</v>
      </c>
      <c r="EI21" s="231">
        <v>619371.84</v>
      </c>
      <c r="EJ21" s="231">
        <v>360963.18</v>
      </c>
      <c r="EK21" s="231">
        <v>304107.15999999997</v>
      </c>
      <c r="EL21" s="231">
        <v>20819</v>
      </c>
      <c r="EM21" s="231">
        <v>1284442.18</v>
      </c>
      <c r="EN21" s="231">
        <v>2306304.77</v>
      </c>
      <c r="EO21" s="231">
        <v>-1021862.59</v>
      </c>
      <c r="EP21" s="229">
        <v>-0.44309999999999999</v>
      </c>
      <c r="EQ21" s="231">
        <v>149284</v>
      </c>
      <c r="ER21" s="231">
        <v>149279</v>
      </c>
      <c r="ES21" s="231">
        <v>557759</v>
      </c>
      <c r="ET21" s="231">
        <v>176136372</v>
      </c>
      <c r="EU21" s="231">
        <v>856322</v>
      </c>
      <c r="EV21" s="231">
        <v>831103</v>
      </c>
      <c r="EW21" s="231">
        <v>25219</v>
      </c>
      <c r="EX21" s="229">
        <v>3.0300000000000001E-2</v>
      </c>
      <c r="EY21" s="229">
        <v>0.58560000000000001</v>
      </c>
    </row>
    <row r="22" spans="1:155" ht="17.25" thickBot="1" x14ac:dyDescent="0.3">
      <c r="A22" s="226">
        <v>45957</v>
      </c>
      <c r="B22" s="227" t="s">
        <v>168</v>
      </c>
      <c r="C22" s="227" t="s">
        <v>230</v>
      </c>
      <c r="D22" s="231">
        <v>2517.1999999999998</v>
      </c>
      <c r="E22" s="231">
        <v>2513.8000000000002</v>
      </c>
      <c r="F22" s="228">
        <v>3.4</v>
      </c>
      <c r="G22" s="229">
        <v>1.4E-3</v>
      </c>
      <c r="H22" s="231">
        <v>2511.8000000000002</v>
      </c>
      <c r="I22" s="231">
        <v>2516.4</v>
      </c>
      <c r="J22" s="228">
        <v>-4.5999999999999996</v>
      </c>
      <c r="K22" s="229">
        <v>-1.8E-3</v>
      </c>
      <c r="L22" s="231">
        <v>2517.1999999999998</v>
      </c>
      <c r="M22" s="231">
        <v>2513.8000000000002</v>
      </c>
      <c r="N22" s="228">
        <v>3.4</v>
      </c>
      <c r="O22" s="229">
        <v>1.4E-3</v>
      </c>
      <c r="P22" s="231">
        <v>2509.5</v>
      </c>
      <c r="Q22" s="231">
        <v>2507.4</v>
      </c>
      <c r="R22" s="228">
        <v>2.1</v>
      </c>
      <c r="S22" s="229">
        <v>8.0000000000000004E-4</v>
      </c>
      <c r="T22" s="231">
        <v>2521</v>
      </c>
      <c r="U22" s="231">
        <v>2522.6</v>
      </c>
      <c r="V22" s="228">
        <v>-1.6</v>
      </c>
      <c r="W22" s="229">
        <v>-5.9999999999999995E-4</v>
      </c>
      <c r="X22" s="228">
        <v>5.4</v>
      </c>
      <c r="Y22" s="228">
        <v>-2.6</v>
      </c>
      <c r="Z22" s="228">
        <v>8</v>
      </c>
      <c r="AA22" s="229">
        <v>2.0999999999999999E-3</v>
      </c>
      <c r="AB22" s="228">
        <v>5.4</v>
      </c>
      <c r="AC22" s="228">
        <v>-2.6</v>
      </c>
      <c r="AD22" s="228">
        <v>8</v>
      </c>
      <c r="AE22" s="229">
        <v>2.0999999999999999E-3</v>
      </c>
      <c r="AF22" s="228">
        <v>-2.2999999999999998</v>
      </c>
      <c r="AG22" s="228">
        <v>-9</v>
      </c>
      <c r="AH22" s="228">
        <v>6.7</v>
      </c>
      <c r="AI22" s="229">
        <v>-8.9999999999999998E-4</v>
      </c>
      <c r="AJ22" s="228">
        <v>9.1999999999999993</v>
      </c>
      <c r="AK22" s="228">
        <v>6.2</v>
      </c>
      <c r="AL22" s="228">
        <v>3</v>
      </c>
      <c r="AM22" s="229">
        <v>3.7000000000000002E-3</v>
      </c>
      <c r="AN22" s="231">
        <v>2512.8000000000002</v>
      </c>
      <c r="AO22" s="231">
        <v>2506.65</v>
      </c>
      <c r="AP22" s="228">
        <v>0</v>
      </c>
      <c r="AQ22" s="230">
        <v>38007</v>
      </c>
      <c r="AR22" s="230">
        <v>58694</v>
      </c>
      <c r="AS22" s="230">
        <v>-20687</v>
      </c>
      <c r="AT22" s="229">
        <v>-0.35249999999999998</v>
      </c>
      <c r="AU22" s="230">
        <v>17731</v>
      </c>
      <c r="AV22" s="230">
        <v>29712</v>
      </c>
      <c r="AW22" s="230">
        <v>-11981</v>
      </c>
      <c r="AX22" s="229">
        <v>-0.4032</v>
      </c>
      <c r="AY22" s="230">
        <v>20039</v>
      </c>
      <c r="AZ22" s="230">
        <v>28671</v>
      </c>
      <c r="BA22" s="230">
        <v>-8632</v>
      </c>
      <c r="BB22" s="229">
        <v>-0.30109999999999998</v>
      </c>
      <c r="BC22" s="228">
        <v>237</v>
      </c>
      <c r="BD22" s="228">
        <v>311</v>
      </c>
      <c r="BE22" s="228">
        <v>-74</v>
      </c>
      <c r="BF22" s="229">
        <v>-0.2379</v>
      </c>
      <c r="BG22" s="230">
        <v>56925</v>
      </c>
      <c r="BH22" s="230">
        <v>150710</v>
      </c>
      <c r="BI22" s="230">
        <v>-93785</v>
      </c>
      <c r="BJ22" s="229">
        <v>-0.62229999999999996</v>
      </c>
      <c r="BK22" s="230">
        <v>23938</v>
      </c>
      <c r="BL22" s="230">
        <v>85490</v>
      </c>
      <c r="BM22" s="230">
        <v>-61552</v>
      </c>
      <c r="BN22" s="229">
        <v>-0.72</v>
      </c>
      <c r="BO22" s="230">
        <v>118870</v>
      </c>
      <c r="BP22" s="230">
        <v>294894</v>
      </c>
      <c r="BQ22" s="230">
        <v>-176024</v>
      </c>
      <c r="BR22" s="229">
        <v>-0.59689999999999999</v>
      </c>
      <c r="BS22" s="230">
        <v>2248742</v>
      </c>
      <c r="BT22" s="230">
        <v>3253628</v>
      </c>
      <c r="BU22" s="230">
        <v>-1004886</v>
      </c>
      <c r="BV22" s="229">
        <v>-0.30890000000000001</v>
      </c>
      <c r="BW22" s="230">
        <v>17795700</v>
      </c>
      <c r="BX22" s="230">
        <v>17202600</v>
      </c>
      <c r="BY22" s="230">
        <v>593100</v>
      </c>
      <c r="BZ22" s="229">
        <v>3.4500000000000003E-2</v>
      </c>
      <c r="CA22" s="230">
        <v>1963800</v>
      </c>
      <c r="CB22" s="230">
        <v>5062200</v>
      </c>
      <c r="CC22" s="230">
        <v>-3098400</v>
      </c>
      <c r="CD22" s="229">
        <v>-0.61209999999999998</v>
      </c>
      <c r="CE22" s="230">
        <v>15658500</v>
      </c>
      <c r="CF22" s="230">
        <v>11992500</v>
      </c>
      <c r="CG22" s="230">
        <v>3666000</v>
      </c>
      <c r="CH22" s="229">
        <v>0.30570000000000003</v>
      </c>
      <c r="CI22" s="230">
        <v>173400</v>
      </c>
      <c r="CJ22" s="230">
        <v>147900</v>
      </c>
      <c r="CK22" s="230">
        <v>25500</v>
      </c>
      <c r="CL22" s="229">
        <v>0.1724</v>
      </c>
      <c r="CM22" s="230">
        <v>9993300</v>
      </c>
      <c r="CN22" s="230">
        <v>11636100</v>
      </c>
      <c r="CO22" s="230">
        <v>-1642800</v>
      </c>
      <c r="CP22" s="229">
        <v>-0.14119999999999999</v>
      </c>
      <c r="CQ22" s="230">
        <v>4742700</v>
      </c>
      <c r="CR22" s="230">
        <v>5137200</v>
      </c>
      <c r="CS22" s="230">
        <v>-394500</v>
      </c>
      <c r="CT22" s="229">
        <v>-7.6799999999999993E-2</v>
      </c>
      <c r="CU22" s="230">
        <v>32531700</v>
      </c>
      <c r="CV22" s="230">
        <v>33975900</v>
      </c>
      <c r="CW22" s="230">
        <v>-1444200</v>
      </c>
      <c r="CX22" s="229">
        <v>-4.2500000000000003E-2</v>
      </c>
      <c r="CY22" s="228">
        <v>18.04</v>
      </c>
      <c r="CZ22" s="228">
        <v>18.75</v>
      </c>
      <c r="DA22" s="228">
        <v>-0.71</v>
      </c>
      <c r="DB22" s="228">
        <v>-0.71</v>
      </c>
      <c r="DC22" s="228">
        <v>22.88</v>
      </c>
      <c r="DD22" s="228">
        <v>22.94</v>
      </c>
      <c r="DE22" s="228">
        <v>-4.84</v>
      </c>
      <c r="DF22" s="228">
        <v>-0.06</v>
      </c>
      <c r="DG22" s="228">
        <v>18.399999999999999</v>
      </c>
      <c r="DH22" s="228">
        <v>19.059999999999999</v>
      </c>
      <c r="DI22" s="228">
        <v>-0.66</v>
      </c>
      <c r="DJ22" s="228">
        <v>-0.66</v>
      </c>
      <c r="DK22" s="228">
        <v>17.32</v>
      </c>
      <c r="DL22" s="228">
        <v>18.11</v>
      </c>
      <c r="DM22" s="228">
        <v>-0.79</v>
      </c>
      <c r="DN22" s="228">
        <v>-0.79</v>
      </c>
      <c r="DO22" s="228">
        <v>0.47</v>
      </c>
      <c r="DP22" s="228">
        <v>0.44</v>
      </c>
      <c r="DQ22" s="228">
        <v>0.03</v>
      </c>
      <c r="DR22" s="229">
        <v>6.8199999999999997E-2</v>
      </c>
      <c r="DS22" s="231">
        <v>2600</v>
      </c>
      <c r="DT22" s="231">
        <v>2500</v>
      </c>
      <c r="DU22" s="228">
        <v>0.42</v>
      </c>
      <c r="DV22" s="228">
        <v>0.56999999999999995</v>
      </c>
      <c r="DW22" s="228">
        <v>-0.15</v>
      </c>
      <c r="DX22" s="229">
        <v>-0.26319999999999999</v>
      </c>
      <c r="DY22" s="229">
        <v>0.88959999999999995</v>
      </c>
      <c r="DZ22" s="230">
        <v>12140400</v>
      </c>
      <c r="EA22" s="229">
        <v>-3.0999999999999999E-3</v>
      </c>
      <c r="EB22" s="229">
        <v>0.88959999999999995</v>
      </c>
      <c r="EC22" s="228">
        <v>-6.15</v>
      </c>
      <c r="ED22" s="229">
        <v>-2.3999999999999998E-3</v>
      </c>
      <c r="EE22" s="230">
        <v>1713838</v>
      </c>
      <c r="EF22" s="230">
        <v>1616905</v>
      </c>
      <c r="EG22" s="229">
        <v>5.9900000000000002E-2</v>
      </c>
      <c r="EH22" s="229">
        <v>0.7621</v>
      </c>
      <c r="EI22" s="231">
        <v>443193.62</v>
      </c>
      <c r="EJ22" s="231">
        <v>180516.65</v>
      </c>
      <c r="EK22" s="231">
        <v>286146.73</v>
      </c>
      <c r="EL22" s="231">
        <v>32023</v>
      </c>
      <c r="EM22" s="231">
        <v>909857</v>
      </c>
      <c r="EN22" s="231">
        <v>2265193.94</v>
      </c>
      <c r="EO22" s="231">
        <v>-1355336.94</v>
      </c>
      <c r="EP22" s="229">
        <v>-0.59830000000000005</v>
      </c>
      <c r="EQ22" s="231">
        <v>262538</v>
      </c>
      <c r="ER22" s="231">
        <v>117967</v>
      </c>
      <c r="ES22" s="231">
        <v>446754</v>
      </c>
      <c r="ET22" s="231">
        <v>89517840</v>
      </c>
      <c r="EU22" s="231">
        <v>827258</v>
      </c>
      <c r="EV22" s="231">
        <v>865587</v>
      </c>
      <c r="EW22" s="231">
        <v>-38329</v>
      </c>
      <c r="EX22" s="229">
        <v>-4.4299999999999999E-2</v>
      </c>
      <c r="EY22" s="229">
        <v>0.3634</v>
      </c>
    </row>
    <row r="23" spans="1:155" ht="17.25" thickBot="1" x14ac:dyDescent="0.3">
      <c r="A23" s="226">
        <v>45957</v>
      </c>
      <c r="B23" s="227" t="s">
        <v>172</v>
      </c>
      <c r="C23" s="227" t="s">
        <v>232</v>
      </c>
      <c r="D23" s="231">
        <v>1378</v>
      </c>
      <c r="E23" s="231">
        <v>1378</v>
      </c>
      <c r="F23" s="228">
        <v>0</v>
      </c>
      <c r="G23" s="229">
        <v>0</v>
      </c>
      <c r="H23" s="231">
        <v>1377.6</v>
      </c>
      <c r="I23" s="231">
        <v>1377.7</v>
      </c>
      <c r="J23" s="228">
        <v>-0.1</v>
      </c>
      <c r="K23" s="229">
        <v>-1E-4</v>
      </c>
      <c r="L23" s="231">
        <v>1378</v>
      </c>
      <c r="M23" s="231">
        <v>1378</v>
      </c>
      <c r="N23" s="228">
        <v>0</v>
      </c>
      <c r="O23" s="229">
        <v>0</v>
      </c>
      <c r="P23" s="231">
        <v>1385.6</v>
      </c>
      <c r="Q23" s="231">
        <v>1385.9</v>
      </c>
      <c r="R23" s="228">
        <v>-0.3</v>
      </c>
      <c r="S23" s="229">
        <v>-2.0000000000000001E-4</v>
      </c>
      <c r="T23" s="231">
        <v>1395</v>
      </c>
      <c r="U23" s="231">
        <v>1394.8</v>
      </c>
      <c r="V23" s="228">
        <v>0.2</v>
      </c>
      <c r="W23" s="229">
        <v>1E-4</v>
      </c>
      <c r="X23" s="228">
        <v>0.4</v>
      </c>
      <c r="Y23" s="228">
        <v>0.3</v>
      </c>
      <c r="Z23" s="228">
        <v>0.1</v>
      </c>
      <c r="AA23" s="229">
        <v>2.9999999999999997E-4</v>
      </c>
      <c r="AB23" s="228">
        <v>0.4</v>
      </c>
      <c r="AC23" s="228">
        <v>0.3</v>
      </c>
      <c r="AD23" s="228">
        <v>0.1</v>
      </c>
      <c r="AE23" s="229">
        <v>2.9999999999999997E-4</v>
      </c>
      <c r="AF23" s="228">
        <v>8</v>
      </c>
      <c r="AG23" s="228">
        <v>8.1999999999999993</v>
      </c>
      <c r="AH23" s="228">
        <v>-0.2</v>
      </c>
      <c r="AI23" s="229">
        <v>5.7999999999999996E-3</v>
      </c>
      <c r="AJ23" s="228">
        <v>17.399999999999999</v>
      </c>
      <c r="AK23" s="228">
        <v>17.100000000000001</v>
      </c>
      <c r="AL23" s="228">
        <v>0.3</v>
      </c>
      <c r="AM23" s="229">
        <v>1.26E-2</v>
      </c>
      <c r="AN23" s="231">
        <v>1380.57</v>
      </c>
      <c r="AO23" s="231">
        <v>1388.46</v>
      </c>
      <c r="AP23" s="228">
        <v>0</v>
      </c>
      <c r="AQ23" s="230">
        <v>72220</v>
      </c>
      <c r="AR23" s="230">
        <v>110173</v>
      </c>
      <c r="AS23" s="230">
        <v>-37953</v>
      </c>
      <c r="AT23" s="229">
        <v>-0.34449999999999997</v>
      </c>
      <c r="AU23" s="230">
        <v>34817</v>
      </c>
      <c r="AV23" s="230">
        <v>56012</v>
      </c>
      <c r="AW23" s="230">
        <v>-21195</v>
      </c>
      <c r="AX23" s="229">
        <v>-0.37840000000000001</v>
      </c>
      <c r="AY23" s="230">
        <v>36949</v>
      </c>
      <c r="AZ23" s="230">
        <v>53686</v>
      </c>
      <c r="BA23" s="230">
        <v>-16737</v>
      </c>
      <c r="BB23" s="229">
        <v>-0.31180000000000002</v>
      </c>
      <c r="BC23" s="228">
        <v>454</v>
      </c>
      <c r="BD23" s="228">
        <v>475</v>
      </c>
      <c r="BE23" s="228">
        <v>-21</v>
      </c>
      <c r="BF23" s="229">
        <v>-4.4200000000000003E-2</v>
      </c>
      <c r="BG23" s="230">
        <v>78579</v>
      </c>
      <c r="BH23" s="230">
        <v>118321</v>
      </c>
      <c r="BI23" s="230">
        <v>-39742</v>
      </c>
      <c r="BJ23" s="229">
        <v>-0.33589999999999998</v>
      </c>
      <c r="BK23" s="230">
        <v>45165</v>
      </c>
      <c r="BL23" s="230">
        <v>63414</v>
      </c>
      <c r="BM23" s="230">
        <v>-18249</v>
      </c>
      <c r="BN23" s="229">
        <v>-0.2878</v>
      </c>
      <c r="BO23" s="230">
        <v>195964</v>
      </c>
      <c r="BP23" s="230">
        <v>291908</v>
      </c>
      <c r="BQ23" s="230">
        <v>-95944</v>
      </c>
      <c r="BR23" s="229">
        <v>-0.32869999999999999</v>
      </c>
      <c r="BS23" s="230">
        <v>12215641</v>
      </c>
      <c r="BT23" s="230">
        <v>11316252</v>
      </c>
      <c r="BU23" s="230">
        <v>899389</v>
      </c>
      <c r="BV23" s="229">
        <v>7.9500000000000001E-2</v>
      </c>
      <c r="BW23" s="230">
        <v>110733000</v>
      </c>
      <c r="BX23" s="230">
        <v>109902800</v>
      </c>
      <c r="BY23" s="230">
        <v>830200</v>
      </c>
      <c r="BZ23" s="229">
        <v>7.6E-3</v>
      </c>
      <c r="CA23" s="230">
        <v>23053800</v>
      </c>
      <c r="CB23" s="230">
        <v>41221600</v>
      </c>
      <c r="CC23" s="230">
        <v>-18167800</v>
      </c>
      <c r="CD23" s="229">
        <v>-0.44069999999999998</v>
      </c>
      <c r="CE23" s="230">
        <v>84961100</v>
      </c>
      <c r="CF23" s="230">
        <v>66138800</v>
      </c>
      <c r="CG23" s="230">
        <v>18822300</v>
      </c>
      <c r="CH23" s="229">
        <v>0.28460000000000002</v>
      </c>
      <c r="CI23" s="230">
        <v>2718100</v>
      </c>
      <c r="CJ23" s="230">
        <v>2542400</v>
      </c>
      <c r="CK23" s="230">
        <v>175700</v>
      </c>
      <c r="CL23" s="229">
        <v>6.9099999999999995E-2</v>
      </c>
      <c r="CM23" s="230">
        <v>44241400</v>
      </c>
      <c r="CN23" s="230">
        <v>48986000</v>
      </c>
      <c r="CO23" s="230">
        <v>-4744600</v>
      </c>
      <c r="CP23" s="229">
        <v>-9.69E-2</v>
      </c>
      <c r="CQ23" s="230">
        <v>25227300</v>
      </c>
      <c r="CR23" s="230">
        <v>25380600</v>
      </c>
      <c r="CS23" s="230">
        <v>-153300</v>
      </c>
      <c r="CT23" s="229">
        <v>-6.0000000000000001E-3</v>
      </c>
      <c r="CU23" s="230">
        <v>180201700</v>
      </c>
      <c r="CV23" s="230">
        <v>184269400</v>
      </c>
      <c r="CW23" s="230">
        <v>-4067700</v>
      </c>
      <c r="CX23" s="229">
        <v>-2.2100000000000002E-2</v>
      </c>
      <c r="CY23" s="228">
        <v>17.07</v>
      </c>
      <c r="CZ23" s="228">
        <v>16.920000000000002</v>
      </c>
      <c r="DA23" s="228">
        <v>0.15</v>
      </c>
      <c r="DB23" s="228">
        <v>0.15</v>
      </c>
      <c r="DC23" s="228">
        <v>21.25</v>
      </c>
      <c r="DD23" s="228">
        <v>21.31</v>
      </c>
      <c r="DE23" s="228">
        <v>-4.18</v>
      </c>
      <c r="DF23" s="228">
        <v>-0.06</v>
      </c>
      <c r="DG23" s="228">
        <v>17.07</v>
      </c>
      <c r="DH23" s="228">
        <v>16.96</v>
      </c>
      <c r="DI23" s="228">
        <v>0.11</v>
      </c>
      <c r="DJ23" s="228">
        <v>0.11</v>
      </c>
      <c r="DK23" s="228">
        <v>17.059999999999999</v>
      </c>
      <c r="DL23" s="228">
        <v>16.84</v>
      </c>
      <c r="DM23" s="228">
        <v>0.22</v>
      </c>
      <c r="DN23" s="228">
        <v>0.22</v>
      </c>
      <c r="DO23" s="228">
        <v>0.56999999999999995</v>
      </c>
      <c r="DP23" s="228">
        <v>0.52</v>
      </c>
      <c r="DQ23" s="228">
        <v>0.05</v>
      </c>
      <c r="DR23" s="229">
        <v>9.6199999999999994E-2</v>
      </c>
      <c r="DS23" s="231">
        <v>1400</v>
      </c>
      <c r="DT23" s="231">
        <v>1400</v>
      </c>
      <c r="DU23" s="228">
        <v>0.56999999999999995</v>
      </c>
      <c r="DV23" s="228">
        <v>0.54</v>
      </c>
      <c r="DW23" s="228">
        <v>0.03</v>
      </c>
      <c r="DX23" s="229">
        <v>5.5599999999999997E-2</v>
      </c>
      <c r="DY23" s="229">
        <v>0.79179999999999995</v>
      </c>
      <c r="DZ23" s="230">
        <v>68681200</v>
      </c>
      <c r="EA23" s="229">
        <v>5.4999999999999997E-3</v>
      </c>
      <c r="EB23" s="229">
        <v>0.79179999999999995</v>
      </c>
      <c r="EC23" s="228">
        <v>7.89</v>
      </c>
      <c r="ED23" s="229">
        <v>5.7000000000000002E-3</v>
      </c>
      <c r="EE23" s="230">
        <v>9518445</v>
      </c>
      <c r="EF23" s="230">
        <v>6568881</v>
      </c>
      <c r="EG23" s="229">
        <v>0.44900000000000001</v>
      </c>
      <c r="EH23" s="229">
        <v>0.7792</v>
      </c>
      <c r="EI23" s="231">
        <v>778660.39</v>
      </c>
      <c r="EJ23" s="231">
        <v>437726.24</v>
      </c>
      <c r="EK23" s="231">
        <v>700027.29</v>
      </c>
      <c r="EL23" s="231">
        <v>68443</v>
      </c>
      <c r="EM23" s="231">
        <v>1916413.92</v>
      </c>
      <c r="EN23" s="231">
        <v>2842122.13</v>
      </c>
      <c r="EO23" s="231">
        <v>-925708.21</v>
      </c>
      <c r="EP23" s="229">
        <v>-0.32569999999999999</v>
      </c>
      <c r="EQ23" s="231">
        <v>633235</v>
      </c>
      <c r="ER23" s="231">
        <v>345012</v>
      </c>
      <c r="ES23" s="231">
        <v>1532820</v>
      </c>
      <c r="ET23" s="231">
        <v>579785172</v>
      </c>
      <c r="EU23" s="231">
        <v>2511066</v>
      </c>
      <c r="EV23" s="231">
        <v>2568500</v>
      </c>
      <c r="EW23" s="231">
        <v>-57434</v>
      </c>
      <c r="EX23" s="229">
        <v>-2.24E-2</v>
      </c>
      <c r="EY23" s="229">
        <v>0.31080000000000002</v>
      </c>
    </row>
    <row r="24" spans="1:155" ht="17.25" thickBot="1" x14ac:dyDescent="0.3">
      <c r="A24" s="226">
        <v>45957</v>
      </c>
      <c r="B24" s="227" t="s">
        <v>215</v>
      </c>
      <c r="C24" s="227" t="s">
        <v>238</v>
      </c>
      <c r="D24" s="231">
        <v>5836.5</v>
      </c>
      <c r="E24" s="231">
        <v>5765</v>
      </c>
      <c r="F24" s="228">
        <v>71.5</v>
      </c>
      <c r="G24" s="229">
        <v>1.24E-2</v>
      </c>
      <c r="H24" s="231">
        <v>5835</v>
      </c>
      <c r="I24" s="231">
        <v>5779</v>
      </c>
      <c r="J24" s="228">
        <v>56</v>
      </c>
      <c r="K24" s="229">
        <v>9.7000000000000003E-3</v>
      </c>
      <c r="L24" s="231">
        <v>5836.5</v>
      </c>
      <c r="M24" s="231">
        <v>5765</v>
      </c>
      <c r="N24" s="228">
        <v>71.5</v>
      </c>
      <c r="O24" s="229">
        <v>1.24E-2</v>
      </c>
      <c r="P24" s="231">
        <v>5862.5</v>
      </c>
      <c r="Q24" s="231">
        <v>5792</v>
      </c>
      <c r="R24" s="228">
        <v>70.5</v>
      </c>
      <c r="S24" s="229">
        <v>1.2200000000000001E-2</v>
      </c>
      <c r="T24" s="231">
        <v>5894</v>
      </c>
      <c r="U24" s="231">
        <v>5828.5</v>
      </c>
      <c r="V24" s="228">
        <v>65.5</v>
      </c>
      <c r="W24" s="229">
        <v>1.12E-2</v>
      </c>
      <c r="X24" s="228">
        <v>1.5</v>
      </c>
      <c r="Y24" s="228">
        <v>-14</v>
      </c>
      <c r="Z24" s="228">
        <v>15.5</v>
      </c>
      <c r="AA24" s="229">
        <v>2.9999999999999997E-4</v>
      </c>
      <c r="AB24" s="228">
        <v>1.5</v>
      </c>
      <c r="AC24" s="228">
        <v>-14</v>
      </c>
      <c r="AD24" s="228">
        <v>15.5</v>
      </c>
      <c r="AE24" s="229">
        <v>2.9999999999999997E-4</v>
      </c>
      <c r="AF24" s="228">
        <v>27.5</v>
      </c>
      <c r="AG24" s="228">
        <v>13</v>
      </c>
      <c r="AH24" s="228">
        <v>14.5</v>
      </c>
      <c r="AI24" s="229">
        <v>4.7000000000000002E-3</v>
      </c>
      <c r="AJ24" s="228">
        <v>59</v>
      </c>
      <c r="AK24" s="228">
        <v>49.5</v>
      </c>
      <c r="AL24" s="228">
        <v>9.5</v>
      </c>
      <c r="AM24" s="229">
        <v>1.01E-2</v>
      </c>
      <c r="AN24" s="231">
        <v>5846.88</v>
      </c>
      <c r="AO24" s="231">
        <v>5875.04</v>
      </c>
      <c r="AP24" s="228">
        <v>0</v>
      </c>
      <c r="AQ24" s="230">
        <v>41108</v>
      </c>
      <c r="AR24" s="230">
        <v>47498</v>
      </c>
      <c r="AS24" s="230">
        <v>-6390</v>
      </c>
      <c r="AT24" s="229">
        <v>-0.13450000000000001</v>
      </c>
      <c r="AU24" s="230">
        <v>19226</v>
      </c>
      <c r="AV24" s="230">
        <v>23522</v>
      </c>
      <c r="AW24" s="230">
        <v>-4296</v>
      </c>
      <c r="AX24" s="229">
        <v>-0.18260000000000001</v>
      </c>
      <c r="AY24" s="230">
        <v>21710</v>
      </c>
      <c r="AZ24" s="230">
        <v>23826</v>
      </c>
      <c r="BA24" s="230">
        <v>-2116</v>
      </c>
      <c r="BB24" s="229">
        <v>-8.8800000000000004E-2</v>
      </c>
      <c r="BC24" s="228">
        <v>172</v>
      </c>
      <c r="BD24" s="228">
        <v>150</v>
      </c>
      <c r="BE24" s="228">
        <v>22</v>
      </c>
      <c r="BF24" s="229">
        <v>0.1467</v>
      </c>
      <c r="BG24" s="230">
        <v>33291</v>
      </c>
      <c r="BH24" s="230">
        <v>32904</v>
      </c>
      <c r="BI24" s="228">
        <v>387</v>
      </c>
      <c r="BJ24" s="229">
        <v>1.18E-2</v>
      </c>
      <c r="BK24" s="230">
        <v>24258</v>
      </c>
      <c r="BL24" s="230">
        <v>20907</v>
      </c>
      <c r="BM24" s="230">
        <v>3351</v>
      </c>
      <c r="BN24" s="229">
        <v>0.1603</v>
      </c>
      <c r="BO24" s="230">
        <v>98657</v>
      </c>
      <c r="BP24" s="230">
        <v>101309</v>
      </c>
      <c r="BQ24" s="230">
        <v>-2652</v>
      </c>
      <c r="BR24" s="229">
        <v>-2.6200000000000001E-2</v>
      </c>
      <c r="BS24" s="230">
        <v>483507</v>
      </c>
      <c r="BT24" s="230">
        <v>575639</v>
      </c>
      <c r="BU24" s="230">
        <v>-92132</v>
      </c>
      <c r="BV24" s="229">
        <v>-0.16009999999999999</v>
      </c>
      <c r="BW24" s="230">
        <v>7933800</v>
      </c>
      <c r="BX24" s="230">
        <v>8157000</v>
      </c>
      <c r="BY24" s="230">
        <v>-223200</v>
      </c>
      <c r="BZ24" s="229">
        <v>-2.7400000000000001E-2</v>
      </c>
      <c r="CA24" s="230">
        <v>1195650</v>
      </c>
      <c r="CB24" s="230">
        <v>3361500</v>
      </c>
      <c r="CC24" s="230">
        <v>-2165850</v>
      </c>
      <c r="CD24" s="229">
        <v>-0.64429999999999998</v>
      </c>
      <c r="CE24" s="230">
        <v>6626400</v>
      </c>
      <c r="CF24" s="230">
        <v>4683150</v>
      </c>
      <c r="CG24" s="230">
        <v>1943250</v>
      </c>
      <c r="CH24" s="229">
        <v>0.41489999999999999</v>
      </c>
      <c r="CI24" s="230">
        <v>111750</v>
      </c>
      <c r="CJ24" s="230">
        <v>112350</v>
      </c>
      <c r="CK24" s="228">
        <v>-600</v>
      </c>
      <c r="CL24" s="229">
        <v>-5.3E-3</v>
      </c>
      <c r="CM24" s="230">
        <v>1927200</v>
      </c>
      <c r="CN24" s="230">
        <v>2031450</v>
      </c>
      <c r="CO24" s="230">
        <v>-104250</v>
      </c>
      <c r="CP24" s="229">
        <v>-5.1299999999999998E-2</v>
      </c>
      <c r="CQ24" s="230">
        <v>1751400</v>
      </c>
      <c r="CR24" s="230">
        <v>1566300</v>
      </c>
      <c r="CS24" s="230">
        <v>185100</v>
      </c>
      <c r="CT24" s="229">
        <v>0.1182</v>
      </c>
      <c r="CU24" s="230">
        <v>11612400</v>
      </c>
      <c r="CV24" s="230">
        <v>11754750</v>
      </c>
      <c r="CW24" s="230">
        <v>-142350</v>
      </c>
      <c r="CX24" s="229">
        <v>-1.21E-2</v>
      </c>
      <c r="CY24" s="228">
        <v>24.93</v>
      </c>
      <c r="CZ24" s="228">
        <v>24.15</v>
      </c>
      <c r="DA24" s="228">
        <v>0.78</v>
      </c>
      <c r="DB24" s="228">
        <v>0.78</v>
      </c>
      <c r="DC24" s="228">
        <v>32.43</v>
      </c>
      <c r="DD24" s="228">
        <v>32.49</v>
      </c>
      <c r="DE24" s="228">
        <v>-7.5</v>
      </c>
      <c r="DF24" s="228">
        <v>-0.06</v>
      </c>
      <c r="DG24" s="228">
        <v>24.8</v>
      </c>
      <c r="DH24" s="228">
        <v>24.14</v>
      </c>
      <c r="DI24" s="228">
        <v>0.66</v>
      </c>
      <c r="DJ24" s="228">
        <v>0.66</v>
      </c>
      <c r="DK24" s="228">
        <v>25.08</v>
      </c>
      <c r="DL24" s="228">
        <v>24.16</v>
      </c>
      <c r="DM24" s="228">
        <v>0.92</v>
      </c>
      <c r="DN24" s="228">
        <v>0.92</v>
      </c>
      <c r="DO24" s="228">
        <v>0.91</v>
      </c>
      <c r="DP24" s="228">
        <v>0.77</v>
      </c>
      <c r="DQ24" s="228">
        <v>0.14000000000000001</v>
      </c>
      <c r="DR24" s="229">
        <v>0.18179999999999999</v>
      </c>
      <c r="DS24" s="231">
        <v>6000</v>
      </c>
      <c r="DT24" s="231">
        <v>5400</v>
      </c>
      <c r="DU24" s="228">
        <v>0.73</v>
      </c>
      <c r="DV24" s="228">
        <v>0.64</v>
      </c>
      <c r="DW24" s="228">
        <v>0.09</v>
      </c>
      <c r="DX24" s="229">
        <v>0.1406</v>
      </c>
      <c r="DY24" s="229">
        <v>0.84930000000000005</v>
      </c>
      <c r="DZ24" s="230">
        <v>4795500</v>
      </c>
      <c r="EA24" s="229">
        <v>4.4999999999999997E-3</v>
      </c>
      <c r="EB24" s="229">
        <v>0.84930000000000005</v>
      </c>
      <c r="EC24" s="228">
        <v>28.16</v>
      </c>
      <c r="ED24" s="229">
        <v>4.7999999999999996E-3</v>
      </c>
      <c r="EE24" s="230">
        <v>291908</v>
      </c>
      <c r="EF24" s="230">
        <v>295157</v>
      </c>
      <c r="EG24" s="229">
        <v>-1.0999999999999999E-2</v>
      </c>
      <c r="EH24" s="229">
        <v>0.60370000000000001</v>
      </c>
      <c r="EI24" s="231">
        <v>299800.53999999998</v>
      </c>
      <c r="EJ24" s="231">
        <v>209121.81</v>
      </c>
      <c r="EK24" s="231">
        <v>361458.89</v>
      </c>
      <c r="EL24" s="231">
        <v>20480</v>
      </c>
      <c r="EM24" s="231">
        <v>870381.24</v>
      </c>
      <c r="EN24" s="231">
        <v>880650.65</v>
      </c>
      <c r="EO24" s="231">
        <v>-10269.41</v>
      </c>
      <c r="EP24" s="229">
        <v>-1.17E-2</v>
      </c>
      <c r="EQ24" s="231">
        <v>114938</v>
      </c>
      <c r="ER24" s="231">
        <v>99277</v>
      </c>
      <c r="ES24" s="231">
        <v>464843</v>
      </c>
      <c r="ET24" s="231">
        <v>32732860</v>
      </c>
      <c r="EU24" s="231">
        <v>679059</v>
      </c>
      <c r="EV24" s="231">
        <v>680668</v>
      </c>
      <c r="EW24" s="231">
        <v>-1609</v>
      </c>
      <c r="EX24" s="229">
        <v>-2.3999999999999998E-3</v>
      </c>
      <c r="EY24" s="229">
        <v>0.3548</v>
      </c>
    </row>
    <row r="25" spans="1:155" ht="17.25" thickBot="1" x14ac:dyDescent="0.3">
      <c r="A25" s="226">
        <v>45957</v>
      </c>
      <c r="B25" s="227" t="s">
        <v>221</v>
      </c>
      <c r="C25" s="227" t="s">
        <v>240</v>
      </c>
      <c r="D25" s="231">
        <v>1505.4</v>
      </c>
      <c r="E25" s="231">
        <v>1501.3</v>
      </c>
      <c r="F25" s="228">
        <v>4.0999999999999996</v>
      </c>
      <c r="G25" s="229">
        <v>2.7000000000000001E-3</v>
      </c>
      <c r="H25" s="231">
        <v>1504.5</v>
      </c>
      <c r="I25" s="231">
        <v>1525.4</v>
      </c>
      <c r="J25" s="228">
        <v>-20.9</v>
      </c>
      <c r="K25" s="229">
        <v>-1.37E-2</v>
      </c>
      <c r="L25" s="231">
        <v>1505.4</v>
      </c>
      <c r="M25" s="231">
        <v>1501.3</v>
      </c>
      <c r="N25" s="228">
        <v>4.0999999999999996</v>
      </c>
      <c r="O25" s="229">
        <v>2.7000000000000001E-3</v>
      </c>
      <c r="P25" s="231">
        <v>1504.1</v>
      </c>
      <c r="Q25" s="231">
        <v>1500.3</v>
      </c>
      <c r="R25" s="228">
        <v>3.8</v>
      </c>
      <c r="S25" s="229">
        <v>2.5000000000000001E-3</v>
      </c>
      <c r="T25" s="231">
        <v>1506.5</v>
      </c>
      <c r="U25" s="231">
        <v>1502.9</v>
      </c>
      <c r="V25" s="228">
        <v>3.6</v>
      </c>
      <c r="W25" s="229">
        <v>2.3999999999999998E-3</v>
      </c>
      <c r="X25" s="228">
        <v>0.9</v>
      </c>
      <c r="Y25" s="228">
        <v>-24.1</v>
      </c>
      <c r="Z25" s="228">
        <v>25</v>
      </c>
      <c r="AA25" s="229">
        <v>5.9999999999999995E-4</v>
      </c>
      <c r="AB25" s="228">
        <v>0.9</v>
      </c>
      <c r="AC25" s="228">
        <v>-24.1</v>
      </c>
      <c r="AD25" s="228">
        <v>25</v>
      </c>
      <c r="AE25" s="229">
        <v>5.9999999999999995E-4</v>
      </c>
      <c r="AF25" s="228">
        <v>-0.4</v>
      </c>
      <c r="AG25" s="228">
        <v>-25.1</v>
      </c>
      <c r="AH25" s="228">
        <v>24.7</v>
      </c>
      <c r="AI25" s="229">
        <v>-2.9999999999999997E-4</v>
      </c>
      <c r="AJ25" s="228">
        <v>2</v>
      </c>
      <c r="AK25" s="228">
        <v>-22.5</v>
      </c>
      <c r="AL25" s="228">
        <v>24.5</v>
      </c>
      <c r="AM25" s="229">
        <v>1.2999999999999999E-3</v>
      </c>
      <c r="AN25" s="231">
        <v>1506.8</v>
      </c>
      <c r="AO25" s="231">
        <v>1507.2</v>
      </c>
      <c r="AP25" s="228">
        <v>0</v>
      </c>
      <c r="AQ25" s="230">
        <v>79330</v>
      </c>
      <c r="AR25" s="230">
        <v>76072</v>
      </c>
      <c r="AS25" s="230">
        <v>3258</v>
      </c>
      <c r="AT25" s="229">
        <v>4.2799999999999998E-2</v>
      </c>
      <c r="AU25" s="230">
        <v>38248</v>
      </c>
      <c r="AV25" s="230">
        <v>41475</v>
      </c>
      <c r="AW25" s="230">
        <v>-3227</v>
      </c>
      <c r="AX25" s="229">
        <v>-7.7799999999999994E-2</v>
      </c>
      <c r="AY25" s="230">
        <v>39340</v>
      </c>
      <c r="AZ25" s="230">
        <v>33857</v>
      </c>
      <c r="BA25" s="230">
        <v>5483</v>
      </c>
      <c r="BB25" s="229">
        <v>0.16189999999999999</v>
      </c>
      <c r="BC25" s="230">
        <v>1742</v>
      </c>
      <c r="BD25" s="228">
        <v>740</v>
      </c>
      <c r="BE25" s="230">
        <v>1002</v>
      </c>
      <c r="BF25" s="229">
        <v>1.3541000000000001</v>
      </c>
      <c r="BG25" s="230">
        <v>158483</v>
      </c>
      <c r="BH25" s="230">
        <v>214955</v>
      </c>
      <c r="BI25" s="230">
        <v>-56472</v>
      </c>
      <c r="BJ25" s="229">
        <v>-0.26269999999999999</v>
      </c>
      <c r="BK25" s="230">
        <v>69993</v>
      </c>
      <c r="BL25" s="230">
        <v>94229</v>
      </c>
      <c r="BM25" s="230">
        <v>-24236</v>
      </c>
      <c r="BN25" s="229">
        <v>-0.25719999999999998</v>
      </c>
      <c r="BO25" s="230">
        <v>307806</v>
      </c>
      <c r="BP25" s="230">
        <v>385256</v>
      </c>
      <c r="BQ25" s="230">
        <v>-77450</v>
      </c>
      <c r="BR25" s="229">
        <v>-0.20100000000000001</v>
      </c>
      <c r="BS25" s="230">
        <v>7568599</v>
      </c>
      <c r="BT25" s="230">
        <v>9025426</v>
      </c>
      <c r="BU25" s="230">
        <v>-1456827</v>
      </c>
      <c r="BV25" s="229">
        <v>-0.16139999999999999</v>
      </c>
      <c r="BW25" s="230">
        <v>65440000</v>
      </c>
      <c r="BX25" s="230">
        <v>65234400</v>
      </c>
      <c r="BY25" s="230">
        <v>205600</v>
      </c>
      <c r="BZ25" s="229">
        <v>3.2000000000000002E-3</v>
      </c>
      <c r="CA25" s="230">
        <v>11507600</v>
      </c>
      <c r="CB25" s="230">
        <v>21656000</v>
      </c>
      <c r="CC25" s="230">
        <v>-10148400</v>
      </c>
      <c r="CD25" s="229">
        <v>-0.46860000000000002</v>
      </c>
      <c r="CE25" s="230">
        <v>52374000</v>
      </c>
      <c r="CF25" s="230">
        <v>42395600</v>
      </c>
      <c r="CG25" s="230">
        <v>9978400</v>
      </c>
      <c r="CH25" s="229">
        <v>0.2354</v>
      </c>
      <c r="CI25" s="230">
        <v>1558400</v>
      </c>
      <c r="CJ25" s="230">
        <v>1182800</v>
      </c>
      <c r="CK25" s="230">
        <v>375600</v>
      </c>
      <c r="CL25" s="229">
        <v>0.31759999999999999</v>
      </c>
      <c r="CM25" s="230">
        <v>46368800</v>
      </c>
      <c r="CN25" s="230">
        <v>49740000</v>
      </c>
      <c r="CO25" s="230">
        <v>-3371200</v>
      </c>
      <c r="CP25" s="229">
        <v>-6.7799999999999999E-2</v>
      </c>
      <c r="CQ25" s="230">
        <v>19518000</v>
      </c>
      <c r="CR25" s="230">
        <v>21441600</v>
      </c>
      <c r="CS25" s="230">
        <v>-1923600</v>
      </c>
      <c r="CT25" s="229">
        <v>-8.9700000000000002E-2</v>
      </c>
      <c r="CU25" s="230">
        <v>131326800</v>
      </c>
      <c r="CV25" s="230">
        <v>136416000</v>
      </c>
      <c r="CW25" s="230">
        <v>-5089200</v>
      </c>
      <c r="CX25" s="229">
        <v>-3.73E-2</v>
      </c>
      <c r="CY25" s="228">
        <v>23.06</v>
      </c>
      <c r="CZ25" s="228">
        <v>22.87</v>
      </c>
      <c r="DA25" s="228">
        <v>0.19</v>
      </c>
      <c r="DB25" s="228">
        <v>0.19</v>
      </c>
      <c r="DC25" s="228">
        <v>29.5</v>
      </c>
      <c r="DD25" s="228">
        <v>29.57</v>
      </c>
      <c r="DE25" s="228">
        <v>-6.44</v>
      </c>
      <c r="DF25" s="228">
        <v>-7.0000000000000007E-2</v>
      </c>
      <c r="DG25" s="228">
        <v>23.09</v>
      </c>
      <c r="DH25" s="228">
        <v>23</v>
      </c>
      <c r="DI25" s="228">
        <v>0.09</v>
      </c>
      <c r="DJ25" s="228">
        <v>0.09</v>
      </c>
      <c r="DK25" s="228">
        <v>22.99</v>
      </c>
      <c r="DL25" s="228">
        <v>22.53</v>
      </c>
      <c r="DM25" s="228">
        <v>0.46</v>
      </c>
      <c r="DN25" s="228">
        <v>0.46</v>
      </c>
      <c r="DO25" s="228">
        <v>0.42</v>
      </c>
      <c r="DP25" s="228">
        <v>0.43</v>
      </c>
      <c r="DQ25" s="228">
        <v>-0.01</v>
      </c>
      <c r="DR25" s="229">
        <v>-2.3300000000000001E-2</v>
      </c>
      <c r="DS25" s="231">
        <v>1560</v>
      </c>
      <c r="DT25" s="231">
        <v>1500</v>
      </c>
      <c r="DU25" s="228">
        <v>0.44</v>
      </c>
      <c r="DV25" s="228">
        <v>0.44</v>
      </c>
      <c r="DW25" s="228">
        <v>0</v>
      </c>
      <c r="DX25" s="229">
        <v>0</v>
      </c>
      <c r="DY25" s="229">
        <v>0.82420000000000004</v>
      </c>
      <c r="DZ25" s="230">
        <v>43578400</v>
      </c>
      <c r="EA25" s="229">
        <v>-8.9999999999999998E-4</v>
      </c>
      <c r="EB25" s="229">
        <v>0.82420000000000004</v>
      </c>
      <c r="EC25" s="228">
        <v>0.4</v>
      </c>
      <c r="ED25" s="229">
        <v>2.9999999999999997E-4</v>
      </c>
      <c r="EE25" s="230">
        <v>5015330</v>
      </c>
      <c r="EF25" s="230">
        <v>5449549</v>
      </c>
      <c r="EG25" s="229">
        <v>-7.9699999999999993E-2</v>
      </c>
      <c r="EH25" s="229">
        <v>0.66259999999999997</v>
      </c>
      <c r="EI25" s="231">
        <v>986681.47</v>
      </c>
      <c r="EJ25" s="231">
        <v>414208.12</v>
      </c>
      <c r="EK25" s="231">
        <v>478206.01</v>
      </c>
      <c r="EL25" s="231">
        <v>63371</v>
      </c>
      <c r="EM25" s="231">
        <v>1879095.6</v>
      </c>
      <c r="EN25" s="231">
        <v>2360621.88</v>
      </c>
      <c r="EO25" s="231">
        <v>-481526.28</v>
      </c>
      <c r="EP25" s="229">
        <v>-0.20399999999999999</v>
      </c>
      <c r="EQ25" s="231">
        <v>719693</v>
      </c>
      <c r="ER25" s="231">
        <v>282864</v>
      </c>
      <c r="ES25" s="231">
        <v>984470</v>
      </c>
      <c r="ET25" s="231">
        <v>341789333</v>
      </c>
      <c r="EU25" s="231">
        <v>1987027</v>
      </c>
      <c r="EV25" s="231">
        <v>2060289</v>
      </c>
      <c r="EW25" s="231">
        <v>-73262</v>
      </c>
      <c r="EX25" s="229">
        <v>-3.56E-2</v>
      </c>
      <c r="EY25" s="229">
        <v>0.38419999999999999</v>
      </c>
    </row>
    <row r="26" spans="1:155" ht="17.25" thickBot="1" x14ac:dyDescent="0.3">
      <c r="A26" s="226">
        <v>45957</v>
      </c>
      <c r="B26" s="227" t="s">
        <v>168</v>
      </c>
      <c r="C26" s="227" t="s">
        <v>242</v>
      </c>
      <c r="D26" s="228">
        <v>420.7</v>
      </c>
      <c r="E26" s="228">
        <v>417.35</v>
      </c>
      <c r="F26" s="228">
        <v>3.35</v>
      </c>
      <c r="G26" s="229">
        <v>8.0000000000000002E-3</v>
      </c>
      <c r="H26" s="228">
        <v>420.65</v>
      </c>
      <c r="I26" s="228">
        <v>416.8</v>
      </c>
      <c r="J26" s="228">
        <v>3.85</v>
      </c>
      <c r="K26" s="229">
        <v>9.1999999999999998E-3</v>
      </c>
      <c r="L26" s="228">
        <v>420.7</v>
      </c>
      <c r="M26" s="228">
        <v>417.35</v>
      </c>
      <c r="N26" s="228">
        <v>3.35</v>
      </c>
      <c r="O26" s="229">
        <v>8.0000000000000002E-3</v>
      </c>
      <c r="P26" s="228">
        <v>423.15</v>
      </c>
      <c r="Q26" s="228">
        <v>419.7</v>
      </c>
      <c r="R26" s="228">
        <v>3.45</v>
      </c>
      <c r="S26" s="229">
        <v>8.2000000000000007E-3</v>
      </c>
      <c r="T26" s="228">
        <v>426.5</v>
      </c>
      <c r="U26" s="228">
        <v>422.75</v>
      </c>
      <c r="V26" s="228">
        <v>3.75</v>
      </c>
      <c r="W26" s="229">
        <v>8.8999999999999999E-3</v>
      </c>
      <c r="X26" s="228">
        <v>0.05</v>
      </c>
      <c r="Y26" s="228">
        <v>0.55000000000000004</v>
      </c>
      <c r="Z26" s="228">
        <v>-0.5</v>
      </c>
      <c r="AA26" s="229">
        <v>1E-4</v>
      </c>
      <c r="AB26" s="228">
        <v>0.05</v>
      </c>
      <c r="AC26" s="228">
        <v>0.55000000000000004</v>
      </c>
      <c r="AD26" s="228">
        <v>-0.5</v>
      </c>
      <c r="AE26" s="229">
        <v>1E-4</v>
      </c>
      <c r="AF26" s="228">
        <v>2.5</v>
      </c>
      <c r="AG26" s="228">
        <v>2.9</v>
      </c>
      <c r="AH26" s="228">
        <v>-0.4</v>
      </c>
      <c r="AI26" s="229">
        <v>5.8999999999999999E-3</v>
      </c>
      <c r="AJ26" s="228">
        <v>5.85</v>
      </c>
      <c r="AK26" s="228">
        <v>5.95</v>
      </c>
      <c r="AL26" s="228">
        <v>-0.1</v>
      </c>
      <c r="AM26" s="229">
        <v>1.3899999999999999E-2</v>
      </c>
      <c r="AN26" s="228">
        <v>420.76</v>
      </c>
      <c r="AO26" s="228">
        <v>423.25</v>
      </c>
      <c r="AP26" s="228">
        <v>0</v>
      </c>
      <c r="AQ26" s="230">
        <v>65929</v>
      </c>
      <c r="AR26" s="230">
        <v>59656</v>
      </c>
      <c r="AS26" s="230">
        <v>6273</v>
      </c>
      <c r="AT26" s="229">
        <v>0.1052</v>
      </c>
      <c r="AU26" s="230">
        <v>29704</v>
      </c>
      <c r="AV26" s="230">
        <v>30533</v>
      </c>
      <c r="AW26" s="228">
        <v>-829</v>
      </c>
      <c r="AX26" s="229">
        <v>-2.7199999999999998E-2</v>
      </c>
      <c r="AY26" s="230">
        <v>35785</v>
      </c>
      <c r="AZ26" s="230">
        <v>28901</v>
      </c>
      <c r="BA26" s="230">
        <v>6884</v>
      </c>
      <c r="BB26" s="229">
        <v>0.2382</v>
      </c>
      <c r="BC26" s="228">
        <v>440</v>
      </c>
      <c r="BD26" s="228">
        <v>222</v>
      </c>
      <c r="BE26" s="228">
        <v>218</v>
      </c>
      <c r="BF26" s="229">
        <v>0.98199999999999998</v>
      </c>
      <c r="BG26" s="230">
        <v>49149</v>
      </c>
      <c r="BH26" s="230">
        <v>33764</v>
      </c>
      <c r="BI26" s="230">
        <v>15385</v>
      </c>
      <c r="BJ26" s="229">
        <v>0.45569999999999999</v>
      </c>
      <c r="BK26" s="230">
        <v>33448</v>
      </c>
      <c r="BL26" s="230">
        <v>22766</v>
      </c>
      <c r="BM26" s="230">
        <v>10682</v>
      </c>
      <c r="BN26" s="229">
        <v>0.46920000000000001</v>
      </c>
      <c r="BO26" s="230">
        <v>148526</v>
      </c>
      <c r="BP26" s="230">
        <v>116186</v>
      </c>
      <c r="BQ26" s="230">
        <v>32340</v>
      </c>
      <c r="BR26" s="229">
        <v>0.27829999999999999</v>
      </c>
      <c r="BS26" s="230">
        <v>12448161</v>
      </c>
      <c r="BT26" s="230">
        <v>16584342</v>
      </c>
      <c r="BU26" s="230">
        <v>-4136181</v>
      </c>
      <c r="BV26" s="229">
        <v>-0.24940000000000001</v>
      </c>
      <c r="BW26" s="230">
        <v>159212800</v>
      </c>
      <c r="BX26" s="230">
        <v>156521600</v>
      </c>
      <c r="BY26" s="230">
        <v>2691200</v>
      </c>
      <c r="BZ26" s="229">
        <v>1.72E-2</v>
      </c>
      <c r="CA26" s="230">
        <v>25060800</v>
      </c>
      <c r="CB26" s="230">
        <v>63766400</v>
      </c>
      <c r="CC26" s="230">
        <v>-38705600</v>
      </c>
      <c r="CD26" s="229">
        <v>-0.60699999999999998</v>
      </c>
      <c r="CE26" s="230">
        <v>132643200</v>
      </c>
      <c r="CF26" s="230">
        <v>91443200</v>
      </c>
      <c r="CG26" s="230">
        <v>41200000</v>
      </c>
      <c r="CH26" s="229">
        <v>0.4506</v>
      </c>
      <c r="CI26" s="230">
        <v>1508800</v>
      </c>
      <c r="CJ26" s="230">
        <v>1312000</v>
      </c>
      <c r="CK26" s="230">
        <v>196800</v>
      </c>
      <c r="CL26" s="229">
        <v>0.15</v>
      </c>
      <c r="CM26" s="230">
        <v>38067200</v>
      </c>
      <c r="CN26" s="230">
        <v>40035200</v>
      </c>
      <c r="CO26" s="230">
        <v>-1968000</v>
      </c>
      <c r="CP26" s="229">
        <v>-4.9200000000000001E-2</v>
      </c>
      <c r="CQ26" s="230">
        <v>34427200</v>
      </c>
      <c r="CR26" s="230">
        <v>32878400</v>
      </c>
      <c r="CS26" s="230">
        <v>1548800</v>
      </c>
      <c r="CT26" s="229">
        <v>4.7100000000000003E-2</v>
      </c>
      <c r="CU26" s="230">
        <v>231707200</v>
      </c>
      <c r="CV26" s="230">
        <v>229435200</v>
      </c>
      <c r="CW26" s="230">
        <v>2272000</v>
      </c>
      <c r="CX26" s="229">
        <v>9.9000000000000008E-3</v>
      </c>
      <c r="CY26" s="228">
        <v>16.96</v>
      </c>
      <c r="CZ26" s="228">
        <v>16.63</v>
      </c>
      <c r="DA26" s="228">
        <v>0.33</v>
      </c>
      <c r="DB26" s="228">
        <v>0.33</v>
      </c>
      <c r="DC26" s="228">
        <v>19.559999999999999</v>
      </c>
      <c r="DD26" s="228">
        <v>19.57</v>
      </c>
      <c r="DE26" s="228">
        <v>-2.6</v>
      </c>
      <c r="DF26" s="228">
        <v>-0.01</v>
      </c>
      <c r="DG26" s="228">
        <v>17.059999999999999</v>
      </c>
      <c r="DH26" s="228">
        <v>16.829999999999998</v>
      </c>
      <c r="DI26" s="228">
        <v>0.23</v>
      </c>
      <c r="DJ26" s="228">
        <v>0.23</v>
      </c>
      <c r="DK26" s="228">
        <v>16.809999999999999</v>
      </c>
      <c r="DL26" s="228">
        <v>16.309999999999999</v>
      </c>
      <c r="DM26" s="228">
        <v>0.5</v>
      </c>
      <c r="DN26" s="228">
        <v>0.5</v>
      </c>
      <c r="DO26" s="228">
        <v>0.9</v>
      </c>
      <c r="DP26" s="228">
        <v>0.82</v>
      </c>
      <c r="DQ26" s="228">
        <v>0.08</v>
      </c>
      <c r="DR26" s="229">
        <v>9.7600000000000006E-2</v>
      </c>
      <c r="DS26" s="228">
        <v>410</v>
      </c>
      <c r="DT26" s="228">
        <v>400</v>
      </c>
      <c r="DU26" s="228">
        <v>0.68</v>
      </c>
      <c r="DV26" s="228">
        <v>0.67</v>
      </c>
      <c r="DW26" s="228">
        <v>0.01</v>
      </c>
      <c r="DX26" s="229">
        <v>1.49E-2</v>
      </c>
      <c r="DY26" s="229">
        <v>0.84260000000000002</v>
      </c>
      <c r="DZ26" s="230">
        <v>92755200</v>
      </c>
      <c r="EA26" s="229">
        <v>5.7999999999999996E-3</v>
      </c>
      <c r="EB26" s="229">
        <v>0.84260000000000002</v>
      </c>
      <c r="EC26" s="228">
        <v>2.4900000000000002</v>
      </c>
      <c r="ED26" s="229">
        <v>5.8999999999999999E-3</v>
      </c>
      <c r="EE26" s="230">
        <v>8223071</v>
      </c>
      <c r="EF26" s="230">
        <v>11277157</v>
      </c>
      <c r="EG26" s="229">
        <v>-0.27079999999999999</v>
      </c>
      <c r="EH26" s="229">
        <v>0.66059999999999997</v>
      </c>
      <c r="EI26" s="231">
        <v>335423.28999999998</v>
      </c>
      <c r="EJ26" s="231">
        <v>223390.58</v>
      </c>
      <c r="EK26" s="231">
        <v>445306.15</v>
      </c>
      <c r="EL26" s="231">
        <v>31170</v>
      </c>
      <c r="EM26" s="231">
        <v>1004120.02</v>
      </c>
      <c r="EN26" s="231">
        <v>778020.75</v>
      </c>
      <c r="EO26" s="231">
        <v>226099.27</v>
      </c>
      <c r="EP26" s="229">
        <v>0.29060000000000002</v>
      </c>
      <c r="EQ26" s="231">
        <v>160815</v>
      </c>
      <c r="ER26" s="231">
        <v>139789</v>
      </c>
      <c r="ES26" s="231">
        <v>673146</v>
      </c>
      <c r="ET26" s="231">
        <v>1251412841</v>
      </c>
      <c r="EU26" s="231">
        <v>973749</v>
      </c>
      <c r="EV26" s="231">
        <v>957005</v>
      </c>
      <c r="EW26" s="231">
        <v>16744</v>
      </c>
      <c r="EX26" s="229">
        <v>1.7500000000000002E-2</v>
      </c>
      <c r="EY26" s="229">
        <v>0.1852</v>
      </c>
    </row>
    <row r="27" spans="1:155" ht="17.25" thickBot="1" x14ac:dyDescent="0.3">
      <c r="A27" s="226">
        <v>45957</v>
      </c>
      <c r="B27" s="227" t="s">
        <v>175</v>
      </c>
      <c r="C27" s="227" t="s">
        <v>570</v>
      </c>
      <c r="D27" s="228">
        <v>305.85000000000002</v>
      </c>
      <c r="E27" s="228">
        <v>305.75</v>
      </c>
      <c r="F27" s="228">
        <v>0.1</v>
      </c>
      <c r="G27" s="229">
        <v>2.9999999999999997E-4</v>
      </c>
      <c r="H27" s="228">
        <v>305.55</v>
      </c>
      <c r="I27" s="228">
        <v>305.95</v>
      </c>
      <c r="J27" s="228">
        <v>-0.4</v>
      </c>
      <c r="K27" s="229">
        <v>-1.2999999999999999E-3</v>
      </c>
      <c r="L27" s="228">
        <v>305.85000000000002</v>
      </c>
      <c r="M27" s="228">
        <v>305.75</v>
      </c>
      <c r="N27" s="228">
        <v>0.1</v>
      </c>
      <c r="O27" s="229">
        <v>2.9999999999999997E-4</v>
      </c>
      <c r="P27" s="228">
        <v>307.60000000000002</v>
      </c>
      <c r="Q27" s="228">
        <v>307.45</v>
      </c>
      <c r="R27" s="228">
        <v>0.15</v>
      </c>
      <c r="S27" s="229">
        <v>5.0000000000000001E-4</v>
      </c>
      <c r="T27" s="228">
        <v>309.55</v>
      </c>
      <c r="U27" s="228">
        <v>309.3</v>
      </c>
      <c r="V27" s="228">
        <v>0.25</v>
      </c>
      <c r="W27" s="229">
        <v>8.0000000000000004E-4</v>
      </c>
      <c r="X27" s="228">
        <v>0.3</v>
      </c>
      <c r="Y27" s="228">
        <v>-0.2</v>
      </c>
      <c r="Z27" s="228">
        <v>0.5</v>
      </c>
      <c r="AA27" s="229">
        <v>1E-3</v>
      </c>
      <c r="AB27" s="228">
        <v>0.3</v>
      </c>
      <c r="AC27" s="228">
        <v>-0.2</v>
      </c>
      <c r="AD27" s="228">
        <v>0.5</v>
      </c>
      <c r="AE27" s="229">
        <v>1E-3</v>
      </c>
      <c r="AF27" s="228">
        <v>2.0499999999999998</v>
      </c>
      <c r="AG27" s="228">
        <v>1.5</v>
      </c>
      <c r="AH27" s="228">
        <v>0.55000000000000004</v>
      </c>
      <c r="AI27" s="229">
        <v>6.7000000000000002E-3</v>
      </c>
      <c r="AJ27" s="228">
        <v>4</v>
      </c>
      <c r="AK27" s="228">
        <v>3.35</v>
      </c>
      <c r="AL27" s="228">
        <v>0.65</v>
      </c>
      <c r="AM27" s="229">
        <v>1.3100000000000001E-2</v>
      </c>
      <c r="AN27" s="228">
        <v>306.66000000000003</v>
      </c>
      <c r="AO27" s="228">
        <v>308.38</v>
      </c>
      <c r="AP27" s="228">
        <v>0</v>
      </c>
      <c r="AQ27" s="230">
        <v>33698</v>
      </c>
      <c r="AR27" s="230">
        <v>29269</v>
      </c>
      <c r="AS27" s="230">
        <v>4429</v>
      </c>
      <c r="AT27" s="229">
        <v>0.15129999999999999</v>
      </c>
      <c r="AU27" s="230">
        <v>15678</v>
      </c>
      <c r="AV27" s="230">
        <v>14672</v>
      </c>
      <c r="AW27" s="230">
        <v>1006</v>
      </c>
      <c r="AX27" s="229">
        <v>6.8599999999999994E-2</v>
      </c>
      <c r="AY27" s="230">
        <v>17285</v>
      </c>
      <c r="AZ27" s="230">
        <v>14069</v>
      </c>
      <c r="BA27" s="230">
        <v>3216</v>
      </c>
      <c r="BB27" s="229">
        <v>0.2286</v>
      </c>
      <c r="BC27" s="228">
        <v>735</v>
      </c>
      <c r="BD27" s="228">
        <v>528</v>
      </c>
      <c r="BE27" s="228">
        <v>207</v>
      </c>
      <c r="BF27" s="229">
        <v>0.39200000000000002</v>
      </c>
      <c r="BG27" s="230">
        <v>24037</v>
      </c>
      <c r="BH27" s="230">
        <v>33413</v>
      </c>
      <c r="BI27" s="230">
        <v>-9376</v>
      </c>
      <c r="BJ27" s="229">
        <v>-0.28060000000000002</v>
      </c>
      <c r="BK27" s="230">
        <v>12472</v>
      </c>
      <c r="BL27" s="230">
        <v>13969</v>
      </c>
      <c r="BM27" s="230">
        <v>-1497</v>
      </c>
      <c r="BN27" s="229">
        <v>-0.1072</v>
      </c>
      <c r="BO27" s="230">
        <v>70207</v>
      </c>
      <c r="BP27" s="230">
        <v>76651</v>
      </c>
      <c r="BQ27" s="230">
        <v>-6444</v>
      </c>
      <c r="BR27" s="229">
        <v>-8.4099999999999994E-2</v>
      </c>
      <c r="BS27" s="230">
        <v>9170939</v>
      </c>
      <c r="BT27" s="230">
        <v>8565725</v>
      </c>
      <c r="BU27" s="230">
        <v>605214</v>
      </c>
      <c r="BV27" s="229">
        <v>7.0699999999999999E-2</v>
      </c>
      <c r="BW27" s="230">
        <v>153339850</v>
      </c>
      <c r="BX27" s="230">
        <v>149828950</v>
      </c>
      <c r="BY27" s="230">
        <v>3510900</v>
      </c>
      <c r="BZ27" s="229">
        <v>2.3400000000000001E-2</v>
      </c>
      <c r="CA27" s="230">
        <v>30895450</v>
      </c>
      <c r="CB27" s="230">
        <v>62416000</v>
      </c>
      <c r="CC27" s="230">
        <v>-31520550</v>
      </c>
      <c r="CD27" s="229">
        <v>-0.505</v>
      </c>
      <c r="CE27" s="230">
        <v>117890100</v>
      </c>
      <c r="CF27" s="230">
        <v>83927900</v>
      </c>
      <c r="CG27" s="230">
        <v>33962200</v>
      </c>
      <c r="CH27" s="229">
        <v>0.4047</v>
      </c>
      <c r="CI27" s="230">
        <v>4554300</v>
      </c>
      <c r="CJ27" s="230">
        <v>3485050</v>
      </c>
      <c r="CK27" s="230">
        <v>1069250</v>
      </c>
      <c r="CL27" s="229">
        <v>0.30680000000000002</v>
      </c>
      <c r="CM27" s="230">
        <v>77745050</v>
      </c>
      <c r="CN27" s="230">
        <v>78085800</v>
      </c>
      <c r="CO27" s="230">
        <v>-340750</v>
      </c>
      <c r="CP27" s="229">
        <v>-4.4000000000000003E-3</v>
      </c>
      <c r="CQ27" s="230">
        <v>42911000</v>
      </c>
      <c r="CR27" s="230">
        <v>42469200</v>
      </c>
      <c r="CS27" s="230">
        <v>441800</v>
      </c>
      <c r="CT27" s="229">
        <v>1.04E-2</v>
      </c>
      <c r="CU27" s="230">
        <v>273995900</v>
      </c>
      <c r="CV27" s="230">
        <v>270383950</v>
      </c>
      <c r="CW27" s="230">
        <v>3611950</v>
      </c>
      <c r="CX27" s="229">
        <v>1.34E-2</v>
      </c>
      <c r="CY27" s="228">
        <v>25.76</v>
      </c>
      <c r="CZ27" s="228">
        <v>25.9</v>
      </c>
      <c r="DA27" s="228">
        <v>-0.14000000000000001</v>
      </c>
      <c r="DB27" s="228">
        <v>-0.14000000000000001</v>
      </c>
      <c r="DC27" s="228">
        <v>35.72</v>
      </c>
      <c r="DD27" s="228">
        <v>35.81</v>
      </c>
      <c r="DE27" s="228">
        <v>-9.9600000000000009</v>
      </c>
      <c r="DF27" s="228">
        <v>-0.09</v>
      </c>
      <c r="DG27" s="228">
        <v>25.78</v>
      </c>
      <c r="DH27" s="228">
        <v>26.15</v>
      </c>
      <c r="DI27" s="228">
        <v>-0.37</v>
      </c>
      <c r="DJ27" s="228">
        <v>-0.37</v>
      </c>
      <c r="DK27" s="228">
        <v>25.72</v>
      </c>
      <c r="DL27" s="228">
        <v>25.42</v>
      </c>
      <c r="DM27" s="228">
        <v>0.3</v>
      </c>
      <c r="DN27" s="228">
        <v>0.3</v>
      </c>
      <c r="DO27" s="228">
        <v>0.55000000000000004</v>
      </c>
      <c r="DP27" s="228">
        <v>0.54</v>
      </c>
      <c r="DQ27" s="228">
        <v>0.01</v>
      </c>
      <c r="DR27" s="229">
        <v>1.8499999999999999E-2</v>
      </c>
      <c r="DS27" s="228">
        <v>350</v>
      </c>
      <c r="DT27" s="228">
        <v>310</v>
      </c>
      <c r="DU27" s="228">
        <v>0.52</v>
      </c>
      <c r="DV27" s="228">
        <v>0.42</v>
      </c>
      <c r="DW27" s="228">
        <v>0.1</v>
      </c>
      <c r="DX27" s="229">
        <v>0.23810000000000001</v>
      </c>
      <c r="DY27" s="229">
        <v>0.79849999999999999</v>
      </c>
      <c r="DZ27" s="230">
        <v>87412950</v>
      </c>
      <c r="EA27" s="229">
        <v>5.7000000000000002E-3</v>
      </c>
      <c r="EB27" s="229">
        <v>0.79849999999999999</v>
      </c>
      <c r="EC27" s="228">
        <v>1.72</v>
      </c>
      <c r="ED27" s="229">
        <v>5.5999999999999999E-3</v>
      </c>
      <c r="EE27" s="230">
        <v>5785294</v>
      </c>
      <c r="EF27" s="230">
        <v>4629483</v>
      </c>
      <c r="EG27" s="229">
        <v>0.24970000000000001</v>
      </c>
      <c r="EH27" s="229">
        <v>0.63080000000000003</v>
      </c>
      <c r="EI27" s="231">
        <v>182051.39</v>
      </c>
      <c r="EJ27" s="231">
        <v>92779.36</v>
      </c>
      <c r="EK27" s="231">
        <v>243608.61</v>
      </c>
      <c r="EL27" s="231">
        <v>19559</v>
      </c>
      <c r="EM27" s="231">
        <v>518439.36</v>
      </c>
      <c r="EN27" s="231">
        <v>568574.21</v>
      </c>
      <c r="EO27" s="231">
        <v>-50134.85</v>
      </c>
      <c r="EP27" s="229">
        <v>-8.8200000000000001E-2</v>
      </c>
      <c r="EQ27" s="231">
        <v>254099</v>
      </c>
      <c r="ER27" s="231">
        <v>132202</v>
      </c>
      <c r="ES27" s="231">
        <v>471222</v>
      </c>
      <c r="ET27" s="231">
        <v>446457456</v>
      </c>
      <c r="EU27" s="231">
        <v>857523</v>
      </c>
      <c r="EV27" s="231">
        <v>845525</v>
      </c>
      <c r="EW27" s="231">
        <v>11998</v>
      </c>
      <c r="EX27" s="229">
        <v>1.4200000000000001E-2</v>
      </c>
      <c r="EY27" s="229">
        <v>0.61370000000000002</v>
      </c>
    </row>
    <row r="28" spans="1:155" ht="17.25" thickBot="1" x14ac:dyDescent="0.3">
      <c r="A28" s="226">
        <v>45957</v>
      </c>
      <c r="B28" s="227" t="s">
        <v>227</v>
      </c>
      <c r="C28" s="227" t="s">
        <v>244</v>
      </c>
      <c r="D28" s="231">
        <v>1149.2</v>
      </c>
      <c r="E28" s="231">
        <v>1142.4000000000001</v>
      </c>
      <c r="F28" s="228">
        <v>6.8</v>
      </c>
      <c r="G28" s="229">
        <v>6.0000000000000001E-3</v>
      </c>
      <c r="H28" s="231">
        <v>1150.5999999999999</v>
      </c>
      <c r="I28" s="231">
        <v>1141.4000000000001</v>
      </c>
      <c r="J28" s="228">
        <v>9.1999999999999993</v>
      </c>
      <c r="K28" s="229">
        <v>8.0999999999999996E-3</v>
      </c>
      <c r="L28" s="231">
        <v>1149.2</v>
      </c>
      <c r="M28" s="231">
        <v>1142.4000000000001</v>
      </c>
      <c r="N28" s="228">
        <v>6.8</v>
      </c>
      <c r="O28" s="229">
        <v>6.0000000000000001E-3</v>
      </c>
      <c r="P28" s="231">
        <v>1155.7</v>
      </c>
      <c r="Q28" s="231">
        <v>1149.2</v>
      </c>
      <c r="R28" s="228">
        <v>6.5</v>
      </c>
      <c r="S28" s="229">
        <v>5.7000000000000002E-3</v>
      </c>
      <c r="T28" s="231">
        <v>1162</v>
      </c>
      <c r="U28" s="231">
        <v>1157</v>
      </c>
      <c r="V28" s="228">
        <v>5</v>
      </c>
      <c r="W28" s="229">
        <v>4.3E-3</v>
      </c>
      <c r="X28" s="228">
        <v>-1.4</v>
      </c>
      <c r="Y28" s="228">
        <v>1</v>
      </c>
      <c r="Z28" s="228">
        <v>-2.4</v>
      </c>
      <c r="AA28" s="229">
        <v>-1.1999999999999999E-3</v>
      </c>
      <c r="AB28" s="228">
        <v>-1.4</v>
      </c>
      <c r="AC28" s="228">
        <v>1</v>
      </c>
      <c r="AD28" s="228">
        <v>-2.4</v>
      </c>
      <c r="AE28" s="229">
        <v>-1.1999999999999999E-3</v>
      </c>
      <c r="AF28" s="228">
        <v>5.0999999999999996</v>
      </c>
      <c r="AG28" s="228">
        <v>7.8</v>
      </c>
      <c r="AH28" s="228">
        <v>-2.7</v>
      </c>
      <c r="AI28" s="229">
        <v>4.4000000000000003E-3</v>
      </c>
      <c r="AJ28" s="228">
        <v>11.4</v>
      </c>
      <c r="AK28" s="228">
        <v>15.6</v>
      </c>
      <c r="AL28" s="228">
        <v>-4.2</v>
      </c>
      <c r="AM28" s="229">
        <v>9.9000000000000008E-3</v>
      </c>
      <c r="AN28" s="231">
        <v>1148.71</v>
      </c>
      <c r="AO28" s="231">
        <v>1155.3900000000001</v>
      </c>
      <c r="AP28" s="228">
        <v>0</v>
      </c>
      <c r="AQ28" s="230">
        <v>31013</v>
      </c>
      <c r="AR28" s="230">
        <v>41484</v>
      </c>
      <c r="AS28" s="230">
        <v>-10471</v>
      </c>
      <c r="AT28" s="229">
        <v>-0.25240000000000001</v>
      </c>
      <c r="AU28" s="230">
        <v>14656</v>
      </c>
      <c r="AV28" s="230">
        <v>20559</v>
      </c>
      <c r="AW28" s="230">
        <v>-5903</v>
      </c>
      <c r="AX28" s="229">
        <v>-0.28710000000000002</v>
      </c>
      <c r="AY28" s="230">
        <v>16304</v>
      </c>
      <c r="AZ28" s="230">
        <v>20868</v>
      </c>
      <c r="BA28" s="230">
        <v>-4564</v>
      </c>
      <c r="BB28" s="229">
        <v>-0.21870000000000001</v>
      </c>
      <c r="BC28" s="228">
        <v>53</v>
      </c>
      <c r="BD28" s="228">
        <v>57</v>
      </c>
      <c r="BE28" s="228">
        <v>-4</v>
      </c>
      <c r="BF28" s="229">
        <v>-7.0199999999999999E-2</v>
      </c>
      <c r="BG28" s="230">
        <v>17118</v>
      </c>
      <c r="BH28" s="230">
        <v>19345</v>
      </c>
      <c r="BI28" s="230">
        <v>-2227</v>
      </c>
      <c r="BJ28" s="229">
        <v>-0.11509999999999999</v>
      </c>
      <c r="BK28" s="230">
        <v>8958</v>
      </c>
      <c r="BL28" s="230">
        <v>9799</v>
      </c>
      <c r="BM28" s="228">
        <v>-841</v>
      </c>
      <c r="BN28" s="229">
        <v>-8.5800000000000001E-2</v>
      </c>
      <c r="BO28" s="230">
        <v>57089</v>
      </c>
      <c r="BP28" s="230">
        <v>70628</v>
      </c>
      <c r="BQ28" s="230">
        <v>-13539</v>
      </c>
      <c r="BR28" s="229">
        <v>-0.19170000000000001</v>
      </c>
      <c r="BS28" s="230">
        <v>1349891</v>
      </c>
      <c r="BT28" s="230">
        <v>1353345</v>
      </c>
      <c r="BU28" s="230">
        <v>-3454</v>
      </c>
      <c r="BV28" s="229">
        <v>-2.5999999999999999E-3</v>
      </c>
      <c r="BW28" s="230">
        <v>47708325</v>
      </c>
      <c r="BX28" s="230">
        <v>47324925</v>
      </c>
      <c r="BY28" s="230">
        <v>383400</v>
      </c>
      <c r="BZ28" s="229">
        <v>8.0999999999999996E-3</v>
      </c>
      <c r="CA28" s="230">
        <v>6421275</v>
      </c>
      <c r="CB28" s="230">
        <v>15271200</v>
      </c>
      <c r="CC28" s="230">
        <v>-8849925</v>
      </c>
      <c r="CD28" s="229">
        <v>-0.57950000000000002</v>
      </c>
      <c r="CE28" s="230">
        <v>41204025</v>
      </c>
      <c r="CF28" s="230">
        <v>31972050</v>
      </c>
      <c r="CG28" s="230">
        <v>9231975</v>
      </c>
      <c r="CH28" s="229">
        <v>0.2888</v>
      </c>
      <c r="CI28" s="230">
        <v>83025</v>
      </c>
      <c r="CJ28" s="230">
        <v>81675</v>
      </c>
      <c r="CK28" s="230">
        <v>1350</v>
      </c>
      <c r="CL28" s="229">
        <v>1.6500000000000001E-2</v>
      </c>
      <c r="CM28" s="230">
        <v>9357525</v>
      </c>
      <c r="CN28" s="230">
        <v>9619425</v>
      </c>
      <c r="CO28" s="230">
        <v>-261900</v>
      </c>
      <c r="CP28" s="229">
        <v>-2.7199999999999998E-2</v>
      </c>
      <c r="CQ28" s="230">
        <v>5503275</v>
      </c>
      <c r="CR28" s="230">
        <v>5400000</v>
      </c>
      <c r="CS28" s="230">
        <v>103275</v>
      </c>
      <c r="CT28" s="229">
        <v>1.9099999999999999E-2</v>
      </c>
      <c r="CU28" s="230">
        <v>62569125</v>
      </c>
      <c r="CV28" s="230">
        <v>62344350</v>
      </c>
      <c r="CW28" s="230">
        <v>224775</v>
      </c>
      <c r="CX28" s="229">
        <v>3.5999999999999999E-3</v>
      </c>
      <c r="CY28" s="228">
        <v>23.44</v>
      </c>
      <c r="CZ28" s="228">
        <v>24.14</v>
      </c>
      <c r="DA28" s="228">
        <v>-0.7</v>
      </c>
      <c r="DB28" s="228">
        <v>-0.7</v>
      </c>
      <c r="DC28" s="228">
        <v>29.21</v>
      </c>
      <c r="DD28" s="228">
        <v>29.27</v>
      </c>
      <c r="DE28" s="228">
        <v>-5.77</v>
      </c>
      <c r="DF28" s="228">
        <v>-0.06</v>
      </c>
      <c r="DG28" s="228">
        <v>23.65</v>
      </c>
      <c r="DH28" s="228">
        <v>24.49</v>
      </c>
      <c r="DI28" s="228">
        <v>-0.84</v>
      </c>
      <c r="DJ28" s="228">
        <v>-0.84</v>
      </c>
      <c r="DK28" s="228">
        <v>23.08</v>
      </c>
      <c r="DL28" s="228">
        <v>23.56</v>
      </c>
      <c r="DM28" s="228">
        <v>-0.48</v>
      </c>
      <c r="DN28" s="228">
        <v>-0.48</v>
      </c>
      <c r="DO28" s="228">
        <v>0.59</v>
      </c>
      <c r="DP28" s="228">
        <v>0.56000000000000005</v>
      </c>
      <c r="DQ28" s="228">
        <v>0.03</v>
      </c>
      <c r="DR28" s="229">
        <v>5.3600000000000002E-2</v>
      </c>
      <c r="DS28" s="231">
        <v>1150</v>
      </c>
      <c r="DT28" s="231">
        <v>1100</v>
      </c>
      <c r="DU28" s="228">
        <v>0.52</v>
      </c>
      <c r="DV28" s="228">
        <v>0.51</v>
      </c>
      <c r="DW28" s="228">
        <v>0.01</v>
      </c>
      <c r="DX28" s="229">
        <v>1.9599999999999999E-2</v>
      </c>
      <c r="DY28" s="229">
        <v>0.86539999999999995</v>
      </c>
      <c r="DZ28" s="230">
        <v>32053725</v>
      </c>
      <c r="EA28" s="229">
        <v>5.7000000000000002E-3</v>
      </c>
      <c r="EB28" s="229">
        <v>0.86539999999999995</v>
      </c>
      <c r="EC28" s="228">
        <v>6.68</v>
      </c>
      <c r="ED28" s="229">
        <v>5.7999999999999996E-3</v>
      </c>
      <c r="EE28" s="230">
        <v>609266</v>
      </c>
      <c r="EF28" s="230">
        <v>771307</v>
      </c>
      <c r="EG28" s="229">
        <v>-0.21010000000000001</v>
      </c>
      <c r="EH28" s="229">
        <v>0.45129999999999998</v>
      </c>
      <c r="EI28" s="231">
        <v>137036.88</v>
      </c>
      <c r="EJ28" s="231">
        <v>68950.460000000006</v>
      </c>
      <c r="EK28" s="231">
        <v>241209.31</v>
      </c>
      <c r="EL28" s="231">
        <v>23880</v>
      </c>
      <c r="EM28" s="231">
        <v>447196.65</v>
      </c>
      <c r="EN28" s="231">
        <v>549975</v>
      </c>
      <c r="EO28" s="231">
        <v>-102778.35</v>
      </c>
      <c r="EP28" s="229">
        <v>-0.18690000000000001</v>
      </c>
      <c r="EQ28" s="231">
        <v>111627</v>
      </c>
      <c r="ER28" s="231">
        <v>60809</v>
      </c>
      <c r="ES28" s="231">
        <v>550953</v>
      </c>
      <c r="ET28" s="231">
        <v>133166619</v>
      </c>
      <c r="EU28" s="231">
        <v>723389</v>
      </c>
      <c r="EV28" s="231">
        <v>717574</v>
      </c>
      <c r="EW28" s="231">
        <v>5815</v>
      </c>
      <c r="EX28" s="229">
        <v>8.0999999999999996E-3</v>
      </c>
      <c r="EY28" s="229">
        <v>0.46989999999999998</v>
      </c>
    </row>
    <row r="29" spans="1:155" ht="17.25" thickBot="1" x14ac:dyDescent="0.3">
      <c r="A29" s="226">
        <v>45957</v>
      </c>
      <c r="B29" s="227" t="s">
        <v>172</v>
      </c>
      <c r="C29" s="227" t="s">
        <v>246</v>
      </c>
      <c r="D29" s="231">
        <v>2151.1</v>
      </c>
      <c r="E29" s="231">
        <v>2189.1</v>
      </c>
      <c r="F29" s="228">
        <v>-38</v>
      </c>
      <c r="G29" s="229">
        <v>-1.7399999999999999E-2</v>
      </c>
      <c r="H29" s="231">
        <v>2148.6</v>
      </c>
      <c r="I29" s="231">
        <v>2187</v>
      </c>
      <c r="J29" s="228">
        <v>-38.4</v>
      </c>
      <c r="K29" s="229">
        <v>-1.7600000000000001E-2</v>
      </c>
      <c r="L29" s="231">
        <v>2151.1</v>
      </c>
      <c r="M29" s="231">
        <v>2189.1</v>
      </c>
      <c r="N29" s="228">
        <v>-38</v>
      </c>
      <c r="O29" s="229">
        <v>-1.7399999999999999E-2</v>
      </c>
      <c r="P29" s="231">
        <v>2163.1</v>
      </c>
      <c r="Q29" s="231">
        <v>2201.1999999999998</v>
      </c>
      <c r="R29" s="228">
        <v>-38.1</v>
      </c>
      <c r="S29" s="229">
        <v>-1.7299999999999999E-2</v>
      </c>
      <c r="T29" s="231">
        <v>2177.6</v>
      </c>
      <c r="U29" s="231">
        <v>2214.6</v>
      </c>
      <c r="V29" s="228">
        <v>-37</v>
      </c>
      <c r="W29" s="229">
        <v>-1.67E-2</v>
      </c>
      <c r="X29" s="228">
        <v>2.5</v>
      </c>
      <c r="Y29" s="228">
        <v>2.1</v>
      </c>
      <c r="Z29" s="228">
        <v>0.4</v>
      </c>
      <c r="AA29" s="229">
        <v>1.1999999999999999E-3</v>
      </c>
      <c r="AB29" s="228">
        <v>2.5</v>
      </c>
      <c r="AC29" s="228">
        <v>2.1</v>
      </c>
      <c r="AD29" s="228">
        <v>0.4</v>
      </c>
      <c r="AE29" s="229">
        <v>1.1999999999999999E-3</v>
      </c>
      <c r="AF29" s="228">
        <v>14.5</v>
      </c>
      <c r="AG29" s="228">
        <v>14.2</v>
      </c>
      <c r="AH29" s="228">
        <v>0.3</v>
      </c>
      <c r="AI29" s="229">
        <v>6.7000000000000002E-3</v>
      </c>
      <c r="AJ29" s="228">
        <v>29</v>
      </c>
      <c r="AK29" s="228">
        <v>27.6</v>
      </c>
      <c r="AL29" s="228">
        <v>1.4</v>
      </c>
      <c r="AM29" s="229">
        <v>1.35E-2</v>
      </c>
      <c r="AN29" s="231">
        <v>2157.21</v>
      </c>
      <c r="AO29" s="231">
        <v>2169.9299999999998</v>
      </c>
      <c r="AP29" s="228">
        <v>0</v>
      </c>
      <c r="AQ29" s="230">
        <v>68155</v>
      </c>
      <c r="AR29" s="230">
        <v>58329</v>
      </c>
      <c r="AS29" s="230">
        <v>9826</v>
      </c>
      <c r="AT29" s="229">
        <v>0.16850000000000001</v>
      </c>
      <c r="AU29" s="230">
        <v>29487</v>
      </c>
      <c r="AV29" s="230">
        <v>30301</v>
      </c>
      <c r="AW29" s="228">
        <v>-814</v>
      </c>
      <c r="AX29" s="229">
        <v>-2.69E-2</v>
      </c>
      <c r="AY29" s="230">
        <v>38422</v>
      </c>
      <c r="AZ29" s="230">
        <v>27838</v>
      </c>
      <c r="BA29" s="230">
        <v>10584</v>
      </c>
      <c r="BB29" s="229">
        <v>0.38019999999999998</v>
      </c>
      <c r="BC29" s="228">
        <v>246</v>
      </c>
      <c r="BD29" s="228">
        <v>190</v>
      </c>
      <c r="BE29" s="228">
        <v>56</v>
      </c>
      <c r="BF29" s="229">
        <v>0.29470000000000002</v>
      </c>
      <c r="BG29" s="230">
        <v>123307</v>
      </c>
      <c r="BH29" s="230">
        <v>93780</v>
      </c>
      <c r="BI29" s="230">
        <v>29527</v>
      </c>
      <c r="BJ29" s="229">
        <v>0.31490000000000001</v>
      </c>
      <c r="BK29" s="230">
        <v>86058</v>
      </c>
      <c r="BL29" s="230">
        <v>69453</v>
      </c>
      <c r="BM29" s="230">
        <v>16605</v>
      </c>
      <c r="BN29" s="229">
        <v>0.23910000000000001</v>
      </c>
      <c r="BO29" s="230">
        <v>277520</v>
      </c>
      <c r="BP29" s="230">
        <v>221562</v>
      </c>
      <c r="BQ29" s="230">
        <v>55958</v>
      </c>
      <c r="BR29" s="229">
        <v>0.25259999999999999</v>
      </c>
      <c r="BS29" s="230">
        <v>4328341</v>
      </c>
      <c r="BT29" s="230">
        <v>3306439</v>
      </c>
      <c r="BU29" s="230">
        <v>1021902</v>
      </c>
      <c r="BV29" s="229">
        <v>0.30909999999999999</v>
      </c>
      <c r="BW29" s="230">
        <v>31713200</v>
      </c>
      <c r="BX29" s="230">
        <v>31429200</v>
      </c>
      <c r="BY29" s="230">
        <v>284000</v>
      </c>
      <c r="BZ29" s="229">
        <v>8.9999999999999993E-3</v>
      </c>
      <c r="CA29" s="230">
        <v>5876800</v>
      </c>
      <c r="CB29" s="230">
        <v>14072800</v>
      </c>
      <c r="CC29" s="230">
        <v>-8196000</v>
      </c>
      <c r="CD29" s="229">
        <v>-0.58240000000000003</v>
      </c>
      <c r="CE29" s="230">
        <v>24808800</v>
      </c>
      <c r="CF29" s="230">
        <v>16360000</v>
      </c>
      <c r="CG29" s="230">
        <v>8448800</v>
      </c>
      <c r="CH29" s="229">
        <v>0.51639999999999997</v>
      </c>
      <c r="CI29" s="230">
        <v>1027600</v>
      </c>
      <c r="CJ29" s="230">
        <v>996400</v>
      </c>
      <c r="CK29" s="230">
        <v>31200</v>
      </c>
      <c r="CL29" s="229">
        <v>3.1300000000000001E-2</v>
      </c>
      <c r="CM29" s="230">
        <v>11509200</v>
      </c>
      <c r="CN29" s="230">
        <v>10647200</v>
      </c>
      <c r="CO29" s="230">
        <v>862000</v>
      </c>
      <c r="CP29" s="229">
        <v>8.1000000000000003E-2</v>
      </c>
      <c r="CQ29" s="230">
        <v>9532400</v>
      </c>
      <c r="CR29" s="230">
        <v>11117600</v>
      </c>
      <c r="CS29" s="230">
        <v>-1585200</v>
      </c>
      <c r="CT29" s="229">
        <v>-0.1426</v>
      </c>
      <c r="CU29" s="230">
        <v>52754800</v>
      </c>
      <c r="CV29" s="230">
        <v>53194000</v>
      </c>
      <c r="CW29" s="230">
        <v>-439200</v>
      </c>
      <c r="CX29" s="229">
        <v>-8.3000000000000001E-3</v>
      </c>
      <c r="CY29" s="228">
        <v>19.68</v>
      </c>
      <c r="CZ29" s="228">
        <v>23.32</v>
      </c>
      <c r="DA29" s="228">
        <v>-3.64</v>
      </c>
      <c r="DB29" s="228">
        <v>-3.64</v>
      </c>
      <c r="DC29" s="228">
        <v>27.49</v>
      </c>
      <c r="DD29" s="228">
        <v>27.45</v>
      </c>
      <c r="DE29" s="228">
        <v>-7.81</v>
      </c>
      <c r="DF29" s="228">
        <v>0.04</v>
      </c>
      <c r="DG29" s="228">
        <v>19.86</v>
      </c>
      <c r="DH29" s="228">
        <v>23.2</v>
      </c>
      <c r="DI29" s="228">
        <v>-3.34</v>
      </c>
      <c r="DJ29" s="228">
        <v>-3.34</v>
      </c>
      <c r="DK29" s="228">
        <v>19.399999999999999</v>
      </c>
      <c r="DL29" s="228">
        <v>23.48</v>
      </c>
      <c r="DM29" s="228">
        <v>-4.08</v>
      </c>
      <c r="DN29" s="228">
        <v>-4.08</v>
      </c>
      <c r="DO29" s="228">
        <v>0.83</v>
      </c>
      <c r="DP29" s="228">
        <v>1.04</v>
      </c>
      <c r="DQ29" s="228">
        <v>-0.21</v>
      </c>
      <c r="DR29" s="229">
        <v>-0.2019</v>
      </c>
      <c r="DS29" s="231">
        <v>2200</v>
      </c>
      <c r="DT29" s="231">
        <v>2100</v>
      </c>
      <c r="DU29" s="228">
        <v>0.7</v>
      </c>
      <c r="DV29" s="228">
        <v>0.74</v>
      </c>
      <c r="DW29" s="228">
        <v>-0.04</v>
      </c>
      <c r="DX29" s="229">
        <v>-5.4100000000000002E-2</v>
      </c>
      <c r="DY29" s="229">
        <v>0.81469999999999998</v>
      </c>
      <c r="DZ29" s="230">
        <v>17356400</v>
      </c>
      <c r="EA29" s="229">
        <v>5.5999999999999999E-3</v>
      </c>
      <c r="EB29" s="229">
        <v>0.81469999999999998</v>
      </c>
      <c r="EC29" s="228">
        <v>12.72</v>
      </c>
      <c r="ED29" s="229">
        <v>5.8999999999999999E-3</v>
      </c>
      <c r="EE29" s="230">
        <v>2459916</v>
      </c>
      <c r="EF29" s="230">
        <v>1751934</v>
      </c>
      <c r="EG29" s="229">
        <v>0.40410000000000001</v>
      </c>
      <c r="EH29" s="229">
        <v>0.56830000000000003</v>
      </c>
      <c r="EI29" s="231">
        <v>1097826.3700000001</v>
      </c>
      <c r="EJ29" s="231">
        <v>737241.8</v>
      </c>
      <c r="EK29" s="231">
        <v>590081.14</v>
      </c>
      <c r="EL29" s="231">
        <v>33446</v>
      </c>
      <c r="EM29" s="231">
        <v>2425149.31</v>
      </c>
      <c r="EN29" s="231">
        <v>1955147.01</v>
      </c>
      <c r="EO29" s="231">
        <v>470002.3</v>
      </c>
      <c r="EP29" s="229">
        <v>0.2404</v>
      </c>
      <c r="EQ29" s="231">
        <v>254835</v>
      </c>
      <c r="ER29" s="231">
        <v>198614</v>
      </c>
      <c r="ES29" s="231">
        <v>685432</v>
      </c>
      <c r="ET29" s="231">
        <v>215751979</v>
      </c>
      <c r="EU29" s="231">
        <v>1138881</v>
      </c>
      <c r="EV29" s="231">
        <v>1158529</v>
      </c>
      <c r="EW29" s="231">
        <v>-19648</v>
      </c>
      <c r="EX29" s="229">
        <v>-1.7000000000000001E-2</v>
      </c>
      <c r="EY29" s="229">
        <v>0.2445</v>
      </c>
    </row>
    <row r="30" spans="1:155" ht="17.25" thickBot="1" x14ac:dyDescent="0.3">
      <c r="A30" s="226">
        <v>45957</v>
      </c>
      <c r="B30" s="227" t="s">
        <v>184</v>
      </c>
      <c r="C30" s="227" t="s">
        <v>249</v>
      </c>
      <c r="D30" s="231">
        <v>3926.8</v>
      </c>
      <c r="E30" s="231">
        <v>3908.5</v>
      </c>
      <c r="F30" s="228">
        <v>18.3</v>
      </c>
      <c r="G30" s="229">
        <v>4.7000000000000002E-3</v>
      </c>
      <c r="H30" s="231">
        <v>3923.8</v>
      </c>
      <c r="I30" s="231">
        <v>3904.9</v>
      </c>
      <c r="J30" s="228">
        <v>18.899999999999999</v>
      </c>
      <c r="K30" s="229">
        <v>4.7999999999999996E-3</v>
      </c>
      <c r="L30" s="231">
        <v>3926.8</v>
      </c>
      <c r="M30" s="231">
        <v>3908.5</v>
      </c>
      <c r="N30" s="228">
        <v>18.3</v>
      </c>
      <c r="O30" s="229">
        <v>4.7000000000000002E-3</v>
      </c>
      <c r="P30" s="231">
        <v>3950.8</v>
      </c>
      <c r="Q30" s="231">
        <v>3931.6</v>
      </c>
      <c r="R30" s="228">
        <v>19.2</v>
      </c>
      <c r="S30" s="229">
        <v>4.8999999999999998E-3</v>
      </c>
      <c r="T30" s="231">
        <v>3974.8</v>
      </c>
      <c r="U30" s="231">
        <v>3955.6</v>
      </c>
      <c r="V30" s="228">
        <v>19.2</v>
      </c>
      <c r="W30" s="229">
        <v>4.8999999999999998E-3</v>
      </c>
      <c r="X30" s="228">
        <v>3</v>
      </c>
      <c r="Y30" s="228">
        <v>3.6</v>
      </c>
      <c r="Z30" s="228">
        <v>-0.6</v>
      </c>
      <c r="AA30" s="229">
        <v>8.0000000000000004E-4</v>
      </c>
      <c r="AB30" s="228">
        <v>3</v>
      </c>
      <c r="AC30" s="228">
        <v>3.6</v>
      </c>
      <c r="AD30" s="228">
        <v>-0.6</v>
      </c>
      <c r="AE30" s="229">
        <v>8.0000000000000004E-4</v>
      </c>
      <c r="AF30" s="228">
        <v>27</v>
      </c>
      <c r="AG30" s="228">
        <v>26.7</v>
      </c>
      <c r="AH30" s="228">
        <v>0.3</v>
      </c>
      <c r="AI30" s="229">
        <v>6.8999999999999999E-3</v>
      </c>
      <c r="AJ30" s="228">
        <v>51</v>
      </c>
      <c r="AK30" s="228">
        <v>50.7</v>
      </c>
      <c r="AL30" s="228">
        <v>0.3</v>
      </c>
      <c r="AM30" s="229">
        <v>1.2999999999999999E-2</v>
      </c>
      <c r="AN30" s="231">
        <v>3933.29</v>
      </c>
      <c r="AO30" s="231">
        <v>3956.35</v>
      </c>
      <c r="AP30" s="228">
        <v>0</v>
      </c>
      <c r="AQ30" s="230">
        <v>54512</v>
      </c>
      <c r="AR30" s="230">
        <v>53900</v>
      </c>
      <c r="AS30" s="228">
        <v>612</v>
      </c>
      <c r="AT30" s="229">
        <v>1.14E-2</v>
      </c>
      <c r="AU30" s="230">
        <v>26445</v>
      </c>
      <c r="AV30" s="230">
        <v>28696</v>
      </c>
      <c r="AW30" s="230">
        <v>-2251</v>
      </c>
      <c r="AX30" s="229">
        <v>-7.8399999999999997E-2</v>
      </c>
      <c r="AY30" s="230">
        <v>27928</v>
      </c>
      <c r="AZ30" s="230">
        <v>25095</v>
      </c>
      <c r="BA30" s="230">
        <v>2833</v>
      </c>
      <c r="BB30" s="229">
        <v>0.1129</v>
      </c>
      <c r="BC30" s="228">
        <v>139</v>
      </c>
      <c r="BD30" s="228">
        <v>109</v>
      </c>
      <c r="BE30" s="228">
        <v>30</v>
      </c>
      <c r="BF30" s="229">
        <v>0.2752</v>
      </c>
      <c r="BG30" s="230">
        <v>37750</v>
      </c>
      <c r="BH30" s="230">
        <v>44093</v>
      </c>
      <c r="BI30" s="230">
        <v>-6343</v>
      </c>
      <c r="BJ30" s="229">
        <v>-0.1439</v>
      </c>
      <c r="BK30" s="230">
        <v>23165</v>
      </c>
      <c r="BL30" s="230">
        <v>29395</v>
      </c>
      <c r="BM30" s="230">
        <v>-6230</v>
      </c>
      <c r="BN30" s="229">
        <v>-0.21190000000000001</v>
      </c>
      <c r="BO30" s="230">
        <v>115427</v>
      </c>
      <c r="BP30" s="230">
        <v>127388</v>
      </c>
      <c r="BQ30" s="230">
        <v>-11961</v>
      </c>
      <c r="BR30" s="229">
        <v>-9.3899999999999997E-2</v>
      </c>
      <c r="BS30" s="230">
        <v>1108353</v>
      </c>
      <c r="BT30" s="230">
        <v>1171793</v>
      </c>
      <c r="BU30" s="230">
        <v>-63440</v>
      </c>
      <c r="BV30" s="229">
        <v>-5.4100000000000002E-2</v>
      </c>
      <c r="BW30" s="230">
        <v>17687950</v>
      </c>
      <c r="BX30" s="230">
        <v>17047625</v>
      </c>
      <c r="BY30" s="230">
        <v>640325</v>
      </c>
      <c r="BZ30" s="229">
        <v>3.7600000000000001E-2</v>
      </c>
      <c r="CA30" s="230">
        <v>5274675</v>
      </c>
      <c r="CB30" s="230">
        <v>8552775</v>
      </c>
      <c r="CC30" s="230">
        <v>-3278100</v>
      </c>
      <c r="CD30" s="229">
        <v>-0.38329999999999997</v>
      </c>
      <c r="CE30" s="230">
        <v>11974550</v>
      </c>
      <c r="CF30" s="230">
        <v>8065400</v>
      </c>
      <c r="CG30" s="230">
        <v>3909150</v>
      </c>
      <c r="CH30" s="229">
        <v>0.48470000000000002</v>
      </c>
      <c r="CI30" s="230">
        <v>438725</v>
      </c>
      <c r="CJ30" s="230">
        <v>429450</v>
      </c>
      <c r="CK30" s="230">
        <v>9275</v>
      </c>
      <c r="CL30" s="229">
        <v>2.1600000000000001E-2</v>
      </c>
      <c r="CM30" s="230">
        <v>8454950</v>
      </c>
      <c r="CN30" s="230">
        <v>8666875</v>
      </c>
      <c r="CO30" s="230">
        <v>-211925</v>
      </c>
      <c r="CP30" s="229">
        <v>-2.4500000000000001E-2</v>
      </c>
      <c r="CQ30" s="230">
        <v>5495875</v>
      </c>
      <c r="CR30" s="230">
        <v>5598950</v>
      </c>
      <c r="CS30" s="230">
        <v>-103075</v>
      </c>
      <c r="CT30" s="229">
        <v>-1.84E-2</v>
      </c>
      <c r="CU30" s="230">
        <v>31638775</v>
      </c>
      <c r="CV30" s="230">
        <v>31313450</v>
      </c>
      <c r="CW30" s="230">
        <v>325325</v>
      </c>
      <c r="CX30" s="229">
        <v>1.04E-2</v>
      </c>
      <c r="CY30" s="228">
        <v>23.07</v>
      </c>
      <c r="CZ30" s="228">
        <v>21.79</v>
      </c>
      <c r="DA30" s="228">
        <v>1.28</v>
      </c>
      <c r="DB30" s="228">
        <v>1.28</v>
      </c>
      <c r="DC30" s="228">
        <v>27.66</v>
      </c>
      <c r="DD30" s="228">
        <v>27.73</v>
      </c>
      <c r="DE30" s="228">
        <v>-4.59</v>
      </c>
      <c r="DF30" s="228">
        <v>-7.0000000000000007E-2</v>
      </c>
      <c r="DG30" s="228">
        <v>23.23</v>
      </c>
      <c r="DH30" s="228">
        <v>21.98</v>
      </c>
      <c r="DI30" s="228">
        <v>1.25</v>
      </c>
      <c r="DJ30" s="228">
        <v>1.25</v>
      </c>
      <c r="DK30" s="228">
        <v>22.65</v>
      </c>
      <c r="DL30" s="228">
        <v>21.36</v>
      </c>
      <c r="DM30" s="228">
        <v>1.29</v>
      </c>
      <c r="DN30" s="228">
        <v>1.29</v>
      </c>
      <c r="DO30" s="228">
        <v>0.65</v>
      </c>
      <c r="DP30" s="228">
        <v>0.65</v>
      </c>
      <c r="DQ30" s="228">
        <v>0</v>
      </c>
      <c r="DR30" s="229">
        <v>0</v>
      </c>
      <c r="DS30" s="231">
        <v>3800</v>
      </c>
      <c r="DT30" s="231">
        <v>3800</v>
      </c>
      <c r="DU30" s="228">
        <v>0.61</v>
      </c>
      <c r="DV30" s="228">
        <v>0.67</v>
      </c>
      <c r="DW30" s="228">
        <v>-0.06</v>
      </c>
      <c r="DX30" s="229">
        <v>-8.9599999999999999E-2</v>
      </c>
      <c r="DY30" s="229">
        <v>0.70179999999999998</v>
      </c>
      <c r="DZ30" s="230">
        <v>8494850</v>
      </c>
      <c r="EA30" s="229">
        <v>6.1000000000000004E-3</v>
      </c>
      <c r="EB30" s="229">
        <v>0.70179999999999998</v>
      </c>
      <c r="EC30" s="228">
        <v>23.06</v>
      </c>
      <c r="ED30" s="229">
        <v>5.8999999999999999E-3</v>
      </c>
      <c r="EE30" s="230">
        <v>645851</v>
      </c>
      <c r="EF30" s="230">
        <v>537642</v>
      </c>
      <c r="EG30" s="229">
        <v>0.20130000000000001</v>
      </c>
      <c r="EH30" s="229">
        <v>0.5827</v>
      </c>
      <c r="EI30" s="231">
        <v>266423.71999999997</v>
      </c>
      <c r="EJ30" s="231">
        <v>157054.1</v>
      </c>
      <c r="EK30" s="231">
        <v>376359.13</v>
      </c>
      <c r="EL30" s="231">
        <v>32200</v>
      </c>
      <c r="EM30" s="231">
        <v>799836.95</v>
      </c>
      <c r="EN30" s="231">
        <v>879537</v>
      </c>
      <c r="EO30" s="231">
        <v>-79700.05</v>
      </c>
      <c r="EP30" s="229">
        <v>-9.06E-2</v>
      </c>
      <c r="EQ30" s="231">
        <v>330977</v>
      </c>
      <c r="ER30" s="231">
        <v>206922</v>
      </c>
      <c r="ES30" s="231">
        <v>697655</v>
      </c>
      <c r="ET30" s="231">
        <v>136007303</v>
      </c>
      <c r="EU30" s="231">
        <v>1235554</v>
      </c>
      <c r="EV30" s="231">
        <v>1217804</v>
      </c>
      <c r="EW30" s="231">
        <v>17750</v>
      </c>
      <c r="EX30" s="229">
        <v>1.46E-2</v>
      </c>
      <c r="EY30" s="229">
        <v>0.2326</v>
      </c>
    </row>
    <row r="31" spans="1:155" ht="17.25" thickBot="1" x14ac:dyDescent="0.3">
      <c r="A31" s="226">
        <v>45957</v>
      </c>
      <c r="B31" s="227" t="s">
        <v>162</v>
      </c>
      <c r="C31" s="227" t="s">
        <v>251</v>
      </c>
      <c r="D31" s="231">
        <v>3615.6</v>
      </c>
      <c r="E31" s="231">
        <v>3620.1</v>
      </c>
      <c r="F31" s="228">
        <v>-4.5</v>
      </c>
      <c r="G31" s="229">
        <v>-1.1999999999999999E-3</v>
      </c>
      <c r="H31" s="231">
        <v>3611.6</v>
      </c>
      <c r="I31" s="231">
        <v>3625</v>
      </c>
      <c r="J31" s="228">
        <v>-13.4</v>
      </c>
      <c r="K31" s="229">
        <v>-3.7000000000000002E-3</v>
      </c>
      <c r="L31" s="231">
        <v>3615.6</v>
      </c>
      <c r="M31" s="231">
        <v>3620.1</v>
      </c>
      <c r="N31" s="228">
        <v>-4.5</v>
      </c>
      <c r="O31" s="229">
        <v>-1.1999999999999999E-3</v>
      </c>
      <c r="P31" s="231">
        <v>3636.5</v>
      </c>
      <c r="Q31" s="231">
        <v>3640.7</v>
      </c>
      <c r="R31" s="228">
        <v>-4.2</v>
      </c>
      <c r="S31" s="229">
        <v>-1.1999999999999999E-3</v>
      </c>
      <c r="T31" s="231">
        <v>3660.4</v>
      </c>
      <c r="U31" s="231">
        <v>3664.3</v>
      </c>
      <c r="V31" s="228">
        <v>-3.9</v>
      </c>
      <c r="W31" s="229">
        <v>-1.1000000000000001E-3</v>
      </c>
      <c r="X31" s="228">
        <v>4</v>
      </c>
      <c r="Y31" s="228">
        <v>-4.9000000000000004</v>
      </c>
      <c r="Z31" s="228">
        <v>8.9</v>
      </c>
      <c r="AA31" s="229">
        <v>1.1000000000000001E-3</v>
      </c>
      <c r="AB31" s="228">
        <v>4</v>
      </c>
      <c r="AC31" s="228">
        <v>-4.9000000000000004</v>
      </c>
      <c r="AD31" s="228">
        <v>8.9</v>
      </c>
      <c r="AE31" s="229">
        <v>1.1000000000000001E-3</v>
      </c>
      <c r="AF31" s="228">
        <v>24.9</v>
      </c>
      <c r="AG31" s="228">
        <v>15.7</v>
      </c>
      <c r="AH31" s="228">
        <v>9.1999999999999993</v>
      </c>
      <c r="AI31" s="229">
        <v>6.8999999999999999E-3</v>
      </c>
      <c r="AJ31" s="228">
        <v>48.8</v>
      </c>
      <c r="AK31" s="228">
        <v>39.299999999999997</v>
      </c>
      <c r="AL31" s="228">
        <v>9.5</v>
      </c>
      <c r="AM31" s="229">
        <v>1.35E-2</v>
      </c>
      <c r="AN31" s="231">
        <v>3613.78</v>
      </c>
      <c r="AO31" s="231">
        <v>3634.53</v>
      </c>
      <c r="AP31" s="228">
        <v>0</v>
      </c>
      <c r="AQ31" s="230">
        <v>53007</v>
      </c>
      <c r="AR31" s="230">
        <v>55907</v>
      </c>
      <c r="AS31" s="230">
        <v>-2900</v>
      </c>
      <c r="AT31" s="229">
        <v>-5.1900000000000002E-2</v>
      </c>
      <c r="AU31" s="230">
        <v>25215</v>
      </c>
      <c r="AV31" s="230">
        <v>28777</v>
      </c>
      <c r="AW31" s="230">
        <v>-3562</v>
      </c>
      <c r="AX31" s="229">
        <v>-0.12379999999999999</v>
      </c>
      <c r="AY31" s="230">
        <v>27673</v>
      </c>
      <c r="AZ31" s="230">
        <v>27017</v>
      </c>
      <c r="BA31" s="228">
        <v>656</v>
      </c>
      <c r="BB31" s="229">
        <v>2.4299999999999999E-2</v>
      </c>
      <c r="BC31" s="228">
        <v>119</v>
      </c>
      <c r="BD31" s="228">
        <v>113</v>
      </c>
      <c r="BE31" s="228">
        <v>6</v>
      </c>
      <c r="BF31" s="229">
        <v>5.3100000000000001E-2</v>
      </c>
      <c r="BG31" s="230">
        <v>27114</v>
      </c>
      <c r="BH31" s="230">
        <v>32315</v>
      </c>
      <c r="BI31" s="230">
        <v>-5201</v>
      </c>
      <c r="BJ31" s="229">
        <v>-0.16089999999999999</v>
      </c>
      <c r="BK31" s="230">
        <v>21504</v>
      </c>
      <c r="BL31" s="230">
        <v>21396</v>
      </c>
      <c r="BM31" s="228">
        <v>108</v>
      </c>
      <c r="BN31" s="229">
        <v>5.0000000000000001E-3</v>
      </c>
      <c r="BO31" s="230">
        <v>101625</v>
      </c>
      <c r="BP31" s="230">
        <v>109618</v>
      </c>
      <c r="BQ31" s="230">
        <v>-7993</v>
      </c>
      <c r="BR31" s="229">
        <v>-7.2900000000000006E-2</v>
      </c>
      <c r="BS31" s="230">
        <v>1472246</v>
      </c>
      <c r="BT31" s="230">
        <v>1687311</v>
      </c>
      <c r="BU31" s="230">
        <v>-215065</v>
      </c>
      <c r="BV31" s="229">
        <v>-0.1275</v>
      </c>
      <c r="BW31" s="230">
        <v>19555800</v>
      </c>
      <c r="BX31" s="230">
        <v>19448400</v>
      </c>
      <c r="BY31" s="230">
        <v>107400</v>
      </c>
      <c r="BZ31" s="229">
        <v>5.4999999999999997E-3</v>
      </c>
      <c r="CA31" s="230">
        <v>3740600</v>
      </c>
      <c r="CB31" s="230">
        <v>8102400</v>
      </c>
      <c r="CC31" s="230">
        <v>-4361800</v>
      </c>
      <c r="CD31" s="229">
        <v>-0.5383</v>
      </c>
      <c r="CE31" s="230">
        <v>15436000</v>
      </c>
      <c r="CF31" s="230">
        <v>10974800</v>
      </c>
      <c r="CG31" s="230">
        <v>4461200</v>
      </c>
      <c r="CH31" s="229">
        <v>0.40649999999999997</v>
      </c>
      <c r="CI31" s="230">
        <v>379200</v>
      </c>
      <c r="CJ31" s="230">
        <v>371200</v>
      </c>
      <c r="CK31" s="230">
        <v>8000</v>
      </c>
      <c r="CL31" s="229">
        <v>2.1600000000000001E-2</v>
      </c>
      <c r="CM31" s="230">
        <v>4376800</v>
      </c>
      <c r="CN31" s="230">
        <v>4722400</v>
      </c>
      <c r="CO31" s="230">
        <v>-345600</v>
      </c>
      <c r="CP31" s="229">
        <v>-7.3200000000000001E-2</v>
      </c>
      <c r="CQ31" s="230">
        <v>3305200</v>
      </c>
      <c r="CR31" s="230">
        <v>3480000</v>
      </c>
      <c r="CS31" s="230">
        <v>-174800</v>
      </c>
      <c r="CT31" s="229">
        <v>-5.0200000000000002E-2</v>
      </c>
      <c r="CU31" s="230">
        <v>27237800</v>
      </c>
      <c r="CV31" s="230">
        <v>27650800</v>
      </c>
      <c r="CW31" s="230">
        <v>-413000</v>
      </c>
      <c r="CX31" s="229">
        <v>-1.49E-2</v>
      </c>
      <c r="CY31" s="228">
        <v>26.1</v>
      </c>
      <c r="CZ31" s="228">
        <v>25.06</v>
      </c>
      <c r="DA31" s="228">
        <v>1.04</v>
      </c>
      <c r="DB31" s="228">
        <v>1.04</v>
      </c>
      <c r="DC31" s="228">
        <v>33.94</v>
      </c>
      <c r="DD31" s="228">
        <v>34.020000000000003</v>
      </c>
      <c r="DE31" s="228">
        <v>-7.84</v>
      </c>
      <c r="DF31" s="228">
        <v>-0.08</v>
      </c>
      <c r="DG31" s="228">
        <v>26.13</v>
      </c>
      <c r="DH31" s="228">
        <v>25.04</v>
      </c>
      <c r="DI31" s="228">
        <v>1.0900000000000001</v>
      </c>
      <c r="DJ31" s="228">
        <v>1.0900000000000001</v>
      </c>
      <c r="DK31" s="228">
        <v>26.04</v>
      </c>
      <c r="DL31" s="228">
        <v>25.08</v>
      </c>
      <c r="DM31" s="228">
        <v>0.96</v>
      </c>
      <c r="DN31" s="228">
        <v>0.96</v>
      </c>
      <c r="DO31" s="228">
        <v>0.76</v>
      </c>
      <c r="DP31" s="228">
        <v>0.74</v>
      </c>
      <c r="DQ31" s="228">
        <v>0.02</v>
      </c>
      <c r="DR31" s="229">
        <v>2.7E-2</v>
      </c>
      <c r="DS31" s="231">
        <v>3700</v>
      </c>
      <c r="DT31" s="231">
        <v>3550</v>
      </c>
      <c r="DU31" s="228">
        <v>0.79</v>
      </c>
      <c r="DV31" s="228">
        <v>0.66</v>
      </c>
      <c r="DW31" s="228">
        <v>0.13</v>
      </c>
      <c r="DX31" s="229">
        <v>0.19700000000000001</v>
      </c>
      <c r="DY31" s="229">
        <v>0.80869999999999997</v>
      </c>
      <c r="DZ31" s="230">
        <v>11346000</v>
      </c>
      <c r="EA31" s="229">
        <v>5.7999999999999996E-3</v>
      </c>
      <c r="EB31" s="229">
        <v>0.80869999999999997</v>
      </c>
      <c r="EC31" s="228">
        <v>20.75</v>
      </c>
      <c r="ED31" s="229">
        <v>5.7000000000000002E-3</v>
      </c>
      <c r="EE31" s="230">
        <v>933779</v>
      </c>
      <c r="EF31" s="230">
        <v>1054589</v>
      </c>
      <c r="EG31" s="229">
        <v>-0.11459999999999999</v>
      </c>
      <c r="EH31" s="229">
        <v>0.63429999999999997</v>
      </c>
      <c r="EI31" s="231">
        <v>201431.13</v>
      </c>
      <c r="EJ31" s="231">
        <v>152423.66</v>
      </c>
      <c r="EK31" s="231">
        <v>384269.94</v>
      </c>
      <c r="EL31" s="231">
        <v>34209</v>
      </c>
      <c r="EM31" s="231">
        <v>738124.73</v>
      </c>
      <c r="EN31" s="231">
        <v>801576.83</v>
      </c>
      <c r="EO31" s="231">
        <v>-63452.1</v>
      </c>
      <c r="EP31" s="229">
        <v>-7.9200000000000007E-2</v>
      </c>
      <c r="EQ31" s="231">
        <v>162161</v>
      </c>
      <c r="ER31" s="231">
        <v>114141</v>
      </c>
      <c r="ES31" s="231">
        <v>710456</v>
      </c>
      <c r="ET31" s="231">
        <v>100261459</v>
      </c>
      <c r="EU31" s="231">
        <v>986757</v>
      </c>
      <c r="EV31" s="231">
        <v>1001470</v>
      </c>
      <c r="EW31" s="231">
        <v>-14713</v>
      </c>
      <c r="EX31" s="229">
        <v>-1.47E-2</v>
      </c>
      <c r="EY31" s="229">
        <v>0.2717</v>
      </c>
    </row>
    <row r="32" spans="1:155" ht="17.25" thickBot="1" x14ac:dyDescent="0.3">
      <c r="A32" s="226">
        <v>45957</v>
      </c>
      <c r="B32" s="227" t="s">
        <v>162</v>
      </c>
      <c r="C32" s="227" t="s">
        <v>255</v>
      </c>
      <c r="D32" s="231">
        <v>16404</v>
      </c>
      <c r="E32" s="231">
        <v>16261</v>
      </c>
      <c r="F32" s="228">
        <v>143</v>
      </c>
      <c r="G32" s="229">
        <v>8.8000000000000005E-3</v>
      </c>
      <c r="H32" s="231">
        <v>16388</v>
      </c>
      <c r="I32" s="231">
        <v>16274</v>
      </c>
      <c r="J32" s="228">
        <v>114</v>
      </c>
      <c r="K32" s="229">
        <v>7.0000000000000001E-3</v>
      </c>
      <c r="L32" s="231">
        <v>16404</v>
      </c>
      <c r="M32" s="231">
        <v>16261</v>
      </c>
      <c r="N32" s="228">
        <v>143</v>
      </c>
      <c r="O32" s="229">
        <v>8.8000000000000005E-3</v>
      </c>
      <c r="P32" s="231">
        <v>16499</v>
      </c>
      <c r="Q32" s="231">
        <v>16356</v>
      </c>
      <c r="R32" s="228">
        <v>143</v>
      </c>
      <c r="S32" s="229">
        <v>8.6999999999999994E-3</v>
      </c>
      <c r="T32" s="231">
        <v>16605</v>
      </c>
      <c r="U32" s="231">
        <v>16463</v>
      </c>
      <c r="V32" s="228">
        <v>142</v>
      </c>
      <c r="W32" s="229">
        <v>8.6E-3</v>
      </c>
      <c r="X32" s="228">
        <v>16</v>
      </c>
      <c r="Y32" s="228">
        <v>-13</v>
      </c>
      <c r="Z32" s="228">
        <v>29</v>
      </c>
      <c r="AA32" s="229">
        <v>1E-3</v>
      </c>
      <c r="AB32" s="228">
        <v>16</v>
      </c>
      <c r="AC32" s="228">
        <v>-13</v>
      </c>
      <c r="AD32" s="228">
        <v>29</v>
      </c>
      <c r="AE32" s="229">
        <v>1E-3</v>
      </c>
      <c r="AF32" s="228">
        <v>111</v>
      </c>
      <c r="AG32" s="228">
        <v>82</v>
      </c>
      <c r="AH32" s="228">
        <v>29</v>
      </c>
      <c r="AI32" s="229">
        <v>6.7999999999999996E-3</v>
      </c>
      <c r="AJ32" s="228">
        <v>217</v>
      </c>
      <c r="AK32" s="228">
        <v>189</v>
      </c>
      <c r="AL32" s="228">
        <v>28</v>
      </c>
      <c r="AM32" s="229">
        <v>1.32E-2</v>
      </c>
      <c r="AN32" s="231">
        <v>16347.64</v>
      </c>
      <c r="AO32" s="231">
        <v>16439.45</v>
      </c>
      <c r="AP32" s="228">
        <v>0</v>
      </c>
      <c r="AQ32" s="230">
        <v>41462</v>
      </c>
      <c r="AR32" s="230">
        <v>36373</v>
      </c>
      <c r="AS32" s="230">
        <v>5089</v>
      </c>
      <c r="AT32" s="229">
        <v>0.1399</v>
      </c>
      <c r="AU32" s="230">
        <v>19960</v>
      </c>
      <c r="AV32" s="230">
        <v>19535</v>
      </c>
      <c r="AW32" s="228">
        <v>425</v>
      </c>
      <c r="AX32" s="229">
        <v>2.18E-2</v>
      </c>
      <c r="AY32" s="230">
        <v>21081</v>
      </c>
      <c r="AZ32" s="230">
        <v>16647</v>
      </c>
      <c r="BA32" s="230">
        <v>4434</v>
      </c>
      <c r="BB32" s="229">
        <v>0.26640000000000003</v>
      </c>
      <c r="BC32" s="228">
        <v>421</v>
      </c>
      <c r="BD32" s="228">
        <v>191</v>
      </c>
      <c r="BE32" s="228">
        <v>230</v>
      </c>
      <c r="BF32" s="229">
        <v>1.2041999999999999</v>
      </c>
      <c r="BG32" s="230">
        <v>98208</v>
      </c>
      <c r="BH32" s="230">
        <v>91521</v>
      </c>
      <c r="BI32" s="230">
        <v>6687</v>
      </c>
      <c r="BJ32" s="229">
        <v>7.3099999999999998E-2</v>
      </c>
      <c r="BK32" s="230">
        <v>52501</v>
      </c>
      <c r="BL32" s="230">
        <v>55237</v>
      </c>
      <c r="BM32" s="230">
        <v>-2736</v>
      </c>
      <c r="BN32" s="229">
        <v>-4.9500000000000002E-2</v>
      </c>
      <c r="BO32" s="230">
        <v>192171</v>
      </c>
      <c r="BP32" s="230">
        <v>183131</v>
      </c>
      <c r="BQ32" s="230">
        <v>9040</v>
      </c>
      <c r="BR32" s="229">
        <v>4.9399999999999999E-2</v>
      </c>
      <c r="BS32" s="230">
        <v>213180</v>
      </c>
      <c r="BT32" s="230">
        <v>210921</v>
      </c>
      <c r="BU32" s="230">
        <v>2259</v>
      </c>
      <c r="BV32" s="229">
        <v>1.0699999999999999E-2</v>
      </c>
      <c r="BW32" s="230">
        <v>2958150</v>
      </c>
      <c r="BX32" s="230">
        <v>2925650</v>
      </c>
      <c r="BY32" s="230">
        <v>32500</v>
      </c>
      <c r="BZ32" s="229">
        <v>1.11E-2</v>
      </c>
      <c r="CA32" s="230">
        <v>686600</v>
      </c>
      <c r="CB32" s="230">
        <v>1427500</v>
      </c>
      <c r="CC32" s="230">
        <v>-740900</v>
      </c>
      <c r="CD32" s="229">
        <v>-0.51900000000000002</v>
      </c>
      <c r="CE32" s="230">
        <v>2233450</v>
      </c>
      <c r="CF32" s="230">
        <v>1471150</v>
      </c>
      <c r="CG32" s="230">
        <v>762300</v>
      </c>
      <c r="CH32" s="229">
        <v>0.51819999999999999</v>
      </c>
      <c r="CI32" s="230">
        <v>38100</v>
      </c>
      <c r="CJ32" s="230">
        <v>27000</v>
      </c>
      <c r="CK32" s="230">
        <v>11100</v>
      </c>
      <c r="CL32" s="229">
        <v>0.41110000000000002</v>
      </c>
      <c r="CM32" s="230">
        <v>2309950</v>
      </c>
      <c r="CN32" s="230">
        <v>2955750</v>
      </c>
      <c r="CO32" s="230">
        <v>-645800</v>
      </c>
      <c r="CP32" s="229">
        <v>-0.2185</v>
      </c>
      <c r="CQ32" s="230">
        <v>1610900</v>
      </c>
      <c r="CR32" s="230">
        <v>1688400</v>
      </c>
      <c r="CS32" s="230">
        <v>-77500</v>
      </c>
      <c r="CT32" s="229">
        <v>-4.5900000000000003E-2</v>
      </c>
      <c r="CU32" s="230">
        <v>6879000</v>
      </c>
      <c r="CV32" s="230">
        <v>7569800</v>
      </c>
      <c r="CW32" s="230">
        <v>-690800</v>
      </c>
      <c r="CX32" s="229">
        <v>-9.1300000000000006E-2</v>
      </c>
      <c r="CY32" s="228">
        <v>22.24</v>
      </c>
      <c r="CZ32" s="228">
        <v>22.01</v>
      </c>
      <c r="DA32" s="228">
        <v>0.23</v>
      </c>
      <c r="DB32" s="228">
        <v>0.23</v>
      </c>
      <c r="DC32" s="228">
        <v>25.39</v>
      </c>
      <c r="DD32" s="228">
        <v>25.44</v>
      </c>
      <c r="DE32" s="228">
        <v>-3.15</v>
      </c>
      <c r="DF32" s="228">
        <v>-0.05</v>
      </c>
      <c r="DG32" s="228">
        <v>22</v>
      </c>
      <c r="DH32" s="228">
        <v>22.18</v>
      </c>
      <c r="DI32" s="228">
        <v>-0.18</v>
      </c>
      <c r="DJ32" s="228">
        <v>-0.18</v>
      </c>
      <c r="DK32" s="228">
        <v>22.68</v>
      </c>
      <c r="DL32" s="228">
        <v>21.83</v>
      </c>
      <c r="DM32" s="228">
        <v>0.85</v>
      </c>
      <c r="DN32" s="228">
        <v>0.85</v>
      </c>
      <c r="DO32" s="228">
        <v>0.7</v>
      </c>
      <c r="DP32" s="228">
        <v>0.56999999999999995</v>
      </c>
      <c r="DQ32" s="228">
        <v>0.13</v>
      </c>
      <c r="DR32" s="229">
        <v>0.2281</v>
      </c>
      <c r="DS32" s="231">
        <v>17000</v>
      </c>
      <c r="DT32" s="231">
        <v>16000</v>
      </c>
      <c r="DU32" s="228">
        <v>0.53</v>
      </c>
      <c r="DV32" s="228">
        <v>0.6</v>
      </c>
      <c r="DW32" s="228">
        <v>-7.0000000000000007E-2</v>
      </c>
      <c r="DX32" s="229">
        <v>-0.1167</v>
      </c>
      <c r="DY32" s="229">
        <v>0.76790000000000003</v>
      </c>
      <c r="DZ32" s="230">
        <v>1498150</v>
      </c>
      <c r="EA32" s="229">
        <v>5.7999999999999996E-3</v>
      </c>
      <c r="EB32" s="229">
        <v>0.76790000000000003</v>
      </c>
      <c r="EC32" s="228">
        <v>91.81</v>
      </c>
      <c r="ED32" s="229">
        <v>5.5999999999999999E-3</v>
      </c>
      <c r="EE32" s="230">
        <v>126345</v>
      </c>
      <c r="EF32" s="230">
        <v>117122</v>
      </c>
      <c r="EG32" s="229">
        <v>7.8700000000000006E-2</v>
      </c>
      <c r="EH32" s="229">
        <v>0.5927</v>
      </c>
      <c r="EI32" s="231">
        <v>825483.3</v>
      </c>
      <c r="EJ32" s="231">
        <v>418805.88</v>
      </c>
      <c r="EK32" s="231">
        <v>339914.34</v>
      </c>
      <c r="EL32" s="231">
        <v>19196</v>
      </c>
      <c r="EM32" s="231">
        <v>1584203.52</v>
      </c>
      <c r="EN32" s="231">
        <v>1510967.51</v>
      </c>
      <c r="EO32" s="231">
        <v>73236.009999999995</v>
      </c>
      <c r="EP32" s="229">
        <v>4.8500000000000001E-2</v>
      </c>
      <c r="EQ32" s="231">
        <v>387874</v>
      </c>
      <c r="ER32" s="231">
        <v>249677</v>
      </c>
      <c r="ES32" s="231">
        <v>487453</v>
      </c>
      <c r="ET32" s="231">
        <v>16752897</v>
      </c>
      <c r="EU32" s="231">
        <v>1125004</v>
      </c>
      <c r="EV32" s="231">
        <v>1235023</v>
      </c>
      <c r="EW32" s="231">
        <v>-110019</v>
      </c>
      <c r="EX32" s="229">
        <v>-8.9099999999999999E-2</v>
      </c>
      <c r="EY32" s="229">
        <v>0.41060000000000002</v>
      </c>
    </row>
    <row r="33" spans="1:155" ht="17.25" thickBot="1" x14ac:dyDescent="0.3">
      <c r="A33" s="226">
        <v>45957</v>
      </c>
      <c r="B33" s="227" t="s">
        <v>170</v>
      </c>
      <c r="C33" s="227" t="s">
        <v>603</v>
      </c>
      <c r="D33" s="231">
        <v>1187.9000000000001</v>
      </c>
      <c r="E33" s="231">
        <v>1185.0999999999999</v>
      </c>
      <c r="F33" s="228">
        <v>2.8</v>
      </c>
      <c r="G33" s="229">
        <v>2.3999999999999998E-3</v>
      </c>
      <c r="H33" s="231">
        <v>1186.4000000000001</v>
      </c>
      <c r="I33" s="231">
        <v>1184.0999999999999</v>
      </c>
      <c r="J33" s="228">
        <v>2.2999999999999998</v>
      </c>
      <c r="K33" s="229">
        <v>1.9E-3</v>
      </c>
      <c r="L33" s="231">
        <v>1187.9000000000001</v>
      </c>
      <c r="M33" s="231">
        <v>1185.0999999999999</v>
      </c>
      <c r="N33" s="228">
        <v>2.8</v>
      </c>
      <c r="O33" s="229">
        <v>2.3999999999999998E-3</v>
      </c>
      <c r="P33" s="231">
        <v>1194.5</v>
      </c>
      <c r="Q33" s="231">
        <v>1191.8</v>
      </c>
      <c r="R33" s="228">
        <v>2.7</v>
      </c>
      <c r="S33" s="229">
        <v>2.3E-3</v>
      </c>
      <c r="T33" s="231">
        <v>1202</v>
      </c>
      <c r="U33" s="231">
        <v>1199.4000000000001</v>
      </c>
      <c r="V33" s="228">
        <v>2.6</v>
      </c>
      <c r="W33" s="229">
        <v>2.2000000000000001E-3</v>
      </c>
      <c r="X33" s="228">
        <v>1.5</v>
      </c>
      <c r="Y33" s="228">
        <v>1</v>
      </c>
      <c r="Z33" s="228">
        <v>0.5</v>
      </c>
      <c r="AA33" s="229">
        <v>1.2999999999999999E-3</v>
      </c>
      <c r="AB33" s="228">
        <v>1.5</v>
      </c>
      <c r="AC33" s="228">
        <v>1</v>
      </c>
      <c r="AD33" s="228">
        <v>0.5</v>
      </c>
      <c r="AE33" s="229">
        <v>1.2999999999999999E-3</v>
      </c>
      <c r="AF33" s="228">
        <v>8.1</v>
      </c>
      <c r="AG33" s="228">
        <v>7.7</v>
      </c>
      <c r="AH33" s="228">
        <v>0.4</v>
      </c>
      <c r="AI33" s="229">
        <v>6.7999999999999996E-3</v>
      </c>
      <c r="AJ33" s="228">
        <v>15.6</v>
      </c>
      <c r="AK33" s="228">
        <v>15.3</v>
      </c>
      <c r="AL33" s="228">
        <v>0.3</v>
      </c>
      <c r="AM33" s="229">
        <v>1.3100000000000001E-2</v>
      </c>
      <c r="AN33" s="231">
        <v>1182.8900000000001</v>
      </c>
      <c r="AO33" s="231">
        <v>1189.6300000000001</v>
      </c>
      <c r="AP33" s="228">
        <v>0</v>
      </c>
      <c r="AQ33" s="230">
        <v>18934</v>
      </c>
      <c r="AR33" s="230">
        <v>24311</v>
      </c>
      <c r="AS33" s="230">
        <v>-5377</v>
      </c>
      <c r="AT33" s="229">
        <v>-0.22120000000000001</v>
      </c>
      <c r="AU33" s="230">
        <v>8922</v>
      </c>
      <c r="AV33" s="230">
        <v>11962</v>
      </c>
      <c r="AW33" s="230">
        <v>-3040</v>
      </c>
      <c r="AX33" s="229">
        <v>-0.25409999999999999</v>
      </c>
      <c r="AY33" s="230">
        <v>9986</v>
      </c>
      <c r="AZ33" s="230">
        <v>12329</v>
      </c>
      <c r="BA33" s="230">
        <v>-2343</v>
      </c>
      <c r="BB33" s="229">
        <v>-0.19</v>
      </c>
      <c r="BC33" s="228">
        <v>26</v>
      </c>
      <c r="BD33" s="228">
        <v>20</v>
      </c>
      <c r="BE33" s="228">
        <v>6</v>
      </c>
      <c r="BF33" s="229">
        <v>0.3</v>
      </c>
      <c r="BG33" s="230">
        <v>6096</v>
      </c>
      <c r="BH33" s="230">
        <v>9570</v>
      </c>
      <c r="BI33" s="230">
        <v>-3474</v>
      </c>
      <c r="BJ33" s="229">
        <v>-0.36299999999999999</v>
      </c>
      <c r="BK33" s="230">
        <v>4658</v>
      </c>
      <c r="BL33" s="230">
        <v>9441</v>
      </c>
      <c r="BM33" s="230">
        <v>-4783</v>
      </c>
      <c r="BN33" s="229">
        <v>-0.50660000000000005</v>
      </c>
      <c r="BO33" s="230">
        <v>29688</v>
      </c>
      <c r="BP33" s="230">
        <v>43322</v>
      </c>
      <c r="BQ33" s="230">
        <v>-13634</v>
      </c>
      <c r="BR33" s="229">
        <v>-0.31469999999999998</v>
      </c>
      <c r="BS33" s="230">
        <v>1010495</v>
      </c>
      <c r="BT33" s="230">
        <v>883398</v>
      </c>
      <c r="BU33" s="230">
        <v>127097</v>
      </c>
      <c r="BV33" s="229">
        <v>0.1439</v>
      </c>
      <c r="BW33" s="230">
        <v>16327500</v>
      </c>
      <c r="BX33" s="230">
        <v>16288125</v>
      </c>
      <c r="BY33" s="230">
        <v>39375</v>
      </c>
      <c r="BZ33" s="229">
        <v>2.3999999999999998E-3</v>
      </c>
      <c r="CA33" s="230">
        <v>2064825</v>
      </c>
      <c r="CB33" s="230">
        <v>5878425</v>
      </c>
      <c r="CC33" s="230">
        <v>-3813600</v>
      </c>
      <c r="CD33" s="229">
        <v>-0.64870000000000005</v>
      </c>
      <c r="CE33" s="230">
        <v>14198625</v>
      </c>
      <c r="CF33" s="230">
        <v>10351425</v>
      </c>
      <c r="CG33" s="230">
        <v>3847200</v>
      </c>
      <c r="CH33" s="229">
        <v>0.37169999999999997</v>
      </c>
      <c r="CI33" s="230">
        <v>64050</v>
      </c>
      <c r="CJ33" s="230">
        <v>58275</v>
      </c>
      <c r="CK33" s="230">
        <v>5775</v>
      </c>
      <c r="CL33" s="229">
        <v>9.9099999999999994E-2</v>
      </c>
      <c r="CM33" s="230">
        <v>3089625</v>
      </c>
      <c r="CN33" s="230">
        <v>3153675</v>
      </c>
      <c r="CO33" s="230">
        <v>-64050</v>
      </c>
      <c r="CP33" s="229">
        <v>-2.0299999999999999E-2</v>
      </c>
      <c r="CQ33" s="230">
        <v>2098425</v>
      </c>
      <c r="CR33" s="230">
        <v>2421825</v>
      </c>
      <c r="CS33" s="230">
        <v>-323400</v>
      </c>
      <c r="CT33" s="229">
        <v>-0.13350000000000001</v>
      </c>
      <c r="CU33" s="230">
        <v>21515550</v>
      </c>
      <c r="CV33" s="230">
        <v>21863625</v>
      </c>
      <c r="CW33" s="230">
        <v>-348075</v>
      </c>
      <c r="CX33" s="229">
        <v>-1.5900000000000001E-2</v>
      </c>
      <c r="CY33" s="228">
        <v>28.14</v>
      </c>
      <c r="CZ33" s="228">
        <v>27.59</v>
      </c>
      <c r="DA33" s="228">
        <v>0.55000000000000004</v>
      </c>
      <c r="DB33" s="228">
        <v>0.55000000000000004</v>
      </c>
      <c r="DC33" s="228">
        <v>40.79</v>
      </c>
      <c r="DD33" s="228">
        <v>40.89</v>
      </c>
      <c r="DE33" s="228">
        <v>-12.65</v>
      </c>
      <c r="DF33" s="228">
        <v>-0.1</v>
      </c>
      <c r="DG33" s="228">
        <v>28.22</v>
      </c>
      <c r="DH33" s="228">
        <v>27.95</v>
      </c>
      <c r="DI33" s="228">
        <v>0.27</v>
      </c>
      <c r="DJ33" s="228">
        <v>0.27</v>
      </c>
      <c r="DK33" s="228">
        <v>28</v>
      </c>
      <c r="DL33" s="228">
        <v>27.03</v>
      </c>
      <c r="DM33" s="228">
        <v>0.97</v>
      </c>
      <c r="DN33" s="228">
        <v>0.97</v>
      </c>
      <c r="DO33" s="228">
        <v>0.68</v>
      </c>
      <c r="DP33" s="228">
        <v>0.77</v>
      </c>
      <c r="DQ33" s="228">
        <v>-0.09</v>
      </c>
      <c r="DR33" s="229">
        <v>-0.1169</v>
      </c>
      <c r="DS33" s="231">
        <v>1240</v>
      </c>
      <c r="DT33" s="231">
        <v>1240</v>
      </c>
      <c r="DU33" s="228">
        <v>0.76</v>
      </c>
      <c r="DV33" s="228">
        <v>0.99</v>
      </c>
      <c r="DW33" s="228">
        <v>-0.23</v>
      </c>
      <c r="DX33" s="229">
        <v>-0.23230000000000001</v>
      </c>
      <c r="DY33" s="229">
        <v>0.87350000000000005</v>
      </c>
      <c r="DZ33" s="230">
        <v>10409700</v>
      </c>
      <c r="EA33" s="229">
        <v>5.5999999999999999E-3</v>
      </c>
      <c r="EB33" s="229">
        <v>0.87350000000000005</v>
      </c>
      <c r="EC33" s="228">
        <v>6.74</v>
      </c>
      <c r="ED33" s="229">
        <v>5.7000000000000002E-3</v>
      </c>
      <c r="EE33" s="230">
        <v>635864</v>
      </c>
      <c r="EF33" s="230">
        <v>501205</v>
      </c>
      <c r="EG33" s="229">
        <v>0.26869999999999999</v>
      </c>
      <c r="EH33" s="229">
        <v>0.62929999999999997</v>
      </c>
      <c r="EI33" s="231">
        <v>39009.620000000003</v>
      </c>
      <c r="EJ33" s="231">
        <v>28555.82</v>
      </c>
      <c r="EK33" s="231">
        <v>117938.73</v>
      </c>
      <c r="EL33" s="231">
        <v>11885</v>
      </c>
      <c r="EM33" s="231">
        <v>185504.17</v>
      </c>
      <c r="EN33" s="231">
        <v>272701.75</v>
      </c>
      <c r="EO33" s="231">
        <v>-87197.58</v>
      </c>
      <c r="EP33" s="229">
        <v>-0.31979999999999997</v>
      </c>
      <c r="EQ33" s="231">
        <v>37466</v>
      </c>
      <c r="ER33" s="231">
        <v>23914</v>
      </c>
      <c r="ES33" s="231">
        <v>194901</v>
      </c>
      <c r="ET33" s="231">
        <v>97211768</v>
      </c>
      <c r="EU33" s="231">
        <v>256281</v>
      </c>
      <c r="EV33" s="231">
        <v>259535</v>
      </c>
      <c r="EW33" s="231">
        <v>-3254</v>
      </c>
      <c r="EX33" s="229">
        <v>-1.2500000000000001E-2</v>
      </c>
      <c r="EY33" s="229">
        <v>0.2213</v>
      </c>
    </row>
    <row r="34" spans="1:155" ht="17.25" thickBot="1" x14ac:dyDescent="0.3">
      <c r="A34" s="226">
        <v>45957</v>
      </c>
      <c r="B34" s="227" t="s">
        <v>168</v>
      </c>
      <c r="C34" s="227" t="s">
        <v>265</v>
      </c>
      <c r="D34" s="231">
        <v>1284.5999999999999</v>
      </c>
      <c r="E34" s="231">
        <v>1282.7</v>
      </c>
      <c r="F34" s="228">
        <v>1.9</v>
      </c>
      <c r="G34" s="229">
        <v>1.5E-3</v>
      </c>
      <c r="H34" s="231">
        <v>1283</v>
      </c>
      <c r="I34" s="231">
        <v>1282</v>
      </c>
      <c r="J34" s="228">
        <v>1</v>
      </c>
      <c r="K34" s="229">
        <v>8.0000000000000004E-4</v>
      </c>
      <c r="L34" s="231">
        <v>1284.5999999999999</v>
      </c>
      <c r="M34" s="231">
        <v>1282.7</v>
      </c>
      <c r="N34" s="228">
        <v>1.9</v>
      </c>
      <c r="O34" s="229">
        <v>1.5E-3</v>
      </c>
      <c r="P34" s="231">
        <v>1291.8</v>
      </c>
      <c r="Q34" s="231">
        <v>1289.9000000000001</v>
      </c>
      <c r="R34" s="228">
        <v>1.9</v>
      </c>
      <c r="S34" s="229">
        <v>1.5E-3</v>
      </c>
      <c r="T34" s="231">
        <v>1299.5999999999999</v>
      </c>
      <c r="U34" s="231">
        <v>1297.7</v>
      </c>
      <c r="V34" s="228">
        <v>1.9</v>
      </c>
      <c r="W34" s="229">
        <v>1.5E-3</v>
      </c>
      <c r="X34" s="228">
        <v>1.6</v>
      </c>
      <c r="Y34" s="228">
        <v>0.7</v>
      </c>
      <c r="Z34" s="228">
        <v>0.9</v>
      </c>
      <c r="AA34" s="229">
        <v>1.1999999999999999E-3</v>
      </c>
      <c r="AB34" s="228">
        <v>1.6</v>
      </c>
      <c r="AC34" s="228">
        <v>0.7</v>
      </c>
      <c r="AD34" s="228">
        <v>0.9</v>
      </c>
      <c r="AE34" s="229">
        <v>1.1999999999999999E-3</v>
      </c>
      <c r="AF34" s="228">
        <v>8.8000000000000007</v>
      </c>
      <c r="AG34" s="228">
        <v>7.9</v>
      </c>
      <c r="AH34" s="228">
        <v>0.9</v>
      </c>
      <c r="AI34" s="229">
        <v>6.8999999999999999E-3</v>
      </c>
      <c r="AJ34" s="228">
        <v>16.600000000000001</v>
      </c>
      <c r="AK34" s="228">
        <v>15.7</v>
      </c>
      <c r="AL34" s="228">
        <v>0.9</v>
      </c>
      <c r="AM34" s="229">
        <v>1.29E-2</v>
      </c>
      <c r="AN34" s="231">
        <v>1284.03</v>
      </c>
      <c r="AO34" s="231">
        <v>1291.31</v>
      </c>
      <c r="AP34" s="228">
        <v>0</v>
      </c>
      <c r="AQ34" s="230">
        <v>22226</v>
      </c>
      <c r="AR34" s="230">
        <v>25719</v>
      </c>
      <c r="AS34" s="230">
        <v>-3493</v>
      </c>
      <c r="AT34" s="229">
        <v>-0.1358</v>
      </c>
      <c r="AU34" s="230">
        <v>10679</v>
      </c>
      <c r="AV34" s="230">
        <v>12670</v>
      </c>
      <c r="AW34" s="230">
        <v>-1991</v>
      </c>
      <c r="AX34" s="229">
        <v>-0.15709999999999999</v>
      </c>
      <c r="AY34" s="230">
        <v>11497</v>
      </c>
      <c r="AZ34" s="230">
        <v>13015</v>
      </c>
      <c r="BA34" s="230">
        <v>-1518</v>
      </c>
      <c r="BB34" s="229">
        <v>-0.1166</v>
      </c>
      <c r="BC34" s="228">
        <v>50</v>
      </c>
      <c r="BD34" s="228">
        <v>34</v>
      </c>
      <c r="BE34" s="228">
        <v>16</v>
      </c>
      <c r="BF34" s="229">
        <v>0.47060000000000002</v>
      </c>
      <c r="BG34" s="230">
        <v>19314</v>
      </c>
      <c r="BH34" s="230">
        <v>22493</v>
      </c>
      <c r="BI34" s="230">
        <v>-3179</v>
      </c>
      <c r="BJ34" s="229">
        <v>-0.14130000000000001</v>
      </c>
      <c r="BK34" s="230">
        <v>12891</v>
      </c>
      <c r="BL34" s="230">
        <v>18914</v>
      </c>
      <c r="BM34" s="230">
        <v>-6023</v>
      </c>
      <c r="BN34" s="229">
        <v>-0.31840000000000002</v>
      </c>
      <c r="BO34" s="230">
        <v>54431</v>
      </c>
      <c r="BP34" s="230">
        <v>67126</v>
      </c>
      <c r="BQ34" s="230">
        <v>-12695</v>
      </c>
      <c r="BR34" s="229">
        <v>-0.18909999999999999</v>
      </c>
      <c r="BS34" s="230">
        <v>1158759</v>
      </c>
      <c r="BT34" s="230">
        <v>1491419</v>
      </c>
      <c r="BU34" s="230">
        <v>-332660</v>
      </c>
      <c r="BV34" s="229">
        <v>-0.223</v>
      </c>
      <c r="BW34" s="230">
        <v>19904000</v>
      </c>
      <c r="BX34" s="230">
        <v>20039500</v>
      </c>
      <c r="BY34" s="230">
        <v>-135500</v>
      </c>
      <c r="BZ34" s="229">
        <v>-6.7999999999999996E-3</v>
      </c>
      <c r="CA34" s="230">
        <v>3348500</v>
      </c>
      <c r="CB34" s="230">
        <v>7932500</v>
      </c>
      <c r="CC34" s="230">
        <v>-4584000</v>
      </c>
      <c r="CD34" s="229">
        <v>-0.57789999999999997</v>
      </c>
      <c r="CE34" s="230">
        <v>16474500</v>
      </c>
      <c r="CF34" s="230">
        <v>12039500</v>
      </c>
      <c r="CG34" s="230">
        <v>4435000</v>
      </c>
      <c r="CH34" s="229">
        <v>0.36840000000000001</v>
      </c>
      <c r="CI34" s="230">
        <v>81000</v>
      </c>
      <c r="CJ34" s="230">
        <v>67500</v>
      </c>
      <c r="CK34" s="230">
        <v>13500</v>
      </c>
      <c r="CL34" s="229">
        <v>0.2</v>
      </c>
      <c r="CM34" s="230">
        <v>8064500</v>
      </c>
      <c r="CN34" s="230">
        <v>7893000</v>
      </c>
      <c r="CO34" s="230">
        <v>171500</v>
      </c>
      <c r="CP34" s="229">
        <v>2.1700000000000001E-2</v>
      </c>
      <c r="CQ34" s="230">
        <v>6746000</v>
      </c>
      <c r="CR34" s="230">
        <v>7618500</v>
      </c>
      <c r="CS34" s="230">
        <v>-872500</v>
      </c>
      <c r="CT34" s="229">
        <v>-0.1145</v>
      </c>
      <c r="CU34" s="230">
        <v>34714500</v>
      </c>
      <c r="CV34" s="230">
        <v>35551000</v>
      </c>
      <c r="CW34" s="230">
        <v>-836500</v>
      </c>
      <c r="CX34" s="229">
        <v>-2.35E-2</v>
      </c>
      <c r="CY34" s="228">
        <v>20.02</v>
      </c>
      <c r="CZ34" s="228">
        <v>19.14</v>
      </c>
      <c r="DA34" s="228">
        <v>0.88</v>
      </c>
      <c r="DB34" s="228">
        <v>0.88</v>
      </c>
      <c r="DC34" s="228">
        <v>24.3</v>
      </c>
      <c r="DD34" s="228">
        <v>24.36</v>
      </c>
      <c r="DE34" s="228">
        <v>-4.28</v>
      </c>
      <c r="DF34" s="228">
        <v>-0.06</v>
      </c>
      <c r="DG34" s="228">
        <v>20.03</v>
      </c>
      <c r="DH34" s="228">
        <v>18.75</v>
      </c>
      <c r="DI34" s="228">
        <v>1.28</v>
      </c>
      <c r="DJ34" s="228">
        <v>1.28</v>
      </c>
      <c r="DK34" s="228">
        <v>20.010000000000002</v>
      </c>
      <c r="DL34" s="228">
        <v>19.579999999999998</v>
      </c>
      <c r="DM34" s="228">
        <v>0.43</v>
      </c>
      <c r="DN34" s="228">
        <v>0.43</v>
      </c>
      <c r="DO34" s="228">
        <v>0.84</v>
      </c>
      <c r="DP34" s="228">
        <v>0.97</v>
      </c>
      <c r="DQ34" s="228">
        <v>-0.13</v>
      </c>
      <c r="DR34" s="229">
        <v>-0.13400000000000001</v>
      </c>
      <c r="DS34" s="231">
        <v>1300</v>
      </c>
      <c r="DT34" s="231">
        <v>1200</v>
      </c>
      <c r="DU34" s="228">
        <v>0.67</v>
      </c>
      <c r="DV34" s="228">
        <v>0.84</v>
      </c>
      <c r="DW34" s="228">
        <v>-0.17</v>
      </c>
      <c r="DX34" s="229">
        <v>-0.2024</v>
      </c>
      <c r="DY34" s="229">
        <v>0.83179999999999998</v>
      </c>
      <c r="DZ34" s="230">
        <v>12107000</v>
      </c>
      <c r="EA34" s="229">
        <v>5.5999999999999999E-3</v>
      </c>
      <c r="EB34" s="229">
        <v>0.83179999999999998</v>
      </c>
      <c r="EC34" s="228">
        <v>7.28</v>
      </c>
      <c r="ED34" s="229">
        <v>5.7000000000000002E-3</v>
      </c>
      <c r="EE34" s="230">
        <v>708546</v>
      </c>
      <c r="EF34" s="230">
        <v>877323</v>
      </c>
      <c r="EG34" s="229">
        <v>-0.19239999999999999</v>
      </c>
      <c r="EH34" s="229">
        <v>0.61150000000000004</v>
      </c>
      <c r="EI34" s="231">
        <v>127321.06</v>
      </c>
      <c r="EJ34" s="231">
        <v>80892.61</v>
      </c>
      <c r="EK34" s="231">
        <v>143116.74</v>
      </c>
      <c r="EL34" s="231">
        <v>13948</v>
      </c>
      <c r="EM34" s="231">
        <v>351330.41</v>
      </c>
      <c r="EN34" s="231">
        <v>430778.44</v>
      </c>
      <c r="EO34" s="231">
        <v>-79448.03</v>
      </c>
      <c r="EP34" s="229">
        <v>-0.18440000000000001</v>
      </c>
      <c r="EQ34" s="231">
        <v>102768</v>
      </c>
      <c r="ER34" s="231">
        <v>82042</v>
      </c>
      <c r="ES34" s="231">
        <v>256885</v>
      </c>
      <c r="ET34" s="231">
        <v>71801274</v>
      </c>
      <c r="EU34" s="231">
        <v>441695</v>
      </c>
      <c r="EV34" s="231">
        <v>450935</v>
      </c>
      <c r="EW34" s="231">
        <v>-9240</v>
      </c>
      <c r="EX34" s="229">
        <v>-2.0500000000000001E-2</v>
      </c>
      <c r="EY34" s="229">
        <v>0.48349999999999999</v>
      </c>
    </row>
    <row r="35" spans="1:155" ht="17.25" thickBot="1" x14ac:dyDescent="0.3">
      <c r="A35" s="226">
        <v>45957</v>
      </c>
      <c r="B35" s="227" t="s">
        <v>161</v>
      </c>
      <c r="C35" s="227" t="s">
        <v>268</v>
      </c>
      <c r="D35" s="228">
        <v>341.75</v>
      </c>
      <c r="E35" s="228">
        <v>340.05</v>
      </c>
      <c r="F35" s="228">
        <v>1.7</v>
      </c>
      <c r="G35" s="229">
        <v>5.0000000000000001E-3</v>
      </c>
      <c r="H35" s="228">
        <v>341.75</v>
      </c>
      <c r="I35" s="228">
        <v>339.6</v>
      </c>
      <c r="J35" s="228">
        <v>2.15</v>
      </c>
      <c r="K35" s="229">
        <v>6.3E-3</v>
      </c>
      <c r="L35" s="228">
        <v>341.75</v>
      </c>
      <c r="M35" s="228">
        <v>340.05</v>
      </c>
      <c r="N35" s="228">
        <v>1.7</v>
      </c>
      <c r="O35" s="229">
        <v>5.0000000000000001E-3</v>
      </c>
      <c r="P35" s="228">
        <v>341.1</v>
      </c>
      <c r="Q35" s="228">
        <v>339.6</v>
      </c>
      <c r="R35" s="228">
        <v>1.5</v>
      </c>
      <c r="S35" s="229">
        <v>4.4000000000000003E-3</v>
      </c>
      <c r="T35" s="228">
        <v>343.5</v>
      </c>
      <c r="U35" s="228">
        <v>341.65</v>
      </c>
      <c r="V35" s="228">
        <v>1.85</v>
      </c>
      <c r="W35" s="229">
        <v>5.4000000000000003E-3</v>
      </c>
      <c r="X35" s="228">
        <v>0</v>
      </c>
      <c r="Y35" s="228">
        <v>0.45</v>
      </c>
      <c r="Z35" s="228">
        <v>-0.45</v>
      </c>
      <c r="AA35" s="229">
        <v>0</v>
      </c>
      <c r="AB35" s="228">
        <v>0</v>
      </c>
      <c r="AC35" s="228">
        <v>0.45</v>
      </c>
      <c r="AD35" s="228">
        <v>-0.45</v>
      </c>
      <c r="AE35" s="229">
        <v>0</v>
      </c>
      <c r="AF35" s="228">
        <v>-0.65</v>
      </c>
      <c r="AG35" s="228">
        <v>0</v>
      </c>
      <c r="AH35" s="228">
        <v>-0.65</v>
      </c>
      <c r="AI35" s="229">
        <v>-1.9E-3</v>
      </c>
      <c r="AJ35" s="228">
        <v>1.75</v>
      </c>
      <c r="AK35" s="228">
        <v>2.0499999999999998</v>
      </c>
      <c r="AL35" s="228">
        <v>-0.3</v>
      </c>
      <c r="AM35" s="229">
        <v>5.1000000000000004E-3</v>
      </c>
      <c r="AN35" s="228">
        <v>342.04</v>
      </c>
      <c r="AO35" s="228">
        <v>341.4</v>
      </c>
      <c r="AP35" s="228">
        <v>0</v>
      </c>
      <c r="AQ35" s="230">
        <v>48070</v>
      </c>
      <c r="AR35" s="230">
        <v>39587</v>
      </c>
      <c r="AS35" s="230">
        <v>8483</v>
      </c>
      <c r="AT35" s="229">
        <v>0.21429999999999999</v>
      </c>
      <c r="AU35" s="230">
        <v>22439</v>
      </c>
      <c r="AV35" s="230">
        <v>19910</v>
      </c>
      <c r="AW35" s="230">
        <v>2529</v>
      </c>
      <c r="AX35" s="229">
        <v>0.127</v>
      </c>
      <c r="AY35" s="230">
        <v>25444</v>
      </c>
      <c r="AZ35" s="230">
        <v>19469</v>
      </c>
      <c r="BA35" s="230">
        <v>5975</v>
      </c>
      <c r="BB35" s="229">
        <v>0.30690000000000001</v>
      </c>
      <c r="BC35" s="228">
        <v>187</v>
      </c>
      <c r="BD35" s="228">
        <v>208</v>
      </c>
      <c r="BE35" s="228">
        <v>-21</v>
      </c>
      <c r="BF35" s="229">
        <v>-0.10100000000000001</v>
      </c>
      <c r="BG35" s="230">
        <v>24541</v>
      </c>
      <c r="BH35" s="230">
        <v>32610</v>
      </c>
      <c r="BI35" s="230">
        <v>-8069</v>
      </c>
      <c r="BJ35" s="229">
        <v>-0.24740000000000001</v>
      </c>
      <c r="BK35" s="230">
        <v>14990</v>
      </c>
      <c r="BL35" s="230">
        <v>16720</v>
      </c>
      <c r="BM35" s="230">
        <v>-1730</v>
      </c>
      <c r="BN35" s="229">
        <v>-0.10349999999999999</v>
      </c>
      <c r="BO35" s="230">
        <v>87601</v>
      </c>
      <c r="BP35" s="230">
        <v>88917</v>
      </c>
      <c r="BQ35" s="230">
        <v>-1316</v>
      </c>
      <c r="BR35" s="229">
        <v>-1.4800000000000001E-2</v>
      </c>
      <c r="BS35" s="230">
        <v>7221728</v>
      </c>
      <c r="BT35" s="230">
        <v>7921003</v>
      </c>
      <c r="BU35" s="230">
        <v>-699275</v>
      </c>
      <c r="BV35" s="229">
        <v>-8.8300000000000003E-2</v>
      </c>
      <c r="BW35" s="230">
        <v>104055000</v>
      </c>
      <c r="BX35" s="230">
        <v>103513500</v>
      </c>
      <c r="BY35" s="230">
        <v>541500</v>
      </c>
      <c r="BZ35" s="229">
        <v>5.1999999999999998E-3</v>
      </c>
      <c r="CA35" s="230">
        <v>23490000</v>
      </c>
      <c r="CB35" s="230">
        <v>52014000</v>
      </c>
      <c r="CC35" s="230">
        <v>-28524000</v>
      </c>
      <c r="CD35" s="229">
        <v>-0.5484</v>
      </c>
      <c r="CE35" s="230">
        <v>79798500</v>
      </c>
      <c r="CF35" s="230">
        <v>50886000</v>
      </c>
      <c r="CG35" s="230">
        <v>28912500</v>
      </c>
      <c r="CH35" s="229">
        <v>0.56820000000000004</v>
      </c>
      <c r="CI35" s="230">
        <v>766500</v>
      </c>
      <c r="CJ35" s="230">
        <v>613500</v>
      </c>
      <c r="CK35" s="230">
        <v>153000</v>
      </c>
      <c r="CL35" s="229">
        <v>0.24940000000000001</v>
      </c>
      <c r="CM35" s="230">
        <v>47178000</v>
      </c>
      <c r="CN35" s="230">
        <v>48130500</v>
      </c>
      <c r="CO35" s="230">
        <v>-952500</v>
      </c>
      <c r="CP35" s="229">
        <v>-1.9800000000000002E-2</v>
      </c>
      <c r="CQ35" s="230">
        <v>20773500</v>
      </c>
      <c r="CR35" s="230">
        <v>18787500</v>
      </c>
      <c r="CS35" s="230">
        <v>1986000</v>
      </c>
      <c r="CT35" s="229">
        <v>0.1057</v>
      </c>
      <c r="CU35" s="230">
        <v>172006500</v>
      </c>
      <c r="CV35" s="230">
        <v>170431500</v>
      </c>
      <c r="CW35" s="230">
        <v>1575000</v>
      </c>
      <c r="CX35" s="229">
        <v>9.1999999999999998E-3</v>
      </c>
      <c r="CY35" s="228">
        <v>20.47</v>
      </c>
      <c r="CZ35" s="228">
        <v>20.21</v>
      </c>
      <c r="DA35" s="228">
        <v>0.26</v>
      </c>
      <c r="DB35" s="228">
        <v>0.26</v>
      </c>
      <c r="DC35" s="228">
        <v>28.33</v>
      </c>
      <c r="DD35" s="228">
        <v>28.39</v>
      </c>
      <c r="DE35" s="228">
        <v>-7.86</v>
      </c>
      <c r="DF35" s="228">
        <v>-0.06</v>
      </c>
      <c r="DG35" s="228">
        <v>20.63</v>
      </c>
      <c r="DH35" s="228">
        <v>20.55</v>
      </c>
      <c r="DI35" s="228">
        <v>0.08</v>
      </c>
      <c r="DJ35" s="228">
        <v>0.08</v>
      </c>
      <c r="DK35" s="228">
        <v>20.27</v>
      </c>
      <c r="DL35" s="228">
        <v>19.68</v>
      </c>
      <c r="DM35" s="228">
        <v>0.59</v>
      </c>
      <c r="DN35" s="228">
        <v>0.59</v>
      </c>
      <c r="DO35" s="228">
        <v>0.44</v>
      </c>
      <c r="DP35" s="228">
        <v>0.39</v>
      </c>
      <c r="DQ35" s="228">
        <v>0.05</v>
      </c>
      <c r="DR35" s="229">
        <v>0.12820000000000001</v>
      </c>
      <c r="DS35" s="228">
        <v>345</v>
      </c>
      <c r="DT35" s="228">
        <v>340</v>
      </c>
      <c r="DU35" s="228">
        <v>0.61</v>
      </c>
      <c r="DV35" s="228">
        <v>0.51</v>
      </c>
      <c r="DW35" s="228">
        <v>0.1</v>
      </c>
      <c r="DX35" s="229">
        <v>0.1961</v>
      </c>
      <c r="DY35" s="229">
        <v>0.77429999999999999</v>
      </c>
      <c r="DZ35" s="230">
        <v>51499500</v>
      </c>
      <c r="EA35" s="229">
        <v>-1.9E-3</v>
      </c>
      <c r="EB35" s="229">
        <v>0.77429999999999999</v>
      </c>
      <c r="EC35" s="228">
        <v>-0.64</v>
      </c>
      <c r="ED35" s="229">
        <v>-1.9E-3</v>
      </c>
      <c r="EE35" s="230">
        <v>4531864</v>
      </c>
      <c r="EF35" s="230">
        <v>5436703</v>
      </c>
      <c r="EG35" s="229">
        <v>-0.16639999999999999</v>
      </c>
      <c r="EH35" s="229">
        <v>0.62749999999999995</v>
      </c>
      <c r="EI35" s="231">
        <v>127522.32</v>
      </c>
      <c r="EJ35" s="231">
        <v>77171.899999999994</v>
      </c>
      <c r="EK35" s="231">
        <v>246387.41</v>
      </c>
      <c r="EL35" s="231">
        <v>19659</v>
      </c>
      <c r="EM35" s="231">
        <v>451081.63</v>
      </c>
      <c r="EN35" s="231">
        <v>458585.11</v>
      </c>
      <c r="EO35" s="231">
        <v>-7503.48</v>
      </c>
      <c r="EP35" s="229">
        <v>-1.6400000000000001E-2</v>
      </c>
      <c r="EQ35" s="231">
        <v>165616</v>
      </c>
      <c r="ER35" s="231">
        <v>70459</v>
      </c>
      <c r="ES35" s="231">
        <v>355103</v>
      </c>
      <c r="ET35" s="231">
        <v>572782298</v>
      </c>
      <c r="EU35" s="231">
        <v>591178</v>
      </c>
      <c r="EV35" s="231">
        <v>584446</v>
      </c>
      <c r="EW35" s="231">
        <v>6732</v>
      </c>
      <c r="EX35" s="229">
        <v>1.15E-2</v>
      </c>
      <c r="EY35" s="229">
        <v>0.30030000000000001</v>
      </c>
    </row>
    <row r="36" spans="1:155" ht="17.25" thickBot="1" x14ac:dyDescent="0.3">
      <c r="A36" s="226">
        <v>45957</v>
      </c>
      <c r="B36" s="227" t="s">
        <v>193</v>
      </c>
      <c r="C36" s="227" t="s">
        <v>269</v>
      </c>
      <c r="D36" s="228">
        <v>252.92</v>
      </c>
      <c r="E36" s="228">
        <v>254.55</v>
      </c>
      <c r="F36" s="228">
        <v>-1.63</v>
      </c>
      <c r="G36" s="229">
        <v>-6.4000000000000003E-3</v>
      </c>
      <c r="H36" s="228">
        <v>253.27</v>
      </c>
      <c r="I36" s="228">
        <v>254.96</v>
      </c>
      <c r="J36" s="228">
        <v>-1.69</v>
      </c>
      <c r="K36" s="229">
        <v>-6.6E-3</v>
      </c>
      <c r="L36" s="228">
        <v>252.92</v>
      </c>
      <c r="M36" s="228">
        <v>254.55</v>
      </c>
      <c r="N36" s="228">
        <v>-1.63</v>
      </c>
      <c r="O36" s="229">
        <v>-6.4000000000000003E-3</v>
      </c>
      <c r="P36" s="228">
        <v>254.02</v>
      </c>
      <c r="Q36" s="228">
        <v>255.85</v>
      </c>
      <c r="R36" s="228">
        <v>-1.83</v>
      </c>
      <c r="S36" s="229">
        <v>-7.1999999999999998E-3</v>
      </c>
      <c r="T36" s="228">
        <v>255.8</v>
      </c>
      <c r="U36" s="228">
        <v>257.47000000000003</v>
      </c>
      <c r="V36" s="228">
        <v>-1.67</v>
      </c>
      <c r="W36" s="229">
        <v>-6.4999999999999997E-3</v>
      </c>
      <c r="X36" s="228">
        <v>-0.35</v>
      </c>
      <c r="Y36" s="228">
        <v>-0.41</v>
      </c>
      <c r="Z36" s="228">
        <v>0.06</v>
      </c>
      <c r="AA36" s="229">
        <v>-1.4E-3</v>
      </c>
      <c r="AB36" s="228">
        <v>-0.35</v>
      </c>
      <c r="AC36" s="228">
        <v>-0.41</v>
      </c>
      <c r="AD36" s="228">
        <v>0.06</v>
      </c>
      <c r="AE36" s="229">
        <v>-1.4E-3</v>
      </c>
      <c r="AF36" s="228">
        <v>0.75</v>
      </c>
      <c r="AG36" s="228">
        <v>0.89</v>
      </c>
      <c r="AH36" s="228">
        <v>-0.14000000000000001</v>
      </c>
      <c r="AI36" s="229">
        <v>3.0000000000000001E-3</v>
      </c>
      <c r="AJ36" s="228">
        <v>2.5299999999999998</v>
      </c>
      <c r="AK36" s="228">
        <v>2.5099999999999998</v>
      </c>
      <c r="AL36" s="228">
        <v>0.02</v>
      </c>
      <c r="AM36" s="229">
        <v>0.01</v>
      </c>
      <c r="AN36" s="228">
        <v>253.1</v>
      </c>
      <c r="AO36" s="228">
        <v>254.18</v>
      </c>
      <c r="AP36" s="228">
        <v>0</v>
      </c>
      <c r="AQ36" s="230">
        <v>33956</v>
      </c>
      <c r="AR36" s="230">
        <v>27612</v>
      </c>
      <c r="AS36" s="230">
        <v>6344</v>
      </c>
      <c r="AT36" s="229">
        <v>0.2298</v>
      </c>
      <c r="AU36" s="230">
        <v>16516</v>
      </c>
      <c r="AV36" s="230">
        <v>13962</v>
      </c>
      <c r="AW36" s="230">
        <v>2554</v>
      </c>
      <c r="AX36" s="229">
        <v>0.18290000000000001</v>
      </c>
      <c r="AY36" s="230">
        <v>17279</v>
      </c>
      <c r="AZ36" s="230">
        <v>13404</v>
      </c>
      <c r="BA36" s="230">
        <v>3875</v>
      </c>
      <c r="BB36" s="229">
        <v>0.28910000000000002</v>
      </c>
      <c r="BC36" s="228">
        <v>161</v>
      </c>
      <c r="BD36" s="228">
        <v>246</v>
      </c>
      <c r="BE36" s="228">
        <v>-85</v>
      </c>
      <c r="BF36" s="229">
        <v>-0.34549999999999997</v>
      </c>
      <c r="BG36" s="230">
        <v>27654</v>
      </c>
      <c r="BH36" s="230">
        <v>54664</v>
      </c>
      <c r="BI36" s="230">
        <v>-27010</v>
      </c>
      <c r="BJ36" s="229">
        <v>-0.49409999999999998</v>
      </c>
      <c r="BK36" s="230">
        <v>15858</v>
      </c>
      <c r="BL36" s="230">
        <v>27475</v>
      </c>
      <c r="BM36" s="230">
        <v>-11617</v>
      </c>
      <c r="BN36" s="229">
        <v>-0.42280000000000001</v>
      </c>
      <c r="BO36" s="230">
        <v>77468</v>
      </c>
      <c r="BP36" s="230">
        <v>109751</v>
      </c>
      <c r="BQ36" s="230">
        <v>-32283</v>
      </c>
      <c r="BR36" s="229">
        <v>-0.29409999999999997</v>
      </c>
      <c r="BS36" s="230">
        <v>8131328</v>
      </c>
      <c r="BT36" s="230">
        <v>19978210</v>
      </c>
      <c r="BU36" s="230">
        <v>-11846882</v>
      </c>
      <c r="BV36" s="229">
        <v>-0.59299999999999997</v>
      </c>
      <c r="BW36" s="230">
        <v>115418250</v>
      </c>
      <c r="BX36" s="230">
        <v>114570000</v>
      </c>
      <c r="BY36" s="230">
        <v>848250</v>
      </c>
      <c r="BZ36" s="229">
        <v>7.4000000000000003E-3</v>
      </c>
      <c r="CA36" s="230">
        <v>35946000</v>
      </c>
      <c r="CB36" s="230">
        <v>64041750</v>
      </c>
      <c r="CC36" s="230">
        <v>-28095750</v>
      </c>
      <c r="CD36" s="229">
        <v>-0.43869999999999998</v>
      </c>
      <c r="CE36" s="230">
        <v>78666750</v>
      </c>
      <c r="CF36" s="230">
        <v>49932000</v>
      </c>
      <c r="CG36" s="230">
        <v>28734750</v>
      </c>
      <c r="CH36" s="229">
        <v>0.57550000000000001</v>
      </c>
      <c r="CI36" s="230">
        <v>805500</v>
      </c>
      <c r="CJ36" s="230">
        <v>596250</v>
      </c>
      <c r="CK36" s="230">
        <v>209250</v>
      </c>
      <c r="CL36" s="229">
        <v>0.35089999999999999</v>
      </c>
      <c r="CM36" s="230">
        <v>58428000</v>
      </c>
      <c r="CN36" s="230">
        <v>62606250</v>
      </c>
      <c r="CO36" s="230">
        <v>-4178250</v>
      </c>
      <c r="CP36" s="229">
        <v>-6.6699999999999995E-2</v>
      </c>
      <c r="CQ36" s="230">
        <v>40383000</v>
      </c>
      <c r="CR36" s="230">
        <v>41951250</v>
      </c>
      <c r="CS36" s="230">
        <v>-1568250</v>
      </c>
      <c r="CT36" s="229">
        <v>-3.7400000000000003E-2</v>
      </c>
      <c r="CU36" s="230">
        <v>214229250</v>
      </c>
      <c r="CV36" s="230">
        <v>219127500</v>
      </c>
      <c r="CW36" s="230">
        <v>-4898250</v>
      </c>
      <c r="CX36" s="229">
        <v>-2.24E-2</v>
      </c>
      <c r="CY36" s="228">
        <v>24.6</v>
      </c>
      <c r="CZ36" s="228">
        <v>24.02</v>
      </c>
      <c r="DA36" s="228">
        <v>0.57999999999999996</v>
      </c>
      <c r="DB36" s="228">
        <v>0.57999999999999996</v>
      </c>
      <c r="DC36" s="228">
        <v>31.89</v>
      </c>
      <c r="DD36" s="228">
        <v>31.96</v>
      </c>
      <c r="DE36" s="228">
        <v>-7.29</v>
      </c>
      <c r="DF36" s="228">
        <v>-7.0000000000000007E-2</v>
      </c>
      <c r="DG36" s="228">
        <v>24.87</v>
      </c>
      <c r="DH36" s="228">
        <v>24.17</v>
      </c>
      <c r="DI36" s="228">
        <v>0.7</v>
      </c>
      <c r="DJ36" s="228">
        <v>0.7</v>
      </c>
      <c r="DK36" s="228">
        <v>24.12</v>
      </c>
      <c r="DL36" s="228">
        <v>23.64</v>
      </c>
      <c r="DM36" s="228">
        <v>0.48</v>
      </c>
      <c r="DN36" s="228">
        <v>0.48</v>
      </c>
      <c r="DO36" s="228">
        <v>0.69</v>
      </c>
      <c r="DP36" s="228">
        <v>0.67</v>
      </c>
      <c r="DQ36" s="228">
        <v>0.02</v>
      </c>
      <c r="DR36" s="229">
        <v>2.9899999999999999E-2</v>
      </c>
      <c r="DS36" s="228">
        <v>250</v>
      </c>
      <c r="DT36" s="228">
        <v>250</v>
      </c>
      <c r="DU36" s="228">
        <v>0.56999999999999995</v>
      </c>
      <c r="DV36" s="228">
        <v>0.5</v>
      </c>
      <c r="DW36" s="228">
        <v>7.0000000000000007E-2</v>
      </c>
      <c r="DX36" s="229">
        <v>0.14000000000000001</v>
      </c>
      <c r="DY36" s="229">
        <v>0.68859999999999999</v>
      </c>
      <c r="DZ36" s="230">
        <v>50528250</v>
      </c>
      <c r="EA36" s="229">
        <v>4.3E-3</v>
      </c>
      <c r="EB36" s="229">
        <v>0.68859999999999999</v>
      </c>
      <c r="EC36" s="228">
        <v>1.08</v>
      </c>
      <c r="ED36" s="229">
        <v>4.3E-3</v>
      </c>
      <c r="EE36" s="230">
        <v>4643842</v>
      </c>
      <c r="EF36" s="230">
        <v>11053941</v>
      </c>
      <c r="EG36" s="229">
        <v>-0.57989999999999997</v>
      </c>
      <c r="EH36" s="229">
        <v>0.57110000000000005</v>
      </c>
      <c r="EI36" s="231">
        <v>161145.96</v>
      </c>
      <c r="EJ36" s="231">
        <v>90414.63</v>
      </c>
      <c r="EK36" s="231">
        <v>193800.91</v>
      </c>
      <c r="EL36" s="231">
        <v>16969</v>
      </c>
      <c r="EM36" s="231">
        <v>445361.5</v>
      </c>
      <c r="EN36" s="231">
        <v>636867.11</v>
      </c>
      <c r="EO36" s="231">
        <v>-191505.61</v>
      </c>
      <c r="EP36" s="229">
        <v>-0.30070000000000002</v>
      </c>
      <c r="EQ36" s="231">
        <v>148284</v>
      </c>
      <c r="ER36" s="231">
        <v>99350</v>
      </c>
      <c r="ES36" s="231">
        <v>292804</v>
      </c>
      <c r="ET36" s="231">
        <v>517141211</v>
      </c>
      <c r="EU36" s="231">
        <v>540439</v>
      </c>
      <c r="EV36" s="231">
        <v>554370</v>
      </c>
      <c r="EW36" s="231">
        <v>-13931</v>
      </c>
      <c r="EX36" s="229">
        <v>-2.5100000000000001E-2</v>
      </c>
      <c r="EY36" s="229">
        <v>0.4143</v>
      </c>
    </row>
    <row r="37" spans="1:155" ht="17.25" thickBot="1" x14ac:dyDescent="0.3">
      <c r="A37" s="226">
        <v>45957</v>
      </c>
      <c r="B37" s="227" t="s">
        <v>161</v>
      </c>
      <c r="C37" s="227" t="s">
        <v>276</v>
      </c>
      <c r="D37" s="228">
        <v>291.7</v>
      </c>
      <c r="E37" s="228">
        <v>288.45</v>
      </c>
      <c r="F37" s="228">
        <v>3.25</v>
      </c>
      <c r="G37" s="229">
        <v>1.1299999999999999E-2</v>
      </c>
      <c r="H37" s="228">
        <v>291.05</v>
      </c>
      <c r="I37" s="228">
        <v>288.5</v>
      </c>
      <c r="J37" s="228">
        <v>2.5499999999999998</v>
      </c>
      <c r="K37" s="229">
        <v>8.8000000000000005E-3</v>
      </c>
      <c r="L37" s="228">
        <v>291.7</v>
      </c>
      <c r="M37" s="228">
        <v>288.45</v>
      </c>
      <c r="N37" s="228">
        <v>3.25</v>
      </c>
      <c r="O37" s="229">
        <v>1.1299999999999999E-2</v>
      </c>
      <c r="P37" s="228">
        <v>289.05</v>
      </c>
      <c r="Q37" s="228">
        <v>285.85000000000002</v>
      </c>
      <c r="R37" s="228">
        <v>3.2</v>
      </c>
      <c r="S37" s="229">
        <v>1.12E-2</v>
      </c>
      <c r="T37" s="228">
        <v>290.8</v>
      </c>
      <c r="U37" s="228">
        <v>287.5</v>
      </c>
      <c r="V37" s="228">
        <v>3.3</v>
      </c>
      <c r="W37" s="229">
        <v>1.15E-2</v>
      </c>
      <c r="X37" s="228">
        <v>0.65</v>
      </c>
      <c r="Y37" s="228">
        <v>-0.05</v>
      </c>
      <c r="Z37" s="228">
        <v>0.7</v>
      </c>
      <c r="AA37" s="229">
        <v>2.2000000000000001E-3</v>
      </c>
      <c r="AB37" s="228">
        <v>0.65</v>
      </c>
      <c r="AC37" s="228">
        <v>-0.05</v>
      </c>
      <c r="AD37" s="228">
        <v>0.7</v>
      </c>
      <c r="AE37" s="229">
        <v>2.2000000000000001E-3</v>
      </c>
      <c r="AF37" s="228">
        <v>-2</v>
      </c>
      <c r="AG37" s="228">
        <v>-2.65</v>
      </c>
      <c r="AH37" s="228">
        <v>0.65</v>
      </c>
      <c r="AI37" s="229">
        <v>-6.8999999999999999E-3</v>
      </c>
      <c r="AJ37" s="228">
        <v>-0.25</v>
      </c>
      <c r="AK37" s="228">
        <v>-1</v>
      </c>
      <c r="AL37" s="228">
        <v>0.75</v>
      </c>
      <c r="AM37" s="229">
        <v>-8.9999999999999998E-4</v>
      </c>
      <c r="AN37" s="228">
        <v>291.58999999999997</v>
      </c>
      <c r="AO37" s="228">
        <v>288.95999999999998</v>
      </c>
      <c r="AP37" s="228">
        <v>0</v>
      </c>
      <c r="AQ37" s="230">
        <v>28479</v>
      </c>
      <c r="AR37" s="230">
        <v>23404</v>
      </c>
      <c r="AS37" s="230">
        <v>5075</v>
      </c>
      <c r="AT37" s="229">
        <v>0.21679999999999999</v>
      </c>
      <c r="AU37" s="230">
        <v>13850</v>
      </c>
      <c r="AV37" s="230">
        <v>11744</v>
      </c>
      <c r="AW37" s="230">
        <v>2106</v>
      </c>
      <c r="AX37" s="229">
        <v>0.17929999999999999</v>
      </c>
      <c r="AY37" s="230">
        <v>14472</v>
      </c>
      <c r="AZ37" s="230">
        <v>11511</v>
      </c>
      <c r="BA37" s="230">
        <v>2961</v>
      </c>
      <c r="BB37" s="229">
        <v>0.25719999999999998</v>
      </c>
      <c r="BC37" s="228">
        <v>157</v>
      </c>
      <c r="BD37" s="228">
        <v>149</v>
      </c>
      <c r="BE37" s="228">
        <v>8</v>
      </c>
      <c r="BF37" s="229">
        <v>5.3699999999999998E-2</v>
      </c>
      <c r="BG37" s="230">
        <v>14718</v>
      </c>
      <c r="BH37" s="230">
        <v>14694</v>
      </c>
      <c r="BI37" s="228">
        <v>24</v>
      </c>
      <c r="BJ37" s="229">
        <v>1.6000000000000001E-3</v>
      </c>
      <c r="BK37" s="230">
        <v>7467</v>
      </c>
      <c r="BL37" s="230">
        <v>7368</v>
      </c>
      <c r="BM37" s="228">
        <v>99</v>
      </c>
      <c r="BN37" s="229">
        <v>1.34E-2</v>
      </c>
      <c r="BO37" s="230">
        <v>50664</v>
      </c>
      <c r="BP37" s="230">
        <v>45466</v>
      </c>
      <c r="BQ37" s="230">
        <v>5198</v>
      </c>
      <c r="BR37" s="229">
        <v>0.1143</v>
      </c>
      <c r="BS37" s="230">
        <v>13673864</v>
      </c>
      <c r="BT37" s="230">
        <v>20947082</v>
      </c>
      <c r="BU37" s="230">
        <v>-7273218</v>
      </c>
      <c r="BV37" s="229">
        <v>-0.34720000000000001</v>
      </c>
      <c r="BW37" s="230">
        <v>83142100</v>
      </c>
      <c r="BX37" s="230">
        <v>80603700</v>
      </c>
      <c r="BY37" s="230">
        <v>2538400</v>
      </c>
      <c r="BZ37" s="229">
        <v>3.15E-2</v>
      </c>
      <c r="CA37" s="230">
        <v>25703200</v>
      </c>
      <c r="CB37" s="230">
        <v>44015400</v>
      </c>
      <c r="CC37" s="230">
        <v>-18312200</v>
      </c>
      <c r="CD37" s="229">
        <v>-0.41599999999999998</v>
      </c>
      <c r="CE37" s="230">
        <v>56882200</v>
      </c>
      <c r="CF37" s="230">
        <v>36073400</v>
      </c>
      <c r="CG37" s="230">
        <v>20808800</v>
      </c>
      <c r="CH37" s="229">
        <v>0.57679999999999998</v>
      </c>
      <c r="CI37" s="230">
        <v>556700</v>
      </c>
      <c r="CJ37" s="230">
        <v>514900</v>
      </c>
      <c r="CK37" s="230">
        <v>41800</v>
      </c>
      <c r="CL37" s="229">
        <v>8.1199999999999994E-2</v>
      </c>
      <c r="CM37" s="230">
        <v>27152900</v>
      </c>
      <c r="CN37" s="230">
        <v>28425900</v>
      </c>
      <c r="CO37" s="230">
        <v>-1273000</v>
      </c>
      <c r="CP37" s="229">
        <v>-4.48E-2</v>
      </c>
      <c r="CQ37" s="230">
        <v>15234200</v>
      </c>
      <c r="CR37" s="230">
        <v>15105000</v>
      </c>
      <c r="CS37" s="230">
        <v>129200</v>
      </c>
      <c r="CT37" s="229">
        <v>8.6E-3</v>
      </c>
      <c r="CU37" s="230">
        <v>125529200</v>
      </c>
      <c r="CV37" s="230">
        <v>124134600</v>
      </c>
      <c r="CW37" s="230">
        <v>1394600</v>
      </c>
      <c r="CX37" s="229">
        <v>1.12E-2</v>
      </c>
      <c r="CY37" s="228">
        <v>21.3</v>
      </c>
      <c r="CZ37" s="228">
        <v>20.350000000000001</v>
      </c>
      <c r="DA37" s="228">
        <v>0.95</v>
      </c>
      <c r="DB37" s="228">
        <v>0.95</v>
      </c>
      <c r="DC37" s="228">
        <v>29.01</v>
      </c>
      <c r="DD37" s="228">
        <v>29.06</v>
      </c>
      <c r="DE37" s="228">
        <v>-7.71</v>
      </c>
      <c r="DF37" s="228">
        <v>-0.05</v>
      </c>
      <c r="DG37" s="228">
        <v>21.58</v>
      </c>
      <c r="DH37" s="228">
        <v>20.55</v>
      </c>
      <c r="DI37" s="228">
        <v>1.03</v>
      </c>
      <c r="DJ37" s="228">
        <v>1.03</v>
      </c>
      <c r="DK37" s="228">
        <v>20.84</v>
      </c>
      <c r="DL37" s="228">
        <v>20</v>
      </c>
      <c r="DM37" s="228">
        <v>0.84</v>
      </c>
      <c r="DN37" s="228">
        <v>0.84</v>
      </c>
      <c r="DO37" s="228">
        <v>0.56000000000000005</v>
      </c>
      <c r="DP37" s="228">
        <v>0.53</v>
      </c>
      <c r="DQ37" s="228">
        <v>0.03</v>
      </c>
      <c r="DR37" s="229">
        <v>5.6599999999999998E-2</v>
      </c>
      <c r="DS37" s="228">
        <v>300</v>
      </c>
      <c r="DT37" s="228">
        <v>290</v>
      </c>
      <c r="DU37" s="228">
        <v>0.51</v>
      </c>
      <c r="DV37" s="228">
        <v>0.5</v>
      </c>
      <c r="DW37" s="228">
        <v>0.01</v>
      </c>
      <c r="DX37" s="229">
        <v>0.02</v>
      </c>
      <c r="DY37" s="229">
        <v>0.69089999999999996</v>
      </c>
      <c r="DZ37" s="230">
        <v>36588300</v>
      </c>
      <c r="EA37" s="229">
        <v>-9.1000000000000004E-3</v>
      </c>
      <c r="EB37" s="229">
        <v>0.69089999999999996</v>
      </c>
      <c r="EC37" s="228">
        <v>-2.63</v>
      </c>
      <c r="ED37" s="229">
        <v>-8.9999999999999993E-3</v>
      </c>
      <c r="EE37" s="230">
        <v>9905658</v>
      </c>
      <c r="EF37" s="230">
        <v>16972219</v>
      </c>
      <c r="EG37" s="229">
        <v>-0.41639999999999999</v>
      </c>
      <c r="EH37" s="229">
        <v>0.72440000000000004</v>
      </c>
      <c r="EI37" s="231">
        <v>82819.929999999993</v>
      </c>
      <c r="EJ37" s="231">
        <v>41268.49</v>
      </c>
      <c r="EK37" s="231">
        <v>157053.85999999999</v>
      </c>
      <c r="EL37" s="231">
        <v>12069</v>
      </c>
      <c r="EM37" s="231">
        <v>281142.28000000003</v>
      </c>
      <c r="EN37" s="231">
        <v>251011.98</v>
      </c>
      <c r="EO37" s="231">
        <v>30130.3</v>
      </c>
      <c r="EP37" s="229">
        <v>0.12</v>
      </c>
      <c r="EQ37" s="231">
        <v>81578</v>
      </c>
      <c r="ER37" s="231">
        <v>43568</v>
      </c>
      <c r="ES37" s="231">
        <v>241013</v>
      </c>
      <c r="ET37" s="231">
        <v>488832949</v>
      </c>
      <c r="EU37" s="231">
        <v>366159</v>
      </c>
      <c r="EV37" s="231">
        <v>359927</v>
      </c>
      <c r="EW37" s="231">
        <v>6232</v>
      </c>
      <c r="EX37" s="229">
        <v>1.7299999999999999E-2</v>
      </c>
      <c r="EY37" s="229">
        <v>0.25679999999999997</v>
      </c>
    </row>
    <row r="38" spans="1:155" ht="17.25" thickBot="1" x14ac:dyDescent="0.3">
      <c r="A38" s="226">
        <v>45957</v>
      </c>
      <c r="B38" s="227" t="s">
        <v>193</v>
      </c>
      <c r="C38" s="227" t="s">
        <v>281</v>
      </c>
      <c r="D38" s="231">
        <v>1482.3</v>
      </c>
      <c r="E38" s="231">
        <v>1450.5</v>
      </c>
      <c r="F38" s="228">
        <v>31.8</v>
      </c>
      <c r="G38" s="229">
        <v>2.1899999999999999E-2</v>
      </c>
      <c r="H38" s="231">
        <v>1484.1</v>
      </c>
      <c r="I38" s="231">
        <v>1451.6</v>
      </c>
      <c r="J38" s="228">
        <v>32.5</v>
      </c>
      <c r="K38" s="229">
        <v>2.24E-2</v>
      </c>
      <c r="L38" s="231">
        <v>1482.3</v>
      </c>
      <c r="M38" s="231">
        <v>1450.5</v>
      </c>
      <c r="N38" s="228">
        <v>31.8</v>
      </c>
      <c r="O38" s="229">
        <v>2.1899999999999999E-2</v>
      </c>
      <c r="P38" s="231">
        <v>1490.6</v>
      </c>
      <c r="Q38" s="231">
        <v>1458.9</v>
      </c>
      <c r="R38" s="228">
        <v>31.7</v>
      </c>
      <c r="S38" s="229">
        <v>2.1700000000000001E-2</v>
      </c>
      <c r="T38" s="231">
        <v>1500.4</v>
      </c>
      <c r="U38" s="231">
        <v>1467.6</v>
      </c>
      <c r="V38" s="228">
        <v>32.799999999999997</v>
      </c>
      <c r="W38" s="229">
        <v>2.23E-2</v>
      </c>
      <c r="X38" s="228">
        <v>-1.8</v>
      </c>
      <c r="Y38" s="228">
        <v>-1.1000000000000001</v>
      </c>
      <c r="Z38" s="228">
        <v>-0.7</v>
      </c>
      <c r="AA38" s="229">
        <v>-1.1999999999999999E-3</v>
      </c>
      <c r="AB38" s="228">
        <v>-1.8</v>
      </c>
      <c r="AC38" s="228">
        <v>-1.1000000000000001</v>
      </c>
      <c r="AD38" s="228">
        <v>-0.7</v>
      </c>
      <c r="AE38" s="229">
        <v>-1.1999999999999999E-3</v>
      </c>
      <c r="AF38" s="228">
        <v>6.5</v>
      </c>
      <c r="AG38" s="228">
        <v>7.3</v>
      </c>
      <c r="AH38" s="228">
        <v>-0.8</v>
      </c>
      <c r="AI38" s="229">
        <v>4.4000000000000003E-3</v>
      </c>
      <c r="AJ38" s="228">
        <v>16.3</v>
      </c>
      <c r="AK38" s="228">
        <v>16</v>
      </c>
      <c r="AL38" s="228">
        <v>0.3</v>
      </c>
      <c r="AM38" s="229">
        <v>1.0999999999999999E-2</v>
      </c>
      <c r="AN38" s="231">
        <v>1478.67</v>
      </c>
      <c r="AO38" s="231">
        <v>1487.17</v>
      </c>
      <c r="AP38" s="228">
        <v>0</v>
      </c>
      <c r="AQ38" s="230">
        <v>148510</v>
      </c>
      <c r="AR38" s="230">
        <v>130926</v>
      </c>
      <c r="AS38" s="230">
        <v>17584</v>
      </c>
      <c r="AT38" s="229">
        <v>0.1343</v>
      </c>
      <c r="AU38" s="230">
        <v>70928</v>
      </c>
      <c r="AV38" s="230">
        <v>67463</v>
      </c>
      <c r="AW38" s="230">
        <v>3465</v>
      </c>
      <c r="AX38" s="229">
        <v>5.1400000000000001E-2</v>
      </c>
      <c r="AY38" s="230">
        <v>75911</v>
      </c>
      <c r="AZ38" s="230">
        <v>62525</v>
      </c>
      <c r="BA38" s="230">
        <v>13386</v>
      </c>
      <c r="BB38" s="229">
        <v>0.21410000000000001</v>
      </c>
      <c r="BC38" s="230">
        <v>1671</v>
      </c>
      <c r="BD38" s="228">
        <v>938</v>
      </c>
      <c r="BE38" s="228">
        <v>733</v>
      </c>
      <c r="BF38" s="229">
        <v>0.78139999999999998</v>
      </c>
      <c r="BG38" s="230">
        <v>325944</v>
      </c>
      <c r="BH38" s="230">
        <v>235535</v>
      </c>
      <c r="BI38" s="230">
        <v>90409</v>
      </c>
      <c r="BJ38" s="229">
        <v>0.38379999999999997</v>
      </c>
      <c r="BK38" s="230">
        <v>183387</v>
      </c>
      <c r="BL38" s="230">
        <v>158675</v>
      </c>
      <c r="BM38" s="230">
        <v>24712</v>
      </c>
      <c r="BN38" s="229">
        <v>0.15570000000000001</v>
      </c>
      <c r="BO38" s="230">
        <v>657841</v>
      </c>
      <c r="BP38" s="230">
        <v>525136</v>
      </c>
      <c r="BQ38" s="230">
        <v>132705</v>
      </c>
      <c r="BR38" s="229">
        <v>0.25269999999999998</v>
      </c>
      <c r="BS38" s="230">
        <v>14506890</v>
      </c>
      <c r="BT38" s="230">
        <v>10032428</v>
      </c>
      <c r="BU38" s="230">
        <v>4474462</v>
      </c>
      <c r="BV38" s="229">
        <v>0.44600000000000001</v>
      </c>
      <c r="BW38" s="230">
        <v>126326500</v>
      </c>
      <c r="BX38" s="230">
        <v>125749500</v>
      </c>
      <c r="BY38" s="230">
        <v>577000</v>
      </c>
      <c r="BZ38" s="229">
        <v>4.5999999999999999E-3</v>
      </c>
      <c r="CA38" s="230">
        <v>24736500</v>
      </c>
      <c r="CB38" s="230">
        <v>52576000</v>
      </c>
      <c r="CC38" s="230">
        <v>-27839500</v>
      </c>
      <c r="CD38" s="229">
        <v>-0.52949999999999997</v>
      </c>
      <c r="CE38" s="230">
        <v>98367000</v>
      </c>
      <c r="CF38" s="230">
        <v>70149500</v>
      </c>
      <c r="CG38" s="230">
        <v>28217500</v>
      </c>
      <c r="CH38" s="229">
        <v>0.4022</v>
      </c>
      <c r="CI38" s="230">
        <v>3223000</v>
      </c>
      <c r="CJ38" s="230">
        <v>3024000</v>
      </c>
      <c r="CK38" s="230">
        <v>199000</v>
      </c>
      <c r="CL38" s="229">
        <v>6.5799999999999997E-2</v>
      </c>
      <c r="CM38" s="230">
        <v>46793500</v>
      </c>
      <c r="CN38" s="230">
        <v>49302000</v>
      </c>
      <c r="CO38" s="230">
        <v>-2508500</v>
      </c>
      <c r="CP38" s="229">
        <v>-5.0900000000000001E-2</v>
      </c>
      <c r="CQ38" s="230">
        <v>38078000</v>
      </c>
      <c r="CR38" s="230">
        <v>35961500</v>
      </c>
      <c r="CS38" s="230">
        <v>2116500</v>
      </c>
      <c r="CT38" s="229">
        <v>5.8900000000000001E-2</v>
      </c>
      <c r="CU38" s="230">
        <v>211198000</v>
      </c>
      <c r="CV38" s="230">
        <v>211013000</v>
      </c>
      <c r="CW38" s="230">
        <v>185000</v>
      </c>
      <c r="CX38" s="229">
        <v>8.9999999999999998E-4</v>
      </c>
      <c r="CY38" s="228">
        <v>18.670000000000002</v>
      </c>
      <c r="CZ38" s="228">
        <v>18.28</v>
      </c>
      <c r="DA38" s="228">
        <v>0.39</v>
      </c>
      <c r="DB38" s="228">
        <v>0.39</v>
      </c>
      <c r="DC38" s="228">
        <v>24.65</v>
      </c>
      <c r="DD38" s="228">
        <v>24.53</v>
      </c>
      <c r="DE38" s="228">
        <v>-5.98</v>
      </c>
      <c r="DF38" s="228">
        <v>0.12</v>
      </c>
      <c r="DG38" s="228">
        <v>18.28</v>
      </c>
      <c r="DH38" s="228">
        <v>18.13</v>
      </c>
      <c r="DI38" s="228">
        <v>0.15</v>
      </c>
      <c r="DJ38" s="228">
        <v>0.15</v>
      </c>
      <c r="DK38" s="228">
        <v>19.399999999999999</v>
      </c>
      <c r="DL38" s="228">
        <v>18.53</v>
      </c>
      <c r="DM38" s="228">
        <v>0.87</v>
      </c>
      <c r="DN38" s="228">
        <v>0.87</v>
      </c>
      <c r="DO38" s="228">
        <v>0.81</v>
      </c>
      <c r="DP38" s="228">
        <v>0.73</v>
      </c>
      <c r="DQ38" s="228">
        <v>0.08</v>
      </c>
      <c r="DR38" s="229">
        <v>0.1096</v>
      </c>
      <c r="DS38" s="231">
        <v>1500</v>
      </c>
      <c r="DT38" s="231">
        <v>1400</v>
      </c>
      <c r="DU38" s="228">
        <v>0.56000000000000005</v>
      </c>
      <c r="DV38" s="228">
        <v>0.67</v>
      </c>
      <c r="DW38" s="228">
        <v>-0.11</v>
      </c>
      <c r="DX38" s="229">
        <v>-0.16420000000000001</v>
      </c>
      <c r="DY38" s="229">
        <v>0.80420000000000003</v>
      </c>
      <c r="DZ38" s="230">
        <v>73173500</v>
      </c>
      <c r="EA38" s="229">
        <v>5.5999999999999999E-3</v>
      </c>
      <c r="EB38" s="229">
        <v>0.80420000000000003</v>
      </c>
      <c r="EC38" s="228">
        <v>8.5</v>
      </c>
      <c r="ED38" s="229">
        <v>5.7000000000000002E-3</v>
      </c>
      <c r="EE38" s="230">
        <v>9862291</v>
      </c>
      <c r="EF38" s="230">
        <v>5147302</v>
      </c>
      <c r="EG38" s="229">
        <v>0.91600000000000004</v>
      </c>
      <c r="EH38" s="229">
        <v>0.67979999999999996</v>
      </c>
      <c r="EI38" s="231">
        <v>2448030.58</v>
      </c>
      <c r="EJ38" s="231">
        <v>1339653.6100000001</v>
      </c>
      <c r="EK38" s="231">
        <v>1101346.57</v>
      </c>
      <c r="EL38" s="231">
        <v>87790</v>
      </c>
      <c r="EM38" s="231">
        <v>4889030.76</v>
      </c>
      <c r="EN38" s="231">
        <v>3843153.94</v>
      </c>
      <c r="EO38" s="231">
        <v>1045876.82</v>
      </c>
      <c r="EP38" s="229">
        <v>0.27210000000000001</v>
      </c>
      <c r="EQ38" s="231">
        <v>688555</v>
      </c>
      <c r="ER38" s="231">
        <v>542232</v>
      </c>
      <c r="ES38" s="231">
        <v>1881286</v>
      </c>
      <c r="ET38" s="231">
        <v>662701060</v>
      </c>
      <c r="EU38" s="231">
        <v>3112072</v>
      </c>
      <c r="EV38" s="231">
        <v>3061180</v>
      </c>
      <c r="EW38" s="231">
        <v>50892</v>
      </c>
      <c r="EX38" s="229">
        <v>1.66E-2</v>
      </c>
      <c r="EY38" s="229">
        <v>0.31869999999999998</v>
      </c>
    </row>
    <row r="39" spans="1:155" ht="17.25" thickBot="1" x14ac:dyDescent="0.3">
      <c r="A39" s="226">
        <v>45957</v>
      </c>
      <c r="B39" s="227" t="s">
        <v>175</v>
      </c>
      <c r="C39" s="227" t="s">
        <v>462</v>
      </c>
      <c r="D39" s="231">
        <v>1899.9</v>
      </c>
      <c r="E39" s="231">
        <v>1839.2</v>
      </c>
      <c r="F39" s="228">
        <v>60.7</v>
      </c>
      <c r="G39" s="229">
        <v>3.3000000000000002E-2</v>
      </c>
      <c r="H39" s="231">
        <v>1903.1</v>
      </c>
      <c r="I39" s="231">
        <v>1839.8</v>
      </c>
      <c r="J39" s="228">
        <v>63.3</v>
      </c>
      <c r="K39" s="229">
        <v>3.44E-2</v>
      </c>
      <c r="L39" s="231">
        <v>1899.9</v>
      </c>
      <c r="M39" s="231">
        <v>1839.2</v>
      </c>
      <c r="N39" s="228">
        <v>60.7</v>
      </c>
      <c r="O39" s="229">
        <v>3.3000000000000002E-2</v>
      </c>
      <c r="P39" s="231">
        <v>1912.4</v>
      </c>
      <c r="Q39" s="231">
        <v>1849.5</v>
      </c>
      <c r="R39" s="228">
        <v>62.9</v>
      </c>
      <c r="S39" s="229">
        <v>3.4000000000000002E-2</v>
      </c>
      <c r="T39" s="231">
        <v>1924.1</v>
      </c>
      <c r="U39" s="231">
        <v>1861.9</v>
      </c>
      <c r="V39" s="228">
        <v>62.2</v>
      </c>
      <c r="W39" s="229">
        <v>3.3399999999999999E-2</v>
      </c>
      <c r="X39" s="228">
        <v>-3.2</v>
      </c>
      <c r="Y39" s="228">
        <v>-0.6</v>
      </c>
      <c r="Z39" s="228">
        <v>-2.6</v>
      </c>
      <c r="AA39" s="229">
        <v>-1.6999999999999999E-3</v>
      </c>
      <c r="AB39" s="228">
        <v>-3.2</v>
      </c>
      <c r="AC39" s="228">
        <v>-0.6</v>
      </c>
      <c r="AD39" s="228">
        <v>-2.6</v>
      </c>
      <c r="AE39" s="229">
        <v>-1.6999999999999999E-3</v>
      </c>
      <c r="AF39" s="228">
        <v>9.3000000000000007</v>
      </c>
      <c r="AG39" s="228">
        <v>9.6999999999999993</v>
      </c>
      <c r="AH39" s="228">
        <v>-0.4</v>
      </c>
      <c r="AI39" s="229">
        <v>4.8999999999999998E-3</v>
      </c>
      <c r="AJ39" s="228">
        <v>21</v>
      </c>
      <c r="AK39" s="228">
        <v>22.1</v>
      </c>
      <c r="AL39" s="228">
        <v>-1.1000000000000001</v>
      </c>
      <c r="AM39" s="229">
        <v>1.0999999999999999E-2</v>
      </c>
      <c r="AN39" s="231">
        <v>1900.12</v>
      </c>
      <c r="AO39" s="231">
        <v>1911.67</v>
      </c>
      <c r="AP39" s="228">
        <v>0</v>
      </c>
      <c r="AQ39" s="230">
        <v>24216</v>
      </c>
      <c r="AR39" s="230">
        <v>18552</v>
      </c>
      <c r="AS39" s="230">
        <v>5664</v>
      </c>
      <c r="AT39" s="229">
        <v>0.30530000000000002</v>
      </c>
      <c r="AU39" s="230">
        <v>9847</v>
      </c>
      <c r="AV39" s="230">
        <v>9351</v>
      </c>
      <c r="AW39" s="228">
        <v>496</v>
      </c>
      <c r="AX39" s="229">
        <v>5.2999999999999999E-2</v>
      </c>
      <c r="AY39" s="230">
        <v>14126</v>
      </c>
      <c r="AZ39" s="230">
        <v>9180</v>
      </c>
      <c r="BA39" s="230">
        <v>4946</v>
      </c>
      <c r="BB39" s="229">
        <v>0.53879999999999995</v>
      </c>
      <c r="BC39" s="228">
        <v>243</v>
      </c>
      <c r="BD39" s="228">
        <v>21</v>
      </c>
      <c r="BE39" s="228">
        <v>222</v>
      </c>
      <c r="BF39" s="229">
        <v>10.571400000000001</v>
      </c>
      <c r="BG39" s="230">
        <v>115179</v>
      </c>
      <c r="BH39" s="230">
        <v>27390</v>
      </c>
      <c r="BI39" s="230">
        <v>87789</v>
      </c>
      <c r="BJ39" s="229">
        <v>3.2050999999999998</v>
      </c>
      <c r="BK39" s="230">
        <v>55174</v>
      </c>
      <c r="BL39" s="230">
        <v>20073</v>
      </c>
      <c r="BM39" s="230">
        <v>35101</v>
      </c>
      <c r="BN39" s="229">
        <v>1.7486999999999999</v>
      </c>
      <c r="BO39" s="230">
        <v>194569</v>
      </c>
      <c r="BP39" s="230">
        <v>66015</v>
      </c>
      <c r="BQ39" s="230">
        <v>128554</v>
      </c>
      <c r="BR39" s="229">
        <v>1.9473</v>
      </c>
      <c r="BS39" s="230">
        <v>3001432</v>
      </c>
      <c r="BT39" s="230">
        <v>581292</v>
      </c>
      <c r="BU39" s="230">
        <v>2420140</v>
      </c>
      <c r="BV39" s="229">
        <v>4.1634000000000002</v>
      </c>
      <c r="BW39" s="230">
        <v>7510125</v>
      </c>
      <c r="BX39" s="230">
        <v>7267500</v>
      </c>
      <c r="BY39" s="230">
        <v>242625</v>
      </c>
      <c r="BZ39" s="229">
        <v>3.3399999999999999E-2</v>
      </c>
      <c r="CA39" s="230">
        <v>1035000</v>
      </c>
      <c r="CB39" s="230">
        <v>2659500</v>
      </c>
      <c r="CC39" s="230">
        <v>-1624500</v>
      </c>
      <c r="CD39" s="229">
        <v>-0.61080000000000001</v>
      </c>
      <c r="CE39" s="230">
        <v>6403500</v>
      </c>
      <c r="CF39" s="230">
        <v>4569000</v>
      </c>
      <c r="CG39" s="230">
        <v>1834500</v>
      </c>
      <c r="CH39" s="229">
        <v>0.40150000000000002</v>
      </c>
      <c r="CI39" s="230">
        <v>71625</v>
      </c>
      <c r="CJ39" s="230">
        <v>39000</v>
      </c>
      <c r="CK39" s="230">
        <v>32625</v>
      </c>
      <c r="CL39" s="229">
        <v>0.83650000000000002</v>
      </c>
      <c r="CM39" s="230">
        <v>4043625</v>
      </c>
      <c r="CN39" s="230">
        <v>3602625</v>
      </c>
      <c r="CO39" s="230">
        <v>441000</v>
      </c>
      <c r="CP39" s="229">
        <v>0.12239999999999999</v>
      </c>
      <c r="CQ39" s="230">
        <v>2850000</v>
      </c>
      <c r="CR39" s="230">
        <v>2016375</v>
      </c>
      <c r="CS39" s="230">
        <v>833625</v>
      </c>
      <c r="CT39" s="229">
        <v>0.41339999999999999</v>
      </c>
      <c r="CU39" s="230">
        <v>14403750</v>
      </c>
      <c r="CV39" s="230">
        <v>12886500</v>
      </c>
      <c r="CW39" s="230">
        <v>1517250</v>
      </c>
      <c r="CX39" s="229">
        <v>0.1177</v>
      </c>
      <c r="CY39" s="228">
        <v>20.67</v>
      </c>
      <c r="CZ39" s="228">
        <v>22.68</v>
      </c>
      <c r="DA39" s="228">
        <v>-2.0099999999999998</v>
      </c>
      <c r="DB39" s="228">
        <v>-2.0099999999999998</v>
      </c>
      <c r="DC39" s="228">
        <v>25.73</v>
      </c>
      <c r="DD39" s="228">
        <v>25.38</v>
      </c>
      <c r="DE39" s="228">
        <v>-5.0599999999999996</v>
      </c>
      <c r="DF39" s="228">
        <v>0.35</v>
      </c>
      <c r="DG39" s="228">
        <v>20.32</v>
      </c>
      <c r="DH39" s="228">
        <v>22.64</v>
      </c>
      <c r="DI39" s="228">
        <v>-2.3199999999999998</v>
      </c>
      <c r="DJ39" s="228">
        <v>-2.3199999999999998</v>
      </c>
      <c r="DK39" s="228">
        <v>21.33</v>
      </c>
      <c r="DL39" s="228">
        <v>22.76</v>
      </c>
      <c r="DM39" s="228">
        <v>-1.43</v>
      </c>
      <c r="DN39" s="228">
        <v>-1.43</v>
      </c>
      <c r="DO39" s="228">
        <v>0.7</v>
      </c>
      <c r="DP39" s="228">
        <v>0.56000000000000005</v>
      </c>
      <c r="DQ39" s="228">
        <v>0.14000000000000001</v>
      </c>
      <c r="DR39" s="229">
        <v>0.25</v>
      </c>
      <c r="DS39" s="231">
        <v>1800</v>
      </c>
      <c r="DT39" s="231">
        <v>1880</v>
      </c>
      <c r="DU39" s="228">
        <v>0.48</v>
      </c>
      <c r="DV39" s="228">
        <v>0.73</v>
      </c>
      <c r="DW39" s="228">
        <v>-0.25</v>
      </c>
      <c r="DX39" s="229">
        <v>-0.34250000000000003</v>
      </c>
      <c r="DY39" s="229">
        <v>0.86219999999999997</v>
      </c>
      <c r="DZ39" s="230">
        <v>4608000</v>
      </c>
      <c r="EA39" s="229">
        <v>6.6E-3</v>
      </c>
      <c r="EB39" s="229">
        <v>0.86219999999999997</v>
      </c>
      <c r="EC39" s="228">
        <v>11.55</v>
      </c>
      <c r="ED39" s="229">
        <v>6.1000000000000004E-3</v>
      </c>
      <c r="EE39" s="230">
        <v>1054097</v>
      </c>
      <c r="EF39" s="230">
        <v>293429</v>
      </c>
      <c r="EG39" s="229">
        <v>2.5922999999999998</v>
      </c>
      <c r="EH39" s="229">
        <v>0.35120000000000001</v>
      </c>
      <c r="EI39" s="231">
        <v>837333.08</v>
      </c>
      <c r="EJ39" s="231">
        <v>387337.29</v>
      </c>
      <c r="EK39" s="231">
        <v>173182.05</v>
      </c>
      <c r="EL39" s="231">
        <v>8741</v>
      </c>
      <c r="EM39" s="231">
        <v>1397852.42</v>
      </c>
      <c r="EN39" s="231">
        <v>462250.03</v>
      </c>
      <c r="EO39" s="231">
        <v>935602.39</v>
      </c>
      <c r="EP39" s="229">
        <v>2.024</v>
      </c>
      <c r="EQ39" s="231">
        <v>77246</v>
      </c>
      <c r="ER39" s="231">
        <v>51828</v>
      </c>
      <c r="ES39" s="231">
        <v>143503</v>
      </c>
      <c r="ET39" s="231">
        <v>44735132</v>
      </c>
      <c r="EU39" s="231">
        <v>272577</v>
      </c>
      <c r="EV39" s="231">
        <v>238008</v>
      </c>
      <c r="EW39" s="231">
        <v>34569</v>
      </c>
      <c r="EX39" s="229">
        <v>0.1452</v>
      </c>
      <c r="EY39" s="229">
        <v>0.32200000000000001</v>
      </c>
    </row>
    <row r="40" spans="1:155" ht="17.25" thickBot="1" x14ac:dyDescent="0.3">
      <c r="A40" s="226">
        <v>45957</v>
      </c>
      <c r="B40" s="227" t="s">
        <v>172</v>
      </c>
      <c r="C40" s="227" t="s">
        <v>283</v>
      </c>
      <c r="D40" s="228">
        <v>921.5</v>
      </c>
      <c r="E40" s="228">
        <v>904</v>
      </c>
      <c r="F40" s="228">
        <v>17.5</v>
      </c>
      <c r="G40" s="229">
        <v>1.9400000000000001E-2</v>
      </c>
      <c r="H40" s="228">
        <v>922.75</v>
      </c>
      <c r="I40" s="228">
        <v>904.5</v>
      </c>
      <c r="J40" s="228">
        <v>18.25</v>
      </c>
      <c r="K40" s="229">
        <v>2.0199999999999999E-2</v>
      </c>
      <c r="L40" s="228">
        <v>921.5</v>
      </c>
      <c r="M40" s="228">
        <v>904</v>
      </c>
      <c r="N40" s="228">
        <v>17.5</v>
      </c>
      <c r="O40" s="229">
        <v>1.9400000000000001E-2</v>
      </c>
      <c r="P40" s="228">
        <v>929.2</v>
      </c>
      <c r="Q40" s="228">
        <v>909.35</v>
      </c>
      <c r="R40" s="228">
        <v>19.850000000000001</v>
      </c>
      <c r="S40" s="229">
        <v>2.18E-2</v>
      </c>
      <c r="T40" s="228">
        <v>935.65</v>
      </c>
      <c r="U40" s="228">
        <v>914.9</v>
      </c>
      <c r="V40" s="228">
        <v>20.75</v>
      </c>
      <c r="W40" s="229">
        <v>2.2700000000000001E-2</v>
      </c>
      <c r="X40" s="228">
        <v>-1.25</v>
      </c>
      <c r="Y40" s="228">
        <v>-0.5</v>
      </c>
      <c r="Z40" s="228">
        <v>-0.75</v>
      </c>
      <c r="AA40" s="229">
        <v>-1.4E-3</v>
      </c>
      <c r="AB40" s="228">
        <v>-1.25</v>
      </c>
      <c r="AC40" s="228">
        <v>-0.5</v>
      </c>
      <c r="AD40" s="228">
        <v>-0.75</v>
      </c>
      <c r="AE40" s="229">
        <v>-1.4E-3</v>
      </c>
      <c r="AF40" s="228">
        <v>6.45</v>
      </c>
      <c r="AG40" s="228">
        <v>4.8499999999999996</v>
      </c>
      <c r="AH40" s="228">
        <v>1.6</v>
      </c>
      <c r="AI40" s="229">
        <v>7.0000000000000001E-3</v>
      </c>
      <c r="AJ40" s="228">
        <v>12.9</v>
      </c>
      <c r="AK40" s="228">
        <v>10.4</v>
      </c>
      <c r="AL40" s="228">
        <v>2.5</v>
      </c>
      <c r="AM40" s="229">
        <v>1.4E-2</v>
      </c>
      <c r="AN40" s="228">
        <v>916.57</v>
      </c>
      <c r="AO40" s="228">
        <v>922.87</v>
      </c>
      <c r="AP40" s="228">
        <v>0</v>
      </c>
      <c r="AQ40" s="230">
        <v>77774</v>
      </c>
      <c r="AR40" s="230">
        <v>84722</v>
      </c>
      <c r="AS40" s="230">
        <v>-6948</v>
      </c>
      <c r="AT40" s="229">
        <v>-8.2000000000000003E-2</v>
      </c>
      <c r="AU40" s="230">
        <v>37381</v>
      </c>
      <c r="AV40" s="230">
        <v>43540</v>
      </c>
      <c r="AW40" s="230">
        <v>-6159</v>
      </c>
      <c r="AX40" s="229">
        <v>-0.14149999999999999</v>
      </c>
      <c r="AY40" s="230">
        <v>39657</v>
      </c>
      <c r="AZ40" s="230">
        <v>40886</v>
      </c>
      <c r="BA40" s="230">
        <v>-1229</v>
      </c>
      <c r="BB40" s="229">
        <v>-3.0099999999999998E-2</v>
      </c>
      <c r="BC40" s="228">
        <v>736</v>
      </c>
      <c r="BD40" s="228">
        <v>296</v>
      </c>
      <c r="BE40" s="228">
        <v>440</v>
      </c>
      <c r="BF40" s="229">
        <v>1.4864999999999999</v>
      </c>
      <c r="BG40" s="230">
        <v>191001</v>
      </c>
      <c r="BH40" s="230">
        <v>113881</v>
      </c>
      <c r="BI40" s="230">
        <v>77120</v>
      </c>
      <c r="BJ40" s="229">
        <v>0.67720000000000002</v>
      </c>
      <c r="BK40" s="230">
        <v>91926</v>
      </c>
      <c r="BL40" s="230">
        <v>82585</v>
      </c>
      <c r="BM40" s="230">
        <v>9341</v>
      </c>
      <c r="BN40" s="229">
        <v>0.11310000000000001</v>
      </c>
      <c r="BO40" s="230">
        <v>360701</v>
      </c>
      <c r="BP40" s="230">
        <v>281188</v>
      </c>
      <c r="BQ40" s="230">
        <v>79513</v>
      </c>
      <c r="BR40" s="229">
        <v>0.2828</v>
      </c>
      <c r="BS40" s="230">
        <v>9543010</v>
      </c>
      <c r="BT40" s="230">
        <v>5489658</v>
      </c>
      <c r="BU40" s="230">
        <v>4053352</v>
      </c>
      <c r="BV40" s="229">
        <v>0.73839999999999995</v>
      </c>
      <c r="BW40" s="230">
        <v>92676750</v>
      </c>
      <c r="BX40" s="230">
        <v>91217250</v>
      </c>
      <c r="BY40" s="230">
        <v>1459500</v>
      </c>
      <c r="BZ40" s="229">
        <v>1.6E-2</v>
      </c>
      <c r="CA40" s="230">
        <v>20087250</v>
      </c>
      <c r="CB40" s="230">
        <v>37202250</v>
      </c>
      <c r="CC40" s="230">
        <v>-17115000</v>
      </c>
      <c r="CD40" s="229">
        <v>-0.46010000000000001</v>
      </c>
      <c r="CE40" s="230">
        <v>71608500</v>
      </c>
      <c r="CF40" s="230">
        <v>53189250</v>
      </c>
      <c r="CG40" s="230">
        <v>18419250</v>
      </c>
      <c r="CH40" s="229">
        <v>0.3463</v>
      </c>
      <c r="CI40" s="230">
        <v>981000</v>
      </c>
      <c r="CJ40" s="230">
        <v>825750</v>
      </c>
      <c r="CK40" s="230">
        <v>155250</v>
      </c>
      <c r="CL40" s="229">
        <v>0.188</v>
      </c>
      <c r="CM40" s="230">
        <v>52255500</v>
      </c>
      <c r="CN40" s="230">
        <v>54118500</v>
      </c>
      <c r="CO40" s="230">
        <v>-1863000</v>
      </c>
      <c r="CP40" s="229">
        <v>-3.44E-2</v>
      </c>
      <c r="CQ40" s="230">
        <v>45009750</v>
      </c>
      <c r="CR40" s="230">
        <v>42260250</v>
      </c>
      <c r="CS40" s="230">
        <v>2749500</v>
      </c>
      <c r="CT40" s="229">
        <v>6.5100000000000005E-2</v>
      </c>
      <c r="CU40" s="230">
        <v>189942000</v>
      </c>
      <c r="CV40" s="230">
        <v>187596000</v>
      </c>
      <c r="CW40" s="230">
        <v>2346000</v>
      </c>
      <c r="CX40" s="229">
        <v>1.2500000000000001E-2</v>
      </c>
      <c r="CY40" s="228">
        <v>23.18</v>
      </c>
      <c r="CZ40" s="228">
        <v>21.58</v>
      </c>
      <c r="DA40" s="228">
        <v>1.6</v>
      </c>
      <c r="DB40" s="228">
        <v>1.6</v>
      </c>
      <c r="DC40" s="228">
        <v>26.14</v>
      </c>
      <c r="DD40" s="228">
        <v>26.08</v>
      </c>
      <c r="DE40" s="228">
        <v>-2.96</v>
      </c>
      <c r="DF40" s="228">
        <v>0.06</v>
      </c>
      <c r="DG40" s="228">
        <v>23.32</v>
      </c>
      <c r="DH40" s="228">
        <v>21.8</v>
      </c>
      <c r="DI40" s="228">
        <v>1.52</v>
      </c>
      <c r="DJ40" s="228">
        <v>1.52</v>
      </c>
      <c r="DK40" s="228">
        <v>22.92</v>
      </c>
      <c r="DL40" s="228">
        <v>21.26</v>
      </c>
      <c r="DM40" s="228">
        <v>1.66</v>
      </c>
      <c r="DN40" s="228">
        <v>1.66</v>
      </c>
      <c r="DO40" s="228">
        <v>0.86</v>
      </c>
      <c r="DP40" s="228">
        <v>0.78</v>
      </c>
      <c r="DQ40" s="228">
        <v>0.08</v>
      </c>
      <c r="DR40" s="229">
        <v>0.1026</v>
      </c>
      <c r="DS40" s="228">
        <v>880</v>
      </c>
      <c r="DT40" s="228">
        <v>890</v>
      </c>
      <c r="DU40" s="228">
        <v>0.48</v>
      </c>
      <c r="DV40" s="228">
        <v>0.73</v>
      </c>
      <c r="DW40" s="228">
        <v>-0.25</v>
      </c>
      <c r="DX40" s="229">
        <v>-0.34250000000000003</v>
      </c>
      <c r="DY40" s="229">
        <v>0.7833</v>
      </c>
      <c r="DZ40" s="230">
        <v>54015000</v>
      </c>
      <c r="EA40" s="229">
        <v>8.3999999999999995E-3</v>
      </c>
      <c r="EB40" s="229">
        <v>0.7833</v>
      </c>
      <c r="EC40" s="228">
        <v>6.3</v>
      </c>
      <c r="ED40" s="229">
        <v>6.8999999999999999E-3</v>
      </c>
      <c r="EE40" s="230">
        <v>5675739</v>
      </c>
      <c r="EF40" s="230">
        <v>2203374</v>
      </c>
      <c r="EG40" s="229">
        <v>1.5759000000000001</v>
      </c>
      <c r="EH40" s="229">
        <v>0.5948</v>
      </c>
      <c r="EI40" s="231">
        <v>1338600.95</v>
      </c>
      <c r="EJ40" s="231">
        <v>624565.78</v>
      </c>
      <c r="EK40" s="231">
        <v>536586.11</v>
      </c>
      <c r="EL40" s="231">
        <v>51242</v>
      </c>
      <c r="EM40" s="231">
        <v>2499752.84</v>
      </c>
      <c r="EN40" s="231">
        <v>1924124.22</v>
      </c>
      <c r="EO40" s="231">
        <v>575628.62</v>
      </c>
      <c r="EP40" s="229">
        <v>0.29920000000000002</v>
      </c>
      <c r="EQ40" s="231">
        <v>477402</v>
      </c>
      <c r="ER40" s="231">
        <v>393198</v>
      </c>
      <c r="ES40" s="231">
        <v>859669</v>
      </c>
      <c r="ET40" s="231">
        <v>407307212</v>
      </c>
      <c r="EU40" s="231">
        <v>1730269</v>
      </c>
      <c r="EV40" s="231">
        <v>1687625</v>
      </c>
      <c r="EW40" s="231">
        <v>42644</v>
      </c>
      <c r="EX40" s="229">
        <v>2.53E-2</v>
      </c>
      <c r="EY40" s="229">
        <v>0.46629999999999999</v>
      </c>
    </row>
    <row r="41" spans="1:155" ht="17.25" thickBot="1" x14ac:dyDescent="0.3">
      <c r="A41" s="226">
        <v>45957</v>
      </c>
      <c r="B41" s="227" t="s">
        <v>175</v>
      </c>
      <c r="C41" s="227" t="s">
        <v>562</v>
      </c>
      <c r="D41" s="228">
        <v>719.95</v>
      </c>
      <c r="E41" s="228">
        <v>715.55</v>
      </c>
      <c r="F41" s="228">
        <v>4.4000000000000004</v>
      </c>
      <c r="G41" s="229">
        <v>6.1000000000000004E-3</v>
      </c>
      <c r="H41" s="228">
        <v>719.6</v>
      </c>
      <c r="I41" s="228">
        <v>715.45</v>
      </c>
      <c r="J41" s="228">
        <v>4.1500000000000004</v>
      </c>
      <c r="K41" s="229">
        <v>5.7999999999999996E-3</v>
      </c>
      <c r="L41" s="228">
        <v>719.95</v>
      </c>
      <c r="M41" s="228">
        <v>715.55</v>
      </c>
      <c r="N41" s="228">
        <v>4.4000000000000004</v>
      </c>
      <c r="O41" s="229">
        <v>6.1000000000000004E-3</v>
      </c>
      <c r="P41" s="228">
        <v>719.65</v>
      </c>
      <c r="Q41" s="228">
        <v>715.45</v>
      </c>
      <c r="R41" s="228">
        <v>4.2</v>
      </c>
      <c r="S41" s="229">
        <v>5.8999999999999999E-3</v>
      </c>
      <c r="T41" s="228">
        <v>724.3</v>
      </c>
      <c r="U41" s="228">
        <v>720.55</v>
      </c>
      <c r="V41" s="228">
        <v>3.75</v>
      </c>
      <c r="W41" s="229">
        <v>5.1999999999999998E-3</v>
      </c>
      <c r="X41" s="228">
        <v>0.35</v>
      </c>
      <c r="Y41" s="228">
        <v>0.1</v>
      </c>
      <c r="Z41" s="228">
        <v>0.25</v>
      </c>
      <c r="AA41" s="229">
        <v>5.0000000000000001E-4</v>
      </c>
      <c r="AB41" s="228">
        <v>0.35</v>
      </c>
      <c r="AC41" s="228">
        <v>0.1</v>
      </c>
      <c r="AD41" s="228">
        <v>0.25</v>
      </c>
      <c r="AE41" s="229">
        <v>5.0000000000000001E-4</v>
      </c>
      <c r="AF41" s="228">
        <v>0.05</v>
      </c>
      <c r="AG41" s="228">
        <v>0</v>
      </c>
      <c r="AH41" s="228">
        <v>0.05</v>
      </c>
      <c r="AI41" s="229">
        <v>1E-4</v>
      </c>
      <c r="AJ41" s="228">
        <v>4.7</v>
      </c>
      <c r="AK41" s="228">
        <v>5.0999999999999996</v>
      </c>
      <c r="AL41" s="228">
        <v>-0.4</v>
      </c>
      <c r="AM41" s="229">
        <v>6.4999999999999997E-3</v>
      </c>
      <c r="AN41" s="228">
        <v>723.69</v>
      </c>
      <c r="AO41" s="228">
        <v>723.64</v>
      </c>
      <c r="AP41" s="228">
        <v>0</v>
      </c>
      <c r="AQ41" s="230">
        <v>40159</v>
      </c>
      <c r="AR41" s="230">
        <v>39544</v>
      </c>
      <c r="AS41" s="228">
        <v>615</v>
      </c>
      <c r="AT41" s="229">
        <v>1.5599999999999999E-2</v>
      </c>
      <c r="AU41" s="230">
        <v>18081</v>
      </c>
      <c r="AV41" s="230">
        <v>18987</v>
      </c>
      <c r="AW41" s="228">
        <v>-906</v>
      </c>
      <c r="AX41" s="229">
        <v>-4.7699999999999999E-2</v>
      </c>
      <c r="AY41" s="230">
        <v>21919</v>
      </c>
      <c r="AZ41" s="230">
        <v>20455</v>
      </c>
      <c r="BA41" s="230">
        <v>1464</v>
      </c>
      <c r="BB41" s="229">
        <v>7.1599999999999997E-2</v>
      </c>
      <c r="BC41" s="228">
        <v>159</v>
      </c>
      <c r="BD41" s="228">
        <v>102</v>
      </c>
      <c r="BE41" s="228">
        <v>57</v>
      </c>
      <c r="BF41" s="229">
        <v>0.55879999999999996</v>
      </c>
      <c r="BG41" s="230">
        <v>28422</v>
      </c>
      <c r="BH41" s="230">
        <v>44089</v>
      </c>
      <c r="BI41" s="230">
        <v>-15667</v>
      </c>
      <c r="BJ41" s="229">
        <v>-0.3553</v>
      </c>
      <c r="BK41" s="230">
        <v>17325</v>
      </c>
      <c r="BL41" s="230">
        <v>19702</v>
      </c>
      <c r="BM41" s="230">
        <v>-2377</v>
      </c>
      <c r="BN41" s="229">
        <v>-0.1206</v>
      </c>
      <c r="BO41" s="230">
        <v>85906</v>
      </c>
      <c r="BP41" s="230">
        <v>103335</v>
      </c>
      <c r="BQ41" s="230">
        <v>-17429</v>
      </c>
      <c r="BR41" s="229">
        <v>-0.16869999999999999</v>
      </c>
      <c r="BS41" s="230">
        <v>8469856</v>
      </c>
      <c r="BT41" s="230">
        <v>6256425</v>
      </c>
      <c r="BU41" s="230">
        <v>2213431</v>
      </c>
      <c r="BV41" s="229">
        <v>0.3538</v>
      </c>
      <c r="BW41" s="230">
        <v>53040075</v>
      </c>
      <c r="BX41" s="230">
        <v>53030175</v>
      </c>
      <c r="BY41" s="230">
        <v>9900</v>
      </c>
      <c r="BZ41" s="229">
        <v>2.0000000000000001E-4</v>
      </c>
      <c r="CA41" s="230">
        <v>12676950</v>
      </c>
      <c r="CB41" s="230">
        <v>24782175</v>
      </c>
      <c r="CC41" s="230">
        <v>-12105225</v>
      </c>
      <c r="CD41" s="229">
        <v>-0.48849999999999999</v>
      </c>
      <c r="CE41" s="230">
        <v>40066125</v>
      </c>
      <c r="CF41" s="230">
        <v>27987300</v>
      </c>
      <c r="CG41" s="230">
        <v>12078825</v>
      </c>
      <c r="CH41" s="229">
        <v>0.43159999999999998</v>
      </c>
      <c r="CI41" s="230">
        <v>297000</v>
      </c>
      <c r="CJ41" s="230">
        <v>260700</v>
      </c>
      <c r="CK41" s="230">
        <v>36300</v>
      </c>
      <c r="CL41" s="229">
        <v>0.13919999999999999</v>
      </c>
      <c r="CM41" s="230">
        <v>8943825</v>
      </c>
      <c r="CN41" s="230">
        <v>8762325</v>
      </c>
      <c r="CO41" s="230">
        <v>181500</v>
      </c>
      <c r="CP41" s="229">
        <v>2.07E-2</v>
      </c>
      <c r="CQ41" s="230">
        <v>9253200</v>
      </c>
      <c r="CR41" s="230">
        <v>9034575</v>
      </c>
      <c r="CS41" s="230">
        <v>218625</v>
      </c>
      <c r="CT41" s="229">
        <v>2.4199999999999999E-2</v>
      </c>
      <c r="CU41" s="230">
        <v>71237100</v>
      </c>
      <c r="CV41" s="230">
        <v>70827075</v>
      </c>
      <c r="CW41" s="230">
        <v>410025</v>
      </c>
      <c r="CX41" s="229">
        <v>5.7999999999999996E-3</v>
      </c>
      <c r="CY41" s="228">
        <v>38.26</v>
      </c>
      <c r="CZ41" s="228">
        <v>35.31</v>
      </c>
      <c r="DA41" s="228">
        <v>2.95</v>
      </c>
      <c r="DB41" s="228">
        <v>2.95</v>
      </c>
      <c r="DC41" s="228">
        <v>40.31</v>
      </c>
      <c r="DD41" s="228">
        <v>40.4</v>
      </c>
      <c r="DE41" s="228">
        <v>-2.0499999999999998</v>
      </c>
      <c r="DF41" s="228">
        <v>-0.09</v>
      </c>
      <c r="DG41" s="228">
        <v>38.36</v>
      </c>
      <c r="DH41" s="228">
        <v>35.47</v>
      </c>
      <c r="DI41" s="228">
        <v>2.89</v>
      </c>
      <c r="DJ41" s="228">
        <v>2.89</v>
      </c>
      <c r="DK41" s="228">
        <v>38.1</v>
      </c>
      <c r="DL41" s="228">
        <v>35.090000000000003</v>
      </c>
      <c r="DM41" s="228">
        <v>3.01</v>
      </c>
      <c r="DN41" s="228">
        <v>3.01</v>
      </c>
      <c r="DO41" s="228">
        <v>1.03</v>
      </c>
      <c r="DP41" s="228">
        <v>1.03</v>
      </c>
      <c r="DQ41" s="228">
        <v>0</v>
      </c>
      <c r="DR41" s="229">
        <v>0</v>
      </c>
      <c r="DS41" s="228">
        <v>740</v>
      </c>
      <c r="DT41" s="228">
        <v>660</v>
      </c>
      <c r="DU41" s="228">
        <v>0.61</v>
      </c>
      <c r="DV41" s="228">
        <v>0.45</v>
      </c>
      <c r="DW41" s="228">
        <v>0.16</v>
      </c>
      <c r="DX41" s="229">
        <v>0.35560000000000003</v>
      </c>
      <c r="DY41" s="229">
        <v>0.76100000000000001</v>
      </c>
      <c r="DZ41" s="230">
        <v>28248000</v>
      </c>
      <c r="EA41" s="229">
        <v>-4.0000000000000002E-4</v>
      </c>
      <c r="EB41" s="229">
        <v>0.76100000000000001</v>
      </c>
      <c r="EC41" s="228">
        <v>-0.05</v>
      </c>
      <c r="ED41" s="229">
        <v>-1E-4</v>
      </c>
      <c r="EE41" s="230">
        <v>5177353</v>
      </c>
      <c r="EF41" s="230">
        <v>3324532</v>
      </c>
      <c r="EG41" s="229">
        <v>0.55730000000000002</v>
      </c>
      <c r="EH41" s="229">
        <v>0.61129999999999995</v>
      </c>
      <c r="EI41" s="231">
        <v>174802.23</v>
      </c>
      <c r="EJ41" s="231">
        <v>100934.29</v>
      </c>
      <c r="EK41" s="231">
        <v>239764.1</v>
      </c>
      <c r="EL41" s="231">
        <v>22770</v>
      </c>
      <c r="EM41" s="231">
        <v>515500.62</v>
      </c>
      <c r="EN41" s="231">
        <v>615940.31999999995</v>
      </c>
      <c r="EO41" s="231">
        <v>-100439.7</v>
      </c>
      <c r="EP41" s="229">
        <v>-0.16309999999999999</v>
      </c>
      <c r="EQ41" s="231">
        <v>64276</v>
      </c>
      <c r="ER41" s="231">
        <v>61064</v>
      </c>
      <c r="ES41" s="231">
        <v>381755</v>
      </c>
      <c r="ET41" s="231">
        <v>210459276</v>
      </c>
      <c r="EU41" s="231">
        <v>507094</v>
      </c>
      <c r="EV41" s="231">
        <v>501087</v>
      </c>
      <c r="EW41" s="231">
        <v>6007</v>
      </c>
      <c r="EX41" s="229">
        <v>1.2E-2</v>
      </c>
      <c r="EY41" s="229">
        <v>0.33850000000000002</v>
      </c>
    </row>
    <row r="42" spans="1:155" ht="17.25" thickBot="1" x14ac:dyDescent="0.3">
      <c r="A42" s="226">
        <v>45957</v>
      </c>
      <c r="B42" s="227" t="s">
        <v>170</v>
      </c>
      <c r="C42" s="227" t="s">
        <v>288</v>
      </c>
      <c r="D42" s="231">
        <v>1695.5</v>
      </c>
      <c r="E42" s="231">
        <v>1697.6</v>
      </c>
      <c r="F42" s="228">
        <v>-2.1</v>
      </c>
      <c r="G42" s="229">
        <v>-1.1999999999999999E-3</v>
      </c>
      <c r="H42" s="231">
        <v>1693.6</v>
      </c>
      <c r="I42" s="231">
        <v>1699</v>
      </c>
      <c r="J42" s="228">
        <v>-5.4</v>
      </c>
      <c r="K42" s="229">
        <v>-3.2000000000000002E-3</v>
      </c>
      <c r="L42" s="231">
        <v>1695.5</v>
      </c>
      <c r="M42" s="231">
        <v>1697.6</v>
      </c>
      <c r="N42" s="228">
        <v>-2.1</v>
      </c>
      <c r="O42" s="229">
        <v>-1.1999999999999999E-3</v>
      </c>
      <c r="P42" s="231">
        <v>1704.8</v>
      </c>
      <c r="Q42" s="231">
        <v>1706.9</v>
      </c>
      <c r="R42" s="228">
        <v>-2.1</v>
      </c>
      <c r="S42" s="229">
        <v>-1.1999999999999999E-3</v>
      </c>
      <c r="T42" s="231">
        <v>1715.8</v>
      </c>
      <c r="U42" s="231">
        <v>1716.8</v>
      </c>
      <c r="V42" s="228">
        <v>-1</v>
      </c>
      <c r="W42" s="229">
        <v>-5.9999999999999995E-4</v>
      </c>
      <c r="X42" s="228">
        <v>1.9</v>
      </c>
      <c r="Y42" s="228">
        <v>-1.4</v>
      </c>
      <c r="Z42" s="228">
        <v>3.3</v>
      </c>
      <c r="AA42" s="229">
        <v>1.1000000000000001E-3</v>
      </c>
      <c r="AB42" s="228">
        <v>1.9</v>
      </c>
      <c r="AC42" s="228">
        <v>-1.4</v>
      </c>
      <c r="AD42" s="228">
        <v>3.3</v>
      </c>
      <c r="AE42" s="229">
        <v>1.1000000000000001E-3</v>
      </c>
      <c r="AF42" s="228">
        <v>11.2</v>
      </c>
      <c r="AG42" s="228">
        <v>7.9</v>
      </c>
      <c r="AH42" s="228">
        <v>3.3</v>
      </c>
      <c r="AI42" s="229">
        <v>6.6E-3</v>
      </c>
      <c r="AJ42" s="228">
        <v>22.2</v>
      </c>
      <c r="AK42" s="228">
        <v>17.8</v>
      </c>
      <c r="AL42" s="228">
        <v>4.4000000000000004</v>
      </c>
      <c r="AM42" s="229">
        <v>1.3100000000000001E-2</v>
      </c>
      <c r="AN42" s="231">
        <v>1694.89</v>
      </c>
      <c r="AO42" s="231">
        <v>1704.5</v>
      </c>
      <c r="AP42" s="228">
        <v>0</v>
      </c>
      <c r="AQ42" s="230">
        <v>31106</v>
      </c>
      <c r="AR42" s="230">
        <v>29861</v>
      </c>
      <c r="AS42" s="230">
        <v>1245</v>
      </c>
      <c r="AT42" s="229">
        <v>4.1700000000000001E-2</v>
      </c>
      <c r="AU42" s="230">
        <v>14999</v>
      </c>
      <c r="AV42" s="230">
        <v>14962</v>
      </c>
      <c r="AW42" s="228">
        <v>37</v>
      </c>
      <c r="AX42" s="229">
        <v>2.5000000000000001E-3</v>
      </c>
      <c r="AY42" s="230">
        <v>16056</v>
      </c>
      <c r="AZ42" s="230">
        <v>14883</v>
      </c>
      <c r="BA42" s="230">
        <v>1173</v>
      </c>
      <c r="BB42" s="229">
        <v>7.8799999999999995E-2</v>
      </c>
      <c r="BC42" s="228">
        <v>51</v>
      </c>
      <c r="BD42" s="228">
        <v>16</v>
      </c>
      <c r="BE42" s="228">
        <v>35</v>
      </c>
      <c r="BF42" s="229">
        <v>2.1875</v>
      </c>
      <c r="BG42" s="230">
        <v>20289</v>
      </c>
      <c r="BH42" s="230">
        <v>17558</v>
      </c>
      <c r="BI42" s="230">
        <v>2731</v>
      </c>
      <c r="BJ42" s="229">
        <v>0.1555</v>
      </c>
      <c r="BK42" s="230">
        <v>12270</v>
      </c>
      <c r="BL42" s="230">
        <v>13026</v>
      </c>
      <c r="BM42" s="228">
        <v>-756</v>
      </c>
      <c r="BN42" s="229">
        <v>-5.8000000000000003E-2</v>
      </c>
      <c r="BO42" s="230">
        <v>63665</v>
      </c>
      <c r="BP42" s="230">
        <v>60445</v>
      </c>
      <c r="BQ42" s="230">
        <v>3220</v>
      </c>
      <c r="BR42" s="229">
        <v>5.33E-2</v>
      </c>
      <c r="BS42" s="230">
        <v>2253999</v>
      </c>
      <c r="BT42" s="230">
        <v>1010702</v>
      </c>
      <c r="BU42" s="230">
        <v>1243297</v>
      </c>
      <c r="BV42" s="229">
        <v>1.2301</v>
      </c>
      <c r="BW42" s="230">
        <v>17649450</v>
      </c>
      <c r="BX42" s="230">
        <v>17354750</v>
      </c>
      <c r="BY42" s="230">
        <v>294700</v>
      </c>
      <c r="BZ42" s="229">
        <v>1.7000000000000001E-2</v>
      </c>
      <c r="CA42" s="230">
        <v>2451050</v>
      </c>
      <c r="CB42" s="230">
        <v>6907600</v>
      </c>
      <c r="CC42" s="230">
        <v>-4456550</v>
      </c>
      <c r="CD42" s="229">
        <v>-0.6452</v>
      </c>
      <c r="CE42" s="230">
        <v>15140300</v>
      </c>
      <c r="CF42" s="230">
        <v>10394650</v>
      </c>
      <c r="CG42" s="230">
        <v>4745650</v>
      </c>
      <c r="CH42" s="229">
        <v>0.45650000000000002</v>
      </c>
      <c r="CI42" s="230">
        <v>58100</v>
      </c>
      <c r="CJ42" s="230">
        <v>52500</v>
      </c>
      <c r="CK42" s="230">
        <v>5600</v>
      </c>
      <c r="CL42" s="229">
        <v>0.1067</v>
      </c>
      <c r="CM42" s="230">
        <v>4525850</v>
      </c>
      <c r="CN42" s="230">
        <v>5233200</v>
      </c>
      <c r="CO42" s="230">
        <v>-707350</v>
      </c>
      <c r="CP42" s="229">
        <v>-0.13519999999999999</v>
      </c>
      <c r="CQ42" s="230">
        <v>3729250</v>
      </c>
      <c r="CR42" s="230">
        <v>4405800</v>
      </c>
      <c r="CS42" s="230">
        <v>-676550</v>
      </c>
      <c r="CT42" s="229">
        <v>-0.15359999999999999</v>
      </c>
      <c r="CU42" s="230">
        <v>25904550</v>
      </c>
      <c r="CV42" s="230">
        <v>26993750</v>
      </c>
      <c r="CW42" s="230">
        <v>-1089200</v>
      </c>
      <c r="CX42" s="229">
        <v>-4.0399999999999998E-2</v>
      </c>
      <c r="CY42" s="228">
        <v>21.87</v>
      </c>
      <c r="CZ42" s="228">
        <v>21.98</v>
      </c>
      <c r="DA42" s="228">
        <v>-0.11</v>
      </c>
      <c r="DB42" s="228">
        <v>-0.11</v>
      </c>
      <c r="DC42" s="228">
        <v>23.65</v>
      </c>
      <c r="DD42" s="228">
        <v>23.71</v>
      </c>
      <c r="DE42" s="228">
        <v>-1.78</v>
      </c>
      <c r="DF42" s="228">
        <v>-0.06</v>
      </c>
      <c r="DG42" s="228">
        <v>22.03</v>
      </c>
      <c r="DH42" s="228">
        <v>21.96</v>
      </c>
      <c r="DI42" s="228">
        <v>7.0000000000000007E-2</v>
      </c>
      <c r="DJ42" s="228">
        <v>7.0000000000000007E-2</v>
      </c>
      <c r="DK42" s="228">
        <v>21.58</v>
      </c>
      <c r="DL42" s="228">
        <v>22.03</v>
      </c>
      <c r="DM42" s="228">
        <v>-0.45</v>
      </c>
      <c r="DN42" s="228">
        <v>-0.45</v>
      </c>
      <c r="DO42" s="228">
        <v>0.82</v>
      </c>
      <c r="DP42" s="228">
        <v>0.84</v>
      </c>
      <c r="DQ42" s="228">
        <v>-0.02</v>
      </c>
      <c r="DR42" s="229">
        <v>-2.3800000000000002E-2</v>
      </c>
      <c r="DS42" s="231">
        <v>1700</v>
      </c>
      <c r="DT42" s="231">
        <v>1500</v>
      </c>
      <c r="DU42" s="228">
        <v>0.6</v>
      </c>
      <c r="DV42" s="228">
        <v>0.74</v>
      </c>
      <c r="DW42" s="228">
        <v>-0.14000000000000001</v>
      </c>
      <c r="DX42" s="229">
        <v>-0.18920000000000001</v>
      </c>
      <c r="DY42" s="229">
        <v>0.86109999999999998</v>
      </c>
      <c r="DZ42" s="230">
        <v>10447150</v>
      </c>
      <c r="EA42" s="229">
        <v>5.4999999999999997E-3</v>
      </c>
      <c r="EB42" s="229">
        <v>0.86109999999999998</v>
      </c>
      <c r="EC42" s="228">
        <v>9.61</v>
      </c>
      <c r="ED42" s="229">
        <v>5.7000000000000002E-3</v>
      </c>
      <c r="EE42" s="230">
        <v>1551127</v>
      </c>
      <c r="EF42" s="230">
        <v>614098</v>
      </c>
      <c r="EG42" s="229">
        <v>1.5259</v>
      </c>
      <c r="EH42" s="229">
        <v>0.68820000000000003</v>
      </c>
      <c r="EI42" s="231">
        <v>122609.08</v>
      </c>
      <c r="EJ42" s="231">
        <v>71568.3</v>
      </c>
      <c r="EK42" s="231">
        <v>185068.28</v>
      </c>
      <c r="EL42" s="231">
        <v>16458</v>
      </c>
      <c r="EM42" s="231">
        <v>379245.66</v>
      </c>
      <c r="EN42" s="231">
        <v>358923.11</v>
      </c>
      <c r="EO42" s="231">
        <v>20322.55</v>
      </c>
      <c r="EP42" s="229">
        <v>5.6599999999999998E-2</v>
      </c>
      <c r="EQ42" s="231">
        <v>77857</v>
      </c>
      <c r="ER42" s="231">
        <v>59562</v>
      </c>
      <c r="ES42" s="231">
        <v>300666</v>
      </c>
      <c r="ET42" s="231">
        <v>109220043</v>
      </c>
      <c r="EU42" s="231">
        <v>438085</v>
      </c>
      <c r="EV42" s="231">
        <v>455764</v>
      </c>
      <c r="EW42" s="231">
        <v>-17679</v>
      </c>
      <c r="EX42" s="229">
        <v>-3.8800000000000001E-2</v>
      </c>
      <c r="EY42" s="229">
        <v>0.23719999999999999</v>
      </c>
    </row>
    <row r="43" spans="1:155" ht="17.25" thickBot="1" x14ac:dyDescent="0.3">
      <c r="A43" s="226">
        <v>45957</v>
      </c>
      <c r="B43" s="227" t="s">
        <v>168</v>
      </c>
      <c r="C43" s="227" t="s">
        <v>291</v>
      </c>
      <c r="D43" s="231">
        <v>1169.9000000000001</v>
      </c>
      <c r="E43" s="231">
        <v>1153.9000000000001</v>
      </c>
      <c r="F43" s="228">
        <v>16</v>
      </c>
      <c r="G43" s="229">
        <v>1.3899999999999999E-2</v>
      </c>
      <c r="H43" s="231">
        <v>1169.9000000000001</v>
      </c>
      <c r="I43" s="231">
        <v>1155.3</v>
      </c>
      <c r="J43" s="228">
        <v>14.6</v>
      </c>
      <c r="K43" s="229">
        <v>1.26E-2</v>
      </c>
      <c r="L43" s="231">
        <v>1169.9000000000001</v>
      </c>
      <c r="M43" s="231">
        <v>1153.9000000000001</v>
      </c>
      <c r="N43" s="228">
        <v>16</v>
      </c>
      <c r="O43" s="229">
        <v>1.3899999999999999E-2</v>
      </c>
      <c r="P43" s="231">
        <v>1176.8</v>
      </c>
      <c r="Q43" s="231">
        <v>1160.3</v>
      </c>
      <c r="R43" s="228">
        <v>16.5</v>
      </c>
      <c r="S43" s="229">
        <v>1.4200000000000001E-2</v>
      </c>
      <c r="T43" s="231">
        <v>1184.7</v>
      </c>
      <c r="U43" s="231">
        <v>1167</v>
      </c>
      <c r="V43" s="228">
        <v>17.7</v>
      </c>
      <c r="W43" s="229">
        <v>1.52E-2</v>
      </c>
      <c r="X43" s="228">
        <v>0</v>
      </c>
      <c r="Y43" s="228">
        <v>-1.4</v>
      </c>
      <c r="Z43" s="228">
        <v>1.4</v>
      </c>
      <c r="AA43" s="229">
        <v>0</v>
      </c>
      <c r="AB43" s="228">
        <v>0</v>
      </c>
      <c r="AC43" s="228">
        <v>-1.4</v>
      </c>
      <c r="AD43" s="228">
        <v>1.4</v>
      </c>
      <c r="AE43" s="229">
        <v>0</v>
      </c>
      <c r="AF43" s="228">
        <v>6.9</v>
      </c>
      <c r="AG43" s="228">
        <v>5</v>
      </c>
      <c r="AH43" s="228">
        <v>1.9</v>
      </c>
      <c r="AI43" s="229">
        <v>5.8999999999999999E-3</v>
      </c>
      <c r="AJ43" s="228">
        <v>14.8</v>
      </c>
      <c r="AK43" s="228">
        <v>11.7</v>
      </c>
      <c r="AL43" s="228">
        <v>3.1</v>
      </c>
      <c r="AM43" s="229">
        <v>1.2699999999999999E-2</v>
      </c>
      <c r="AN43" s="231">
        <v>1170.71</v>
      </c>
      <c r="AO43" s="231">
        <v>1177.53</v>
      </c>
      <c r="AP43" s="228">
        <v>0</v>
      </c>
      <c r="AQ43" s="230">
        <v>23354</v>
      </c>
      <c r="AR43" s="230">
        <v>25071</v>
      </c>
      <c r="AS43" s="230">
        <v>-1717</v>
      </c>
      <c r="AT43" s="229">
        <v>-6.8500000000000005E-2</v>
      </c>
      <c r="AU43" s="230">
        <v>10241</v>
      </c>
      <c r="AV43" s="230">
        <v>12520</v>
      </c>
      <c r="AW43" s="230">
        <v>-2279</v>
      </c>
      <c r="AX43" s="229">
        <v>-0.182</v>
      </c>
      <c r="AY43" s="230">
        <v>13015</v>
      </c>
      <c r="AZ43" s="230">
        <v>12521</v>
      </c>
      <c r="BA43" s="228">
        <v>494</v>
      </c>
      <c r="BB43" s="229">
        <v>3.95E-2</v>
      </c>
      <c r="BC43" s="228">
        <v>98</v>
      </c>
      <c r="BD43" s="228">
        <v>30</v>
      </c>
      <c r="BE43" s="228">
        <v>68</v>
      </c>
      <c r="BF43" s="229">
        <v>2.2667000000000002</v>
      </c>
      <c r="BG43" s="230">
        <v>16800</v>
      </c>
      <c r="BH43" s="230">
        <v>10690</v>
      </c>
      <c r="BI43" s="230">
        <v>6110</v>
      </c>
      <c r="BJ43" s="229">
        <v>0.5716</v>
      </c>
      <c r="BK43" s="230">
        <v>5085</v>
      </c>
      <c r="BL43" s="230">
        <v>5548</v>
      </c>
      <c r="BM43" s="228">
        <v>-463</v>
      </c>
      <c r="BN43" s="229">
        <v>-8.3500000000000005E-2</v>
      </c>
      <c r="BO43" s="230">
        <v>45239</v>
      </c>
      <c r="BP43" s="230">
        <v>41309</v>
      </c>
      <c r="BQ43" s="230">
        <v>3930</v>
      </c>
      <c r="BR43" s="229">
        <v>9.5100000000000004E-2</v>
      </c>
      <c r="BS43" s="230">
        <v>1061712</v>
      </c>
      <c r="BT43" s="230">
        <v>1128172</v>
      </c>
      <c r="BU43" s="230">
        <v>-66460</v>
      </c>
      <c r="BV43" s="229">
        <v>-5.8900000000000001E-2</v>
      </c>
      <c r="BW43" s="230">
        <v>17844200</v>
      </c>
      <c r="BX43" s="230">
        <v>17066500</v>
      </c>
      <c r="BY43" s="230">
        <v>777700</v>
      </c>
      <c r="BZ43" s="229">
        <v>4.5600000000000002E-2</v>
      </c>
      <c r="CA43" s="230">
        <v>1515250</v>
      </c>
      <c r="CB43" s="230">
        <v>6197950</v>
      </c>
      <c r="CC43" s="230">
        <v>-4682700</v>
      </c>
      <c r="CD43" s="229">
        <v>-0.75549999999999995</v>
      </c>
      <c r="CE43" s="230">
        <v>16249750</v>
      </c>
      <c r="CF43" s="230">
        <v>10809700</v>
      </c>
      <c r="CG43" s="230">
        <v>5440050</v>
      </c>
      <c r="CH43" s="229">
        <v>0.50329999999999997</v>
      </c>
      <c r="CI43" s="230">
        <v>79200</v>
      </c>
      <c r="CJ43" s="230">
        <v>58850</v>
      </c>
      <c r="CK43" s="230">
        <v>20350</v>
      </c>
      <c r="CL43" s="229">
        <v>0.3458</v>
      </c>
      <c r="CM43" s="230">
        <v>3107500</v>
      </c>
      <c r="CN43" s="230">
        <v>3170750</v>
      </c>
      <c r="CO43" s="230">
        <v>-63250</v>
      </c>
      <c r="CP43" s="229">
        <v>-1.9900000000000001E-2</v>
      </c>
      <c r="CQ43" s="230">
        <v>1845250</v>
      </c>
      <c r="CR43" s="230">
        <v>1958000</v>
      </c>
      <c r="CS43" s="230">
        <v>-112750</v>
      </c>
      <c r="CT43" s="229">
        <v>-5.7599999999999998E-2</v>
      </c>
      <c r="CU43" s="230">
        <v>22796950</v>
      </c>
      <c r="CV43" s="230">
        <v>22195250</v>
      </c>
      <c r="CW43" s="230">
        <v>601700</v>
      </c>
      <c r="CX43" s="229">
        <v>2.7099999999999999E-2</v>
      </c>
      <c r="CY43" s="228">
        <v>24.24</v>
      </c>
      <c r="CZ43" s="228">
        <v>23.34</v>
      </c>
      <c r="DA43" s="228">
        <v>0.9</v>
      </c>
      <c r="DB43" s="228">
        <v>0.9</v>
      </c>
      <c r="DC43" s="228">
        <v>26.79</v>
      </c>
      <c r="DD43" s="228">
        <v>26.8</v>
      </c>
      <c r="DE43" s="228">
        <v>-2.5499999999999998</v>
      </c>
      <c r="DF43" s="228">
        <v>-0.01</v>
      </c>
      <c r="DG43" s="228">
        <v>24.03</v>
      </c>
      <c r="DH43" s="228">
        <v>22.95</v>
      </c>
      <c r="DI43" s="228">
        <v>1.08</v>
      </c>
      <c r="DJ43" s="228">
        <v>1.08</v>
      </c>
      <c r="DK43" s="228">
        <v>24.87</v>
      </c>
      <c r="DL43" s="228">
        <v>23.92</v>
      </c>
      <c r="DM43" s="228">
        <v>0.95</v>
      </c>
      <c r="DN43" s="228">
        <v>0.95</v>
      </c>
      <c r="DO43" s="228">
        <v>0.59</v>
      </c>
      <c r="DP43" s="228">
        <v>0.62</v>
      </c>
      <c r="DQ43" s="228">
        <v>-0.03</v>
      </c>
      <c r="DR43" s="229">
        <v>-4.8399999999999999E-2</v>
      </c>
      <c r="DS43" s="231">
        <v>1280</v>
      </c>
      <c r="DT43" s="231">
        <v>1100</v>
      </c>
      <c r="DU43" s="228">
        <v>0.3</v>
      </c>
      <c r="DV43" s="228">
        <v>0.52</v>
      </c>
      <c r="DW43" s="228">
        <v>-0.22</v>
      </c>
      <c r="DX43" s="229">
        <v>-0.42309999999999998</v>
      </c>
      <c r="DY43" s="229">
        <v>0.91510000000000002</v>
      </c>
      <c r="DZ43" s="230">
        <v>10868550</v>
      </c>
      <c r="EA43" s="229">
        <v>5.8999999999999999E-3</v>
      </c>
      <c r="EB43" s="229">
        <v>0.91510000000000002</v>
      </c>
      <c r="EC43" s="228">
        <v>6.82</v>
      </c>
      <c r="ED43" s="229">
        <v>5.7999999999999996E-3</v>
      </c>
      <c r="EE43" s="230">
        <v>546071</v>
      </c>
      <c r="EF43" s="230">
        <v>691800</v>
      </c>
      <c r="EG43" s="229">
        <v>-0.2107</v>
      </c>
      <c r="EH43" s="229">
        <v>0.51429999999999998</v>
      </c>
      <c r="EI43" s="231">
        <v>110292.05</v>
      </c>
      <c r="EJ43" s="231">
        <v>32121.51</v>
      </c>
      <c r="EK43" s="231">
        <v>150870.28</v>
      </c>
      <c r="EL43" s="231">
        <v>12735</v>
      </c>
      <c r="EM43" s="231">
        <v>293283.84000000003</v>
      </c>
      <c r="EN43" s="231">
        <v>263806.34000000003</v>
      </c>
      <c r="EO43" s="231">
        <v>29477.5</v>
      </c>
      <c r="EP43" s="229">
        <v>0.11169999999999999</v>
      </c>
      <c r="EQ43" s="231">
        <v>37602</v>
      </c>
      <c r="ER43" s="231">
        <v>20396</v>
      </c>
      <c r="ES43" s="231">
        <v>209892</v>
      </c>
      <c r="ET43" s="231">
        <v>65471528</v>
      </c>
      <c r="EU43" s="231">
        <v>267890</v>
      </c>
      <c r="EV43" s="231">
        <v>257557</v>
      </c>
      <c r="EW43" s="231">
        <v>10333</v>
      </c>
      <c r="EX43" s="229">
        <v>4.0099999999999997E-2</v>
      </c>
      <c r="EY43" s="229">
        <v>0.34820000000000001</v>
      </c>
    </row>
    <row r="44" spans="1:155" ht="17.25" thickBot="1" x14ac:dyDescent="0.3">
      <c r="A44" s="226">
        <v>45957</v>
      </c>
      <c r="B44" s="227" t="s">
        <v>227</v>
      </c>
      <c r="C44" s="227" t="s">
        <v>294</v>
      </c>
      <c r="D44" s="228">
        <v>176.82</v>
      </c>
      <c r="E44" s="228">
        <v>174.65</v>
      </c>
      <c r="F44" s="228">
        <v>2.17</v>
      </c>
      <c r="G44" s="229">
        <v>1.24E-2</v>
      </c>
      <c r="H44" s="228">
        <v>176.66</v>
      </c>
      <c r="I44" s="228">
        <v>174.44</v>
      </c>
      <c r="J44" s="228">
        <v>2.2200000000000002</v>
      </c>
      <c r="K44" s="229">
        <v>1.2699999999999999E-2</v>
      </c>
      <c r="L44" s="228">
        <v>176.82</v>
      </c>
      <c r="M44" s="228">
        <v>174.65</v>
      </c>
      <c r="N44" s="228">
        <v>2.17</v>
      </c>
      <c r="O44" s="229">
        <v>1.24E-2</v>
      </c>
      <c r="P44" s="228">
        <v>177.85</v>
      </c>
      <c r="Q44" s="228">
        <v>175.63</v>
      </c>
      <c r="R44" s="228">
        <v>2.2200000000000002</v>
      </c>
      <c r="S44" s="229">
        <v>1.26E-2</v>
      </c>
      <c r="T44" s="228">
        <v>179.02</v>
      </c>
      <c r="U44" s="228">
        <v>176.8</v>
      </c>
      <c r="V44" s="228">
        <v>2.2200000000000002</v>
      </c>
      <c r="W44" s="229">
        <v>1.26E-2</v>
      </c>
      <c r="X44" s="228">
        <v>0.16</v>
      </c>
      <c r="Y44" s="228">
        <v>0.21</v>
      </c>
      <c r="Z44" s="228">
        <v>-0.05</v>
      </c>
      <c r="AA44" s="229">
        <v>8.9999999999999998E-4</v>
      </c>
      <c r="AB44" s="228">
        <v>0.16</v>
      </c>
      <c r="AC44" s="228">
        <v>0.21</v>
      </c>
      <c r="AD44" s="228">
        <v>-0.05</v>
      </c>
      <c r="AE44" s="229">
        <v>8.9999999999999998E-4</v>
      </c>
      <c r="AF44" s="228">
        <v>1.19</v>
      </c>
      <c r="AG44" s="228">
        <v>1.19</v>
      </c>
      <c r="AH44" s="228">
        <v>0</v>
      </c>
      <c r="AI44" s="229">
        <v>6.7000000000000002E-3</v>
      </c>
      <c r="AJ44" s="228">
        <v>2.36</v>
      </c>
      <c r="AK44" s="228">
        <v>2.36</v>
      </c>
      <c r="AL44" s="228">
        <v>0</v>
      </c>
      <c r="AM44" s="229">
        <v>1.34E-2</v>
      </c>
      <c r="AN44" s="228">
        <v>176.99</v>
      </c>
      <c r="AO44" s="228">
        <v>177.99</v>
      </c>
      <c r="AP44" s="228">
        <v>0</v>
      </c>
      <c r="AQ44" s="230">
        <v>30123</v>
      </c>
      <c r="AR44" s="230">
        <v>26551</v>
      </c>
      <c r="AS44" s="230">
        <v>3572</v>
      </c>
      <c r="AT44" s="229">
        <v>0.13450000000000001</v>
      </c>
      <c r="AU44" s="230">
        <v>13804</v>
      </c>
      <c r="AV44" s="230">
        <v>13369</v>
      </c>
      <c r="AW44" s="228">
        <v>435</v>
      </c>
      <c r="AX44" s="229">
        <v>3.2500000000000001E-2</v>
      </c>
      <c r="AY44" s="230">
        <v>15967</v>
      </c>
      <c r="AZ44" s="230">
        <v>12936</v>
      </c>
      <c r="BA44" s="230">
        <v>3031</v>
      </c>
      <c r="BB44" s="229">
        <v>0.23430000000000001</v>
      </c>
      <c r="BC44" s="228">
        <v>352</v>
      </c>
      <c r="BD44" s="228">
        <v>246</v>
      </c>
      <c r="BE44" s="228">
        <v>106</v>
      </c>
      <c r="BF44" s="229">
        <v>0.43090000000000001</v>
      </c>
      <c r="BG44" s="230">
        <v>30545</v>
      </c>
      <c r="BH44" s="230">
        <v>38262</v>
      </c>
      <c r="BI44" s="230">
        <v>-7717</v>
      </c>
      <c r="BJ44" s="229">
        <v>-0.20169999999999999</v>
      </c>
      <c r="BK44" s="230">
        <v>20748</v>
      </c>
      <c r="BL44" s="230">
        <v>16603</v>
      </c>
      <c r="BM44" s="230">
        <v>4145</v>
      </c>
      <c r="BN44" s="229">
        <v>0.24970000000000001</v>
      </c>
      <c r="BO44" s="230">
        <v>81416</v>
      </c>
      <c r="BP44" s="230">
        <v>81416</v>
      </c>
      <c r="BQ44" s="228">
        <v>0</v>
      </c>
      <c r="BR44" s="229">
        <v>0</v>
      </c>
      <c r="BS44" s="230">
        <v>25947464</v>
      </c>
      <c r="BT44" s="230">
        <v>27017473</v>
      </c>
      <c r="BU44" s="230">
        <v>-1070009</v>
      </c>
      <c r="BV44" s="229">
        <v>-3.9600000000000003E-2</v>
      </c>
      <c r="BW44" s="230">
        <v>216777000</v>
      </c>
      <c r="BX44" s="230">
        <v>212866500</v>
      </c>
      <c r="BY44" s="230">
        <v>3910500</v>
      </c>
      <c r="BZ44" s="229">
        <v>1.84E-2</v>
      </c>
      <c r="CA44" s="230">
        <v>37191000</v>
      </c>
      <c r="CB44" s="230">
        <v>97537000</v>
      </c>
      <c r="CC44" s="230">
        <v>-60346000</v>
      </c>
      <c r="CD44" s="229">
        <v>-0.61870000000000003</v>
      </c>
      <c r="CE44" s="230">
        <v>177028500</v>
      </c>
      <c r="CF44" s="230">
        <v>113261500</v>
      </c>
      <c r="CG44" s="230">
        <v>63767000</v>
      </c>
      <c r="CH44" s="229">
        <v>0.56299999999999994</v>
      </c>
      <c r="CI44" s="230">
        <v>2557500</v>
      </c>
      <c r="CJ44" s="230">
        <v>2068000</v>
      </c>
      <c r="CK44" s="230">
        <v>489500</v>
      </c>
      <c r="CL44" s="229">
        <v>0.23669999999999999</v>
      </c>
      <c r="CM44" s="230">
        <v>113685000</v>
      </c>
      <c r="CN44" s="230">
        <v>123640000</v>
      </c>
      <c r="CO44" s="230">
        <v>-9955000</v>
      </c>
      <c r="CP44" s="229">
        <v>-8.0500000000000002E-2</v>
      </c>
      <c r="CQ44" s="230">
        <v>92350500</v>
      </c>
      <c r="CR44" s="230">
        <v>92537500</v>
      </c>
      <c r="CS44" s="230">
        <v>-187000</v>
      </c>
      <c r="CT44" s="229">
        <v>-2E-3</v>
      </c>
      <c r="CU44" s="230">
        <v>422812500</v>
      </c>
      <c r="CV44" s="230">
        <v>429044000</v>
      </c>
      <c r="CW44" s="230">
        <v>-6231500</v>
      </c>
      <c r="CX44" s="229">
        <v>-1.4500000000000001E-2</v>
      </c>
      <c r="CY44" s="228">
        <v>26.74</v>
      </c>
      <c r="CZ44" s="228">
        <v>26.11</v>
      </c>
      <c r="DA44" s="228">
        <v>0.63</v>
      </c>
      <c r="DB44" s="228">
        <v>0.63</v>
      </c>
      <c r="DC44" s="228">
        <v>33.9</v>
      </c>
      <c r="DD44" s="228">
        <v>33.94</v>
      </c>
      <c r="DE44" s="228">
        <v>-7.16</v>
      </c>
      <c r="DF44" s="228">
        <v>-0.04</v>
      </c>
      <c r="DG44" s="228">
        <v>26.81</v>
      </c>
      <c r="DH44" s="228">
        <v>26.31</v>
      </c>
      <c r="DI44" s="228">
        <v>0.5</v>
      </c>
      <c r="DJ44" s="228">
        <v>0.5</v>
      </c>
      <c r="DK44" s="228">
        <v>26.63</v>
      </c>
      <c r="DL44" s="228">
        <v>25.66</v>
      </c>
      <c r="DM44" s="228">
        <v>0.97</v>
      </c>
      <c r="DN44" s="228">
        <v>0.97</v>
      </c>
      <c r="DO44" s="228">
        <v>0.81</v>
      </c>
      <c r="DP44" s="228">
        <v>0.75</v>
      </c>
      <c r="DQ44" s="228">
        <v>0.06</v>
      </c>
      <c r="DR44" s="229">
        <v>0.08</v>
      </c>
      <c r="DS44" s="228">
        <v>180</v>
      </c>
      <c r="DT44" s="228">
        <v>170</v>
      </c>
      <c r="DU44" s="228">
        <v>0.68</v>
      </c>
      <c r="DV44" s="228">
        <v>0.43</v>
      </c>
      <c r="DW44" s="228">
        <v>0.25</v>
      </c>
      <c r="DX44" s="229">
        <v>0.58140000000000003</v>
      </c>
      <c r="DY44" s="229">
        <v>0.82840000000000003</v>
      </c>
      <c r="DZ44" s="230">
        <v>115329500</v>
      </c>
      <c r="EA44" s="229">
        <v>5.7999999999999996E-3</v>
      </c>
      <c r="EB44" s="229">
        <v>0.82840000000000003</v>
      </c>
      <c r="EC44" s="228">
        <v>1</v>
      </c>
      <c r="ED44" s="229">
        <v>5.7000000000000002E-3</v>
      </c>
      <c r="EE44" s="230">
        <v>13138167</v>
      </c>
      <c r="EF44" s="230">
        <v>12172643</v>
      </c>
      <c r="EG44" s="229">
        <v>7.9299999999999995E-2</v>
      </c>
      <c r="EH44" s="229">
        <v>0.50629999999999997</v>
      </c>
      <c r="EI44" s="231">
        <v>305079.14</v>
      </c>
      <c r="EJ44" s="231">
        <v>198860.95</v>
      </c>
      <c r="EK44" s="231">
        <v>294155.02</v>
      </c>
      <c r="EL44" s="231">
        <v>14220</v>
      </c>
      <c r="EM44" s="231">
        <v>798095.11</v>
      </c>
      <c r="EN44" s="231">
        <v>795627.43</v>
      </c>
      <c r="EO44" s="231">
        <v>2467.6799999999998</v>
      </c>
      <c r="EP44" s="229">
        <v>3.0999999999999999E-3</v>
      </c>
      <c r="EQ44" s="231">
        <v>206052</v>
      </c>
      <c r="ER44" s="231">
        <v>153397</v>
      </c>
      <c r="ES44" s="231">
        <v>385185</v>
      </c>
      <c r="ET44" s="231">
        <v>833987639</v>
      </c>
      <c r="EU44" s="231">
        <v>744633</v>
      </c>
      <c r="EV44" s="231">
        <v>749057</v>
      </c>
      <c r="EW44" s="231">
        <v>-4424</v>
      </c>
      <c r="EX44" s="229">
        <v>-5.8999999999999999E-3</v>
      </c>
      <c r="EY44" s="229">
        <v>0.50700000000000001</v>
      </c>
    </row>
    <row r="45" spans="1:155" ht="17.25" thickBot="1" x14ac:dyDescent="0.3">
      <c r="A45" s="226">
        <v>45957</v>
      </c>
      <c r="B45" s="227" t="s">
        <v>221</v>
      </c>
      <c r="C45" s="227" t="s">
        <v>295</v>
      </c>
      <c r="D45" s="231">
        <v>3081.8</v>
      </c>
      <c r="E45" s="231">
        <v>3060.4</v>
      </c>
      <c r="F45" s="228">
        <v>21.4</v>
      </c>
      <c r="G45" s="229">
        <v>7.0000000000000001E-3</v>
      </c>
      <c r="H45" s="231">
        <v>3084.9</v>
      </c>
      <c r="I45" s="231">
        <v>3063.2</v>
      </c>
      <c r="J45" s="228">
        <v>21.7</v>
      </c>
      <c r="K45" s="229">
        <v>7.1000000000000004E-3</v>
      </c>
      <c r="L45" s="231">
        <v>3081.8</v>
      </c>
      <c r="M45" s="231">
        <v>3060.4</v>
      </c>
      <c r="N45" s="228">
        <v>21.4</v>
      </c>
      <c r="O45" s="229">
        <v>7.0000000000000001E-3</v>
      </c>
      <c r="P45" s="231">
        <v>3098.2</v>
      </c>
      <c r="Q45" s="231">
        <v>3076.4</v>
      </c>
      <c r="R45" s="228">
        <v>21.8</v>
      </c>
      <c r="S45" s="229">
        <v>7.1000000000000004E-3</v>
      </c>
      <c r="T45" s="231">
        <v>3116.3</v>
      </c>
      <c r="U45" s="231">
        <v>3095.3</v>
      </c>
      <c r="V45" s="228">
        <v>21</v>
      </c>
      <c r="W45" s="229">
        <v>6.7999999999999996E-3</v>
      </c>
      <c r="X45" s="228">
        <v>-3.1</v>
      </c>
      <c r="Y45" s="228">
        <v>-2.8</v>
      </c>
      <c r="Z45" s="228">
        <v>-0.3</v>
      </c>
      <c r="AA45" s="229">
        <v>-1E-3</v>
      </c>
      <c r="AB45" s="228">
        <v>-3.1</v>
      </c>
      <c r="AC45" s="228">
        <v>-2.8</v>
      </c>
      <c r="AD45" s="228">
        <v>-0.3</v>
      </c>
      <c r="AE45" s="229">
        <v>-1E-3</v>
      </c>
      <c r="AF45" s="228">
        <v>13.3</v>
      </c>
      <c r="AG45" s="228">
        <v>13.2</v>
      </c>
      <c r="AH45" s="228">
        <v>0.1</v>
      </c>
      <c r="AI45" s="229">
        <v>4.3E-3</v>
      </c>
      <c r="AJ45" s="228">
        <v>31.4</v>
      </c>
      <c r="AK45" s="228">
        <v>32.1</v>
      </c>
      <c r="AL45" s="228">
        <v>-0.7</v>
      </c>
      <c r="AM45" s="229">
        <v>1.0200000000000001E-2</v>
      </c>
      <c r="AN45" s="231">
        <v>3081.79</v>
      </c>
      <c r="AO45" s="231">
        <v>3098.54</v>
      </c>
      <c r="AP45" s="228">
        <v>0</v>
      </c>
      <c r="AQ45" s="230">
        <v>88537</v>
      </c>
      <c r="AR45" s="230">
        <v>84836</v>
      </c>
      <c r="AS45" s="230">
        <v>3701</v>
      </c>
      <c r="AT45" s="229">
        <v>4.36E-2</v>
      </c>
      <c r="AU45" s="230">
        <v>43096</v>
      </c>
      <c r="AV45" s="230">
        <v>42942</v>
      </c>
      <c r="AW45" s="228">
        <v>154</v>
      </c>
      <c r="AX45" s="229">
        <v>3.5999999999999999E-3</v>
      </c>
      <c r="AY45" s="230">
        <v>42912</v>
      </c>
      <c r="AZ45" s="230">
        <v>40885</v>
      </c>
      <c r="BA45" s="230">
        <v>2027</v>
      </c>
      <c r="BB45" s="229">
        <v>4.9599999999999998E-2</v>
      </c>
      <c r="BC45" s="230">
        <v>2529</v>
      </c>
      <c r="BD45" s="230">
        <v>1009</v>
      </c>
      <c r="BE45" s="230">
        <v>1520</v>
      </c>
      <c r="BF45" s="229">
        <v>1.5064</v>
      </c>
      <c r="BG45" s="230">
        <v>161950</v>
      </c>
      <c r="BH45" s="230">
        <v>173787</v>
      </c>
      <c r="BI45" s="230">
        <v>-11837</v>
      </c>
      <c r="BJ45" s="229">
        <v>-6.8099999999999994E-2</v>
      </c>
      <c r="BK45" s="230">
        <v>77397</v>
      </c>
      <c r="BL45" s="230">
        <v>100210</v>
      </c>
      <c r="BM45" s="230">
        <v>-22813</v>
      </c>
      <c r="BN45" s="229">
        <v>-0.22770000000000001</v>
      </c>
      <c r="BO45" s="230">
        <v>327884</v>
      </c>
      <c r="BP45" s="230">
        <v>358833</v>
      </c>
      <c r="BQ45" s="230">
        <v>-30949</v>
      </c>
      <c r="BR45" s="229">
        <v>-8.6199999999999999E-2</v>
      </c>
      <c r="BS45" s="230">
        <v>1999162</v>
      </c>
      <c r="BT45" s="230">
        <v>2811486</v>
      </c>
      <c r="BU45" s="230">
        <v>-812324</v>
      </c>
      <c r="BV45" s="229">
        <v>-0.28889999999999999</v>
      </c>
      <c r="BW45" s="230">
        <v>28045325</v>
      </c>
      <c r="BX45" s="230">
        <v>28575750</v>
      </c>
      <c r="BY45" s="230">
        <v>-530425</v>
      </c>
      <c r="BZ45" s="229">
        <v>-1.8599999999999998E-2</v>
      </c>
      <c r="CA45" s="230">
        <v>4816000</v>
      </c>
      <c r="CB45" s="230">
        <v>10963575</v>
      </c>
      <c r="CC45" s="230">
        <v>-6147575</v>
      </c>
      <c r="CD45" s="229">
        <v>-0.56069999999999998</v>
      </c>
      <c r="CE45" s="230">
        <v>22437450</v>
      </c>
      <c r="CF45" s="230">
        <v>17082975</v>
      </c>
      <c r="CG45" s="230">
        <v>5354475</v>
      </c>
      <c r="CH45" s="229">
        <v>0.31340000000000001</v>
      </c>
      <c r="CI45" s="230">
        <v>791875</v>
      </c>
      <c r="CJ45" s="230">
        <v>529200</v>
      </c>
      <c r="CK45" s="230">
        <v>262675</v>
      </c>
      <c r="CL45" s="229">
        <v>0.49640000000000001</v>
      </c>
      <c r="CM45" s="230">
        <v>15667925</v>
      </c>
      <c r="CN45" s="230">
        <v>17886400</v>
      </c>
      <c r="CO45" s="230">
        <v>-2218475</v>
      </c>
      <c r="CP45" s="229">
        <v>-0.124</v>
      </c>
      <c r="CQ45" s="230">
        <v>10696700</v>
      </c>
      <c r="CR45" s="230">
        <v>11275425</v>
      </c>
      <c r="CS45" s="230">
        <v>-578725</v>
      </c>
      <c r="CT45" s="229">
        <v>-5.1299999999999998E-2</v>
      </c>
      <c r="CU45" s="230">
        <v>54409950</v>
      </c>
      <c r="CV45" s="230">
        <v>57737575</v>
      </c>
      <c r="CW45" s="230">
        <v>-3327625</v>
      </c>
      <c r="CX45" s="229">
        <v>-5.7599999999999998E-2</v>
      </c>
      <c r="CY45" s="228">
        <v>19.64</v>
      </c>
      <c r="CZ45" s="228">
        <v>19.670000000000002</v>
      </c>
      <c r="DA45" s="228">
        <v>-0.03</v>
      </c>
      <c r="DB45" s="228">
        <v>-0.03</v>
      </c>
      <c r="DC45" s="228">
        <v>24.49</v>
      </c>
      <c r="DD45" s="228">
        <v>24.53</v>
      </c>
      <c r="DE45" s="228">
        <v>-4.8499999999999996</v>
      </c>
      <c r="DF45" s="228">
        <v>-0.04</v>
      </c>
      <c r="DG45" s="228">
        <v>19.62</v>
      </c>
      <c r="DH45" s="228">
        <v>19.78</v>
      </c>
      <c r="DI45" s="228">
        <v>-0.16</v>
      </c>
      <c r="DJ45" s="228">
        <v>-0.16</v>
      </c>
      <c r="DK45" s="228">
        <v>19.670000000000002</v>
      </c>
      <c r="DL45" s="228">
        <v>19.45</v>
      </c>
      <c r="DM45" s="228">
        <v>0.22</v>
      </c>
      <c r="DN45" s="228">
        <v>0.22</v>
      </c>
      <c r="DO45" s="228">
        <v>0.68</v>
      </c>
      <c r="DP45" s="228">
        <v>0.63</v>
      </c>
      <c r="DQ45" s="228">
        <v>0.05</v>
      </c>
      <c r="DR45" s="229">
        <v>7.9399999999999998E-2</v>
      </c>
      <c r="DS45" s="231">
        <v>3200</v>
      </c>
      <c r="DT45" s="231">
        <v>3000</v>
      </c>
      <c r="DU45" s="228">
        <v>0.48</v>
      </c>
      <c r="DV45" s="228">
        <v>0.57999999999999996</v>
      </c>
      <c r="DW45" s="228">
        <v>-0.1</v>
      </c>
      <c r="DX45" s="229">
        <v>-0.1724</v>
      </c>
      <c r="DY45" s="229">
        <v>0.82830000000000004</v>
      </c>
      <c r="DZ45" s="230">
        <v>17612175</v>
      </c>
      <c r="EA45" s="229">
        <v>5.3E-3</v>
      </c>
      <c r="EB45" s="229">
        <v>0.82830000000000004</v>
      </c>
      <c r="EC45" s="228">
        <v>16.75</v>
      </c>
      <c r="ED45" s="229">
        <v>5.4000000000000003E-3</v>
      </c>
      <c r="EE45" s="230">
        <v>1299187</v>
      </c>
      <c r="EF45" s="230">
        <v>1810295</v>
      </c>
      <c r="EG45" s="229">
        <v>-0.2823</v>
      </c>
      <c r="EH45" s="229">
        <v>0.64990000000000003</v>
      </c>
      <c r="EI45" s="231">
        <v>896135.66</v>
      </c>
      <c r="EJ45" s="231">
        <v>415328.56</v>
      </c>
      <c r="EK45" s="231">
        <v>478907.87</v>
      </c>
      <c r="EL45" s="231">
        <v>66161</v>
      </c>
      <c r="EM45" s="231">
        <v>1790372.09</v>
      </c>
      <c r="EN45" s="231">
        <v>1953016.77</v>
      </c>
      <c r="EO45" s="231">
        <v>-162644.68</v>
      </c>
      <c r="EP45" s="229">
        <v>-8.3299999999999999E-2</v>
      </c>
      <c r="EQ45" s="231">
        <v>495429</v>
      </c>
      <c r="ER45" s="231">
        <v>320477</v>
      </c>
      <c r="ES45" s="231">
        <v>868254</v>
      </c>
      <c r="ET45" s="231">
        <v>123298271</v>
      </c>
      <c r="EU45" s="231">
        <v>1684159</v>
      </c>
      <c r="EV45" s="231">
        <v>1777913</v>
      </c>
      <c r="EW45" s="231">
        <v>-93754</v>
      </c>
      <c r="EX45" s="229">
        <v>-5.2699999999999997E-2</v>
      </c>
      <c r="EY45" s="229">
        <v>0.44130000000000003</v>
      </c>
    </row>
    <row r="46" spans="1:155" ht="17.25" thickBot="1" x14ac:dyDescent="0.3">
      <c r="A46" s="226">
        <v>45957</v>
      </c>
      <c r="B46" s="227" t="s">
        <v>221</v>
      </c>
      <c r="C46" s="227" t="s">
        <v>296</v>
      </c>
      <c r="D46" s="231">
        <v>1463.2</v>
      </c>
      <c r="E46" s="231">
        <v>1453.4</v>
      </c>
      <c r="F46" s="228">
        <v>9.8000000000000007</v>
      </c>
      <c r="G46" s="229">
        <v>6.7000000000000002E-3</v>
      </c>
      <c r="H46" s="231">
        <v>1462.8</v>
      </c>
      <c r="I46" s="231">
        <v>1453.7</v>
      </c>
      <c r="J46" s="228">
        <v>9.1</v>
      </c>
      <c r="K46" s="229">
        <v>6.3E-3</v>
      </c>
      <c r="L46" s="231">
        <v>1463.2</v>
      </c>
      <c r="M46" s="231">
        <v>1453.4</v>
      </c>
      <c r="N46" s="228">
        <v>9.8000000000000007</v>
      </c>
      <c r="O46" s="229">
        <v>6.7000000000000002E-3</v>
      </c>
      <c r="P46" s="231">
        <v>1471.2</v>
      </c>
      <c r="Q46" s="231">
        <v>1461.3</v>
      </c>
      <c r="R46" s="228">
        <v>9.9</v>
      </c>
      <c r="S46" s="229">
        <v>6.7999999999999996E-3</v>
      </c>
      <c r="T46" s="231">
        <v>1481.4</v>
      </c>
      <c r="U46" s="231">
        <v>1470.8</v>
      </c>
      <c r="V46" s="228">
        <v>10.6</v>
      </c>
      <c r="W46" s="229">
        <v>7.1999999999999998E-3</v>
      </c>
      <c r="X46" s="228">
        <v>0.4</v>
      </c>
      <c r="Y46" s="228">
        <v>-0.3</v>
      </c>
      <c r="Z46" s="228">
        <v>0.7</v>
      </c>
      <c r="AA46" s="229">
        <v>2.9999999999999997E-4</v>
      </c>
      <c r="AB46" s="228">
        <v>0.4</v>
      </c>
      <c r="AC46" s="228">
        <v>-0.3</v>
      </c>
      <c r="AD46" s="228">
        <v>0.7</v>
      </c>
      <c r="AE46" s="229">
        <v>2.9999999999999997E-4</v>
      </c>
      <c r="AF46" s="228">
        <v>8.4</v>
      </c>
      <c r="AG46" s="228">
        <v>7.6</v>
      </c>
      <c r="AH46" s="228">
        <v>0.8</v>
      </c>
      <c r="AI46" s="229">
        <v>5.7000000000000002E-3</v>
      </c>
      <c r="AJ46" s="228">
        <v>18.600000000000001</v>
      </c>
      <c r="AK46" s="228">
        <v>17.100000000000001</v>
      </c>
      <c r="AL46" s="228">
        <v>1.5</v>
      </c>
      <c r="AM46" s="229">
        <v>1.2699999999999999E-2</v>
      </c>
      <c r="AN46" s="231">
        <v>1466.89</v>
      </c>
      <c r="AO46" s="231">
        <v>1474.72</v>
      </c>
      <c r="AP46" s="228">
        <v>0</v>
      </c>
      <c r="AQ46" s="230">
        <v>22272</v>
      </c>
      <c r="AR46" s="230">
        <v>15567</v>
      </c>
      <c r="AS46" s="230">
        <v>6705</v>
      </c>
      <c r="AT46" s="229">
        <v>0.43070000000000003</v>
      </c>
      <c r="AU46" s="230">
        <v>10874</v>
      </c>
      <c r="AV46" s="230">
        <v>7760</v>
      </c>
      <c r="AW46" s="230">
        <v>3114</v>
      </c>
      <c r="AX46" s="229">
        <v>0.40129999999999999</v>
      </c>
      <c r="AY46" s="230">
        <v>11299</v>
      </c>
      <c r="AZ46" s="230">
        <v>7741</v>
      </c>
      <c r="BA46" s="230">
        <v>3558</v>
      </c>
      <c r="BB46" s="229">
        <v>0.45960000000000001</v>
      </c>
      <c r="BC46" s="228">
        <v>99</v>
      </c>
      <c r="BD46" s="228">
        <v>66</v>
      </c>
      <c r="BE46" s="228">
        <v>33</v>
      </c>
      <c r="BF46" s="229">
        <v>0.5</v>
      </c>
      <c r="BG46" s="230">
        <v>13553</v>
      </c>
      <c r="BH46" s="230">
        <v>12904</v>
      </c>
      <c r="BI46" s="228">
        <v>649</v>
      </c>
      <c r="BJ46" s="229">
        <v>5.0299999999999997E-2</v>
      </c>
      <c r="BK46" s="230">
        <v>7546</v>
      </c>
      <c r="BL46" s="230">
        <v>5390</v>
      </c>
      <c r="BM46" s="230">
        <v>2156</v>
      </c>
      <c r="BN46" s="229">
        <v>0.4</v>
      </c>
      <c r="BO46" s="230">
        <v>43371</v>
      </c>
      <c r="BP46" s="230">
        <v>33861</v>
      </c>
      <c r="BQ46" s="230">
        <v>9510</v>
      </c>
      <c r="BR46" s="229">
        <v>0.28089999999999998</v>
      </c>
      <c r="BS46" s="230">
        <v>1052267</v>
      </c>
      <c r="BT46" s="230">
        <v>1028518</v>
      </c>
      <c r="BU46" s="230">
        <v>23749</v>
      </c>
      <c r="BV46" s="229">
        <v>2.3099999999999999E-2</v>
      </c>
      <c r="BW46" s="230">
        <v>17566800</v>
      </c>
      <c r="BX46" s="230">
        <v>17884200</v>
      </c>
      <c r="BY46" s="230">
        <v>-317400</v>
      </c>
      <c r="BZ46" s="229">
        <v>-1.77E-2</v>
      </c>
      <c r="CA46" s="230">
        <v>2971800</v>
      </c>
      <c r="CB46" s="230">
        <v>7900200</v>
      </c>
      <c r="CC46" s="230">
        <v>-4928400</v>
      </c>
      <c r="CD46" s="229">
        <v>-0.62380000000000002</v>
      </c>
      <c r="CE46" s="230">
        <v>14427000</v>
      </c>
      <c r="CF46" s="230">
        <v>9843000</v>
      </c>
      <c r="CG46" s="230">
        <v>4584000</v>
      </c>
      <c r="CH46" s="229">
        <v>0.4657</v>
      </c>
      <c r="CI46" s="230">
        <v>168000</v>
      </c>
      <c r="CJ46" s="230">
        <v>141000</v>
      </c>
      <c r="CK46" s="230">
        <v>27000</v>
      </c>
      <c r="CL46" s="229">
        <v>0.1915</v>
      </c>
      <c r="CM46" s="230">
        <v>5544000</v>
      </c>
      <c r="CN46" s="230">
        <v>6327600</v>
      </c>
      <c r="CO46" s="230">
        <v>-783600</v>
      </c>
      <c r="CP46" s="229">
        <v>-0.12379999999999999</v>
      </c>
      <c r="CQ46" s="230">
        <v>4786200</v>
      </c>
      <c r="CR46" s="230">
        <v>4912800</v>
      </c>
      <c r="CS46" s="230">
        <v>-126600</v>
      </c>
      <c r="CT46" s="229">
        <v>-2.58E-2</v>
      </c>
      <c r="CU46" s="230">
        <v>27897000</v>
      </c>
      <c r="CV46" s="230">
        <v>29124600</v>
      </c>
      <c r="CW46" s="230">
        <v>-1227600</v>
      </c>
      <c r="CX46" s="229">
        <v>-4.2099999999999999E-2</v>
      </c>
      <c r="CY46" s="228">
        <v>22.5</v>
      </c>
      <c r="CZ46" s="228">
        <v>22.67</v>
      </c>
      <c r="DA46" s="228">
        <v>-0.17</v>
      </c>
      <c r="DB46" s="228">
        <v>-0.17</v>
      </c>
      <c r="DC46" s="228">
        <v>29.63</v>
      </c>
      <c r="DD46" s="228">
        <v>29.7</v>
      </c>
      <c r="DE46" s="228">
        <v>-7.13</v>
      </c>
      <c r="DF46" s="228">
        <v>-7.0000000000000007E-2</v>
      </c>
      <c r="DG46" s="228">
        <v>22.69</v>
      </c>
      <c r="DH46" s="228">
        <v>22.78</v>
      </c>
      <c r="DI46" s="228">
        <v>-0.09</v>
      </c>
      <c r="DJ46" s="228">
        <v>-0.09</v>
      </c>
      <c r="DK46" s="228">
        <v>22.09</v>
      </c>
      <c r="DL46" s="228">
        <v>22.39</v>
      </c>
      <c r="DM46" s="228">
        <v>-0.3</v>
      </c>
      <c r="DN46" s="228">
        <v>-0.3</v>
      </c>
      <c r="DO46" s="228">
        <v>0.86</v>
      </c>
      <c r="DP46" s="228">
        <v>0.78</v>
      </c>
      <c r="DQ46" s="228">
        <v>0.08</v>
      </c>
      <c r="DR46" s="229">
        <v>0.1026</v>
      </c>
      <c r="DS46" s="231">
        <v>1500</v>
      </c>
      <c r="DT46" s="231">
        <v>1400</v>
      </c>
      <c r="DU46" s="228">
        <v>0.56000000000000005</v>
      </c>
      <c r="DV46" s="228">
        <v>0.42</v>
      </c>
      <c r="DW46" s="228">
        <v>0.14000000000000001</v>
      </c>
      <c r="DX46" s="229">
        <v>0.33329999999999999</v>
      </c>
      <c r="DY46" s="229">
        <v>0.83079999999999998</v>
      </c>
      <c r="DZ46" s="230">
        <v>9984000</v>
      </c>
      <c r="EA46" s="229">
        <v>5.4999999999999997E-3</v>
      </c>
      <c r="EB46" s="229">
        <v>0.83079999999999998</v>
      </c>
      <c r="EC46" s="228">
        <v>7.83</v>
      </c>
      <c r="ED46" s="229">
        <v>5.3E-3</v>
      </c>
      <c r="EE46" s="230">
        <v>581458</v>
      </c>
      <c r="EF46" s="230">
        <v>613895</v>
      </c>
      <c r="EG46" s="229">
        <v>-5.28E-2</v>
      </c>
      <c r="EH46" s="229">
        <v>0.55259999999999998</v>
      </c>
      <c r="EI46" s="231">
        <v>123010.56</v>
      </c>
      <c r="EJ46" s="231">
        <v>65984.62</v>
      </c>
      <c r="EK46" s="231">
        <v>196563.67</v>
      </c>
      <c r="EL46" s="231">
        <v>11174</v>
      </c>
      <c r="EM46" s="231">
        <v>385558.85</v>
      </c>
      <c r="EN46" s="231">
        <v>300605.56</v>
      </c>
      <c r="EO46" s="231">
        <v>84953.29</v>
      </c>
      <c r="EP46" s="229">
        <v>0.28260000000000002</v>
      </c>
      <c r="EQ46" s="231">
        <v>85010</v>
      </c>
      <c r="ER46" s="231">
        <v>67314</v>
      </c>
      <c r="ES46" s="231">
        <v>258222</v>
      </c>
      <c r="ET46" s="231">
        <v>76137451</v>
      </c>
      <c r="EU46" s="231">
        <v>410546</v>
      </c>
      <c r="EV46" s="231">
        <v>426425</v>
      </c>
      <c r="EW46" s="231">
        <v>-15879</v>
      </c>
      <c r="EX46" s="229">
        <v>-3.7199999999999997E-2</v>
      </c>
      <c r="EY46" s="229">
        <v>0.3664</v>
      </c>
    </row>
    <row r="47" spans="1:155" ht="17.25" thickBot="1" x14ac:dyDescent="0.3">
      <c r="A47" s="226">
        <v>45957</v>
      </c>
      <c r="B47" s="227" t="s">
        <v>168</v>
      </c>
      <c r="C47" s="227" t="s">
        <v>297</v>
      </c>
      <c r="D47" s="231">
        <v>3742.1</v>
      </c>
      <c r="E47" s="231">
        <v>3712</v>
      </c>
      <c r="F47" s="228">
        <v>30.1</v>
      </c>
      <c r="G47" s="229">
        <v>8.0999999999999996E-3</v>
      </c>
      <c r="H47" s="231">
        <v>3739.8</v>
      </c>
      <c r="I47" s="231">
        <v>3714.9</v>
      </c>
      <c r="J47" s="228">
        <v>24.9</v>
      </c>
      <c r="K47" s="229">
        <v>6.7000000000000002E-3</v>
      </c>
      <c r="L47" s="231">
        <v>3742.1</v>
      </c>
      <c r="M47" s="231">
        <v>3712</v>
      </c>
      <c r="N47" s="228">
        <v>30.1</v>
      </c>
      <c r="O47" s="229">
        <v>8.0999999999999996E-3</v>
      </c>
      <c r="P47" s="231">
        <v>3764.3</v>
      </c>
      <c r="Q47" s="231">
        <v>3733</v>
      </c>
      <c r="R47" s="228">
        <v>31.3</v>
      </c>
      <c r="S47" s="229">
        <v>8.3999999999999995E-3</v>
      </c>
      <c r="T47" s="231">
        <v>3791.7</v>
      </c>
      <c r="U47" s="231">
        <v>3757.2</v>
      </c>
      <c r="V47" s="228">
        <v>34.5</v>
      </c>
      <c r="W47" s="229">
        <v>9.1999999999999998E-3</v>
      </c>
      <c r="X47" s="228">
        <v>2.2999999999999998</v>
      </c>
      <c r="Y47" s="228">
        <v>-2.9</v>
      </c>
      <c r="Z47" s="228">
        <v>5.2</v>
      </c>
      <c r="AA47" s="229">
        <v>5.9999999999999995E-4</v>
      </c>
      <c r="AB47" s="228">
        <v>2.2999999999999998</v>
      </c>
      <c r="AC47" s="228">
        <v>-2.9</v>
      </c>
      <c r="AD47" s="228">
        <v>5.2</v>
      </c>
      <c r="AE47" s="229">
        <v>5.9999999999999995E-4</v>
      </c>
      <c r="AF47" s="228">
        <v>24.5</v>
      </c>
      <c r="AG47" s="228">
        <v>18.100000000000001</v>
      </c>
      <c r="AH47" s="228">
        <v>6.4</v>
      </c>
      <c r="AI47" s="229">
        <v>6.6E-3</v>
      </c>
      <c r="AJ47" s="228">
        <v>51.9</v>
      </c>
      <c r="AK47" s="228">
        <v>42.3</v>
      </c>
      <c r="AL47" s="228">
        <v>9.6</v>
      </c>
      <c r="AM47" s="229">
        <v>1.3899999999999999E-2</v>
      </c>
      <c r="AN47" s="231">
        <v>3738.76</v>
      </c>
      <c r="AO47" s="231">
        <v>3760.5</v>
      </c>
      <c r="AP47" s="228">
        <v>0</v>
      </c>
      <c r="AQ47" s="230">
        <v>42858</v>
      </c>
      <c r="AR47" s="230">
        <v>46250</v>
      </c>
      <c r="AS47" s="230">
        <v>-3392</v>
      </c>
      <c r="AT47" s="229">
        <v>-7.3300000000000004E-2</v>
      </c>
      <c r="AU47" s="230">
        <v>19965</v>
      </c>
      <c r="AV47" s="230">
        <v>23780</v>
      </c>
      <c r="AW47" s="230">
        <v>-3815</v>
      </c>
      <c r="AX47" s="229">
        <v>-0.16039999999999999</v>
      </c>
      <c r="AY47" s="230">
        <v>22717</v>
      </c>
      <c r="AZ47" s="230">
        <v>22404</v>
      </c>
      <c r="BA47" s="228">
        <v>313</v>
      </c>
      <c r="BB47" s="229">
        <v>1.4E-2</v>
      </c>
      <c r="BC47" s="228">
        <v>176</v>
      </c>
      <c r="BD47" s="228">
        <v>66</v>
      </c>
      <c r="BE47" s="228">
        <v>110</v>
      </c>
      <c r="BF47" s="229">
        <v>1.6667000000000001</v>
      </c>
      <c r="BG47" s="230">
        <v>29551</v>
      </c>
      <c r="BH47" s="230">
        <v>26369</v>
      </c>
      <c r="BI47" s="230">
        <v>3182</v>
      </c>
      <c r="BJ47" s="229">
        <v>0.1207</v>
      </c>
      <c r="BK47" s="230">
        <v>22577</v>
      </c>
      <c r="BL47" s="230">
        <v>23664</v>
      </c>
      <c r="BM47" s="230">
        <v>-1087</v>
      </c>
      <c r="BN47" s="229">
        <v>-4.5900000000000003E-2</v>
      </c>
      <c r="BO47" s="230">
        <v>94986</v>
      </c>
      <c r="BP47" s="230">
        <v>96283</v>
      </c>
      <c r="BQ47" s="230">
        <v>-1297</v>
      </c>
      <c r="BR47" s="229">
        <v>-1.35E-2</v>
      </c>
      <c r="BS47" s="230">
        <v>880184</v>
      </c>
      <c r="BT47" s="230">
        <v>596541</v>
      </c>
      <c r="BU47" s="230">
        <v>283643</v>
      </c>
      <c r="BV47" s="229">
        <v>0.47549999999999998</v>
      </c>
      <c r="BW47" s="230">
        <v>12232500</v>
      </c>
      <c r="BX47" s="230">
        <v>12131000</v>
      </c>
      <c r="BY47" s="230">
        <v>101500</v>
      </c>
      <c r="BZ47" s="229">
        <v>8.3999999999999995E-3</v>
      </c>
      <c r="CA47" s="230">
        <v>2519125</v>
      </c>
      <c r="CB47" s="230">
        <v>5262075</v>
      </c>
      <c r="CC47" s="230">
        <v>-2742950</v>
      </c>
      <c r="CD47" s="229">
        <v>-0.52129999999999999</v>
      </c>
      <c r="CE47" s="230">
        <v>9652125</v>
      </c>
      <c r="CF47" s="230">
        <v>6819925</v>
      </c>
      <c r="CG47" s="230">
        <v>2832200</v>
      </c>
      <c r="CH47" s="229">
        <v>0.4153</v>
      </c>
      <c r="CI47" s="230">
        <v>61250</v>
      </c>
      <c r="CJ47" s="230">
        <v>49000</v>
      </c>
      <c r="CK47" s="230">
        <v>12250</v>
      </c>
      <c r="CL47" s="229">
        <v>0.25</v>
      </c>
      <c r="CM47" s="230">
        <v>4663750</v>
      </c>
      <c r="CN47" s="230">
        <v>4789575</v>
      </c>
      <c r="CO47" s="230">
        <v>-125825</v>
      </c>
      <c r="CP47" s="229">
        <v>-2.63E-2</v>
      </c>
      <c r="CQ47" s="230">
        <v>3272500</v>
      </c>
      <c r="CR47" s="230">
        <v>3463250</v>
      </c>
      <c r="CS47" s="230">
        <v>-190750</v>
      </c>
      <c r="CT47" s="229">
        <v>-5.5100000000000003E-2</v>
      </c>
      <c r="CU47" s="230">
        <v>20168750</v>
      </c>
      <c r="CV47" s="230">
        <v>20383825</v>
      </c>
      <c r="CW47" s="230">
        <v>-215075</v>
      </c>
      <c r="CX47" s="229">
        <v>-1.06E-2</v>
      </c>
      <c r="CY47" s="228">
        <v>23.94</v>
      </c>
      <c r="CZ47" s="228">
        <v>22.98</v>
      </c>
      <c r="DA47" s="228">
        <v>0.96</v>
      </c>
      <c r="DB47" s="228">
        <v>0.96</v>
      </c>
      <c r="DC47" s="228">
        <v>26.03</v>
      </c>
      <c r="DD47" s="228">
        <v>26.08</v>
      </c>
      <c r="DE47" s="228">
        <v>-2.09</v>
      </c>
      <c r="DF47" s="228">
        <v>-0.05</v>
      </c>
      <c r="DG47" s="228">
        <v>23.95</v>
      </c>
      <c r="DH47" s="228">
        <v>23.16</v>
      </c>
      <c r="DI47" s="228">
        <v>0.79</v>
      </c>
      <c r="DJ47" s="228">
        <v>0.79</v>
      </c>
      <c r="DK47" s="228">
        <v>23.92</v>
      </c>
      <c r="DL47" s="228">
        <v>22.81</v>
      </c>
      <c r="DM47" s="228">
        <v>1.1100000000000001</v>
      </c>
      <c r="DN47" s="228">
        <v>1.1100000000000001</v>
      </c>
      <c r="DO47" s="228">
        <v>0.7</v>
      </c>
      <c r="DP47" s="228">
        <v>0.72</v>
      </c>
      <c r="DQ47" s="228">
        <v>-0.02</v>
      </c>
      <c r="DR47" s="229">
        <v>-2.7799999999999998E-2</v>
      </c>
      <c r="DS47" s="231">
        <v>3400</v>
      </c>
      <c r="DT47" s="231">
        <v>3600</v>
      </c>
      <c r="DU47" s="228">
        <v>0.76</v>
      </c>
      <c r="DV47" s="228">
        <v>0.9</v>
      </c>
      <c r="DW47" s="228">
        <v>-0.14000000000000001</v>
      </c>
      <c r="DX47" s="229">
        <v>-0.15559999999999999</v>
      </c>
      <c r="DY47" s="229">
        <v>0.79410000000000003</v>
      </c>
      <c r="DZ47" s="230">
        <v>6868925</v>
      </c>
      <c r="EA47" s="229">
        <v>5.8999999999999999E-3</v>
      </c>
      <c r="EB47" s="229">
        <v>0.79410000000000003</v>
      </c>
      <c r="EC47" s="228">
        <v>21.74</v>
      </c>
      <c r="ED47" s="229">
        <v>5.7999999999999996E-3</v>
      </c>
      <c r="EE47" s="230">
        <v>612046</v>
      </c>
      <c r="EF47" s="230">
        <v>378365</v>
      </c>
      <c r="EG47" s="229">
        <v>0.61760000000000004</v>
      </c>
      <c r="EH47" s="229">
        <v>0.69540000000000002</v>
      </c>
      <c r="EI47" s="231">
        <v>197852.62</v>
      </c>
      <c r="EJ47" s="231">
        <v>145482.20000000001</v>
      </c>
      <c r="EK47" s="231">
        <v>281291.45</v>
      </c>
      <c r="EL47" s="231">
        <v>25832</v>
      </c>
      <c r="EM47" s="231">
        <v>624626.27</v>
      </c>
      <c r="EN47" s="231">
        <v>631938.76</v>
      </c>
      <c r="EO47" s="231">
        <v>-7312.49</v>
      </c>
      <c r="EP47" s="229">
        <v>-1.1599999999999999E-2</v>
      </c>
      <c r="EQ47" s="231">
        <v>172096</v>
      </c>
      <c r="ER47" s="231">
        <v>116070</v>
      </c>
      <c r="ES47" s="231">
        <v>459926</v>
      </c>
      <c r="ET47" s="231">
        <v>41744334</v>
      </c>
      <c r="EU47" s="231">
        <v>748091</v>
      </c>
      <c r="EV47" s="231">
        <v>750634</v>
      </c>
      <c r="EW47" s="231">
        <v>-2543</v>
      </c>
      <c r="EX47" s="229">
        <v>-3.3999999999999998E-3</v>
      </c>
      <c r="EY47" s="229">
        <v>0.48309999999999997</v>
      </c>
    </row>
    <row r="48" spans="1:155" ht="17.25" thickBot="1" x14ac:dyDescent="0.3">
      <c r="A48" s="226">
        <v>45957</v>
      </c>
      <c r="B48" s="227" t="s">
        <v>691</v>
      </c>
      <c r="C48" s="227" t="s">
        <v>690</v>
      </c>
      <c r="D48" s="228">
        <v>411.15</v>
      </c>
      <c r="E48" s="228">
        <v>404.25</v>
      </c>
      <c r="F48" s="228">
        <v>6.9</v>
      </c>
      <c r="G48" s="229">
        <v>1.7100000000000001E-2</v>
      </c>
      <c r="H48" s="228">
        <v>410.05</v>
      </c>
      <c r="I48" s="228">
        <v>403.3</v>
      </c>
      <c r="J48" s="228">
        <v>6.75</v>
      </c>
      <c r="K48" s="229">
        <v>1.67E-2</v>
      </c>
      <c r="L48" s="228">
        <v>411.15</v>
      </c>
      <c r="M48" s="228">
        <v>404.25</v>
      </c>
      <c r="N48" s="228">
        <v>6.9</v>
      </c>
      <c r="O48" s="229">
        <v>1.7100000000000001E-2</v>
      </c>
      <c r="P48" s="228">
        <v>411.35</v>
      </c>
      <c r="Q48" s="228">
        <v>404.8</v>
      </c>
      <c r="R48" s="228">
        <v>6.55</v>
      </c>
      <c r="S48" s="229">
        <v>1.6199999999999999E-2</v>
      </c>
      <c r="T48" s="228">
        <v>413.5</v>
      </c>
      <c r="U48" s="228">
        <v>407.25</v>
      </c>
      <c r="V48" s="228">
        <v>6.25</v>
      </c>
      <c r="W48" s="229">
        <v>1.5299999999999999E-2</v>
      </c>
      <c r="X48" s="228">
        <v>1.1000000000000001</v>
      </c>
      <c r="Y48" s="228">
        <v>0.95</v>
      </c>
      <c r="Z48" s="228">
        <v>0.15</v>
      </c>
      <c r="AA48" s="229">
        <v>2.7000000000000001E-3</v>
      </c>
      <c r="AB48" s="228">
        <v>1.1000000000000001</v>
      </c>
      <c r="AC48" s="228">
        <v>0.95</v>
      </c>
      <c r="AD48" s="228">
        <v>0.15</v>
      </c>
      <c r="AE48" s="229">
        <v>2.7000000000000001E-3</v>
      </c>
      <c r="AF48" s="228">
        <v>1.3</v>
      </c>
      <c r="AG48" s="228">
        <v>1.5</v>
      </c>
      <c r="AH48" s="228">
        <v>-0.2</v>
      </c>
      <c r="AI48" s="229">
        <v>3.2000000000000002E-3</v>
      </c>
      <c r="AJ48" s="228">
        <v>3.45</v>
      </c>
      <c r="AK48" s="228">
        <v>3.95</v>
      </c>
      <c r="AL48" s="228">
        <v>-0.5</v>
      </c>
      <c r="AM48" s="229">
        <v>8.3999999999999995E-3</v>
      </c>
      <c r="AN48" s="228">
        <v>410.35</v>
      </c>
      <c r="AO48" s="228">
        <v>410.59</v>
      </c>
      <c r="AP48" s="228">
        <v>0</v>
      </c>
      <c r="AQ48" s="230">
        <v>48789</v>
      </c>
      <c r="AR48" s="230">
        <v>46377</v>
      </c>
      <c r="AS48" s="230">
        <v>2412</v>
      </c>
      <c r="AT48" s="229">
        <v>5.1999999999999998E-2</v>
      </c>
      <c r="AU48" s="230">
        <v>23590</v>
      </c>
      <c r="AV48" s="230">
        <v>23541</v>
      </c>
      <c r="AW48" s="228">
        <v>49</v>
      </c>
      <c r="AX48" s="229">
        <v>2.0999999999999999E-3</v>
      </c>
      <c r="AY48" s="230">
        <v>24034</v>
      </c>
      <c r="AZ48" s="230">
        <v>22173</v>
      </c>
      <c r="BA48" s="230">
        <v>1861</v>
      </c>
      <c r="BB48" s="229">
        <v>8.3900000000000002E-2</v>
      </c>
      <c r="BC48" s="230">
        <v>1165</v>
      </c>
      <c r="BD48" s="228">
        <v>663</v>
      </c>
      <c r="BE48" s="228">
        <v>502</v>
      </c>
      <c r="BF48" s="229">
        <v>0.75719999999999998</v>
      </c>
      <c r="BG48" s="230">
        <v>66516</v>
      </c>
      <c r="BH48" s="230">
        <v>53447</v>
      </c>
      <c r="BI48" s="230">
        <v>13069</v>
      </c>
      <c r="BJ48" s="229">
        <v>0.2445</v>
      </c>
      <c r="BK48" s="230">
        <v>28857</v>
      </c>
      <c r="BL48" s="230">
        <v>25916</v>
      </c>
      <c r="BM48" s="230">
        <v>2941</v>
      </c>
      <c r="BN48" s="229">
        <v>0.1135</v>
      </c>
      <c r="BO48" s="230">
        <v>144162</v>
      </c>
      <c r="BP48" s="230">
        <v>125740</v>
      </c>
      <c r="BQ48" s="230">
        <v>18422</v>
      </c>
      <c r="BR48" s="229">
        <v>0.14649999999999999</v>
      </c>
      <c r="BS48" s="230">
        <v>10699376</v>
      </c>
      <c r="BT48" s="230">
        <v>6311744</v>
      </c>
      <c r="BU48" s="230">
        <v>4387632</v>
      </c>
      <c r="BV48" s="229">
        <v>0.69520000000000004</v>
      </c>
      <c r="BW48" s="230">
        <v>47612000</v>
      </c>
      <c r="BX48" s="230">
        <v>44744800</v>
      </c>
      <c r="BY48" s="230">
        <v>2867200</v>
      </c>
      <c r="BZ48" s="229">
        <v>6.4100000000000004E-2</v>
      </c>
      <c r="CA48" s="230">
        <v>6508000</v>
      </c>
      <c r="CB48" s="230">
        <v>13712000</v>
      </c>
      <c r="CC48" s="230">
        <v>-7204000</v>
      </c>
      <c r="CD48" s="229">
        <v>-0.52539999999999998</v>
      </c>
      <c r="CE48" s="230">
        <v>39254400</v>
      </c>
      <c r="CF48" s="230">
        <v>29256800</v>
      </c>
      <c r="CG48" s="230">
        <v>9997600</v>
      </c>
      <c r="CH48" s="229">
        <v>0.3417</v>
      </c>
      <c r="CI48" s="230">
        <v>1849600</v>
      </c>
      <c r="CJ48" s="230">
        <v>1776000</v>
      </c>
      <c r="CK48" s="230">
        <v>73600</v>
      </c>
      <c r="CL48" s="229">
        <v>4.1399999999999999E-2</v>
      </c>
      <c r="CM48" s="230">
        <v>34969600</v>
      </c>
      <c r="CN48" s="230">
        <v>38435200</v>
      </c>
      <c r="CO48" s="230">
        <v>-3465600</v>
      </c>
      <c r="CP48" s="229">
        <v>-9.0200000000000002E-2</v>
      </c>
      <c r="CQ48" s="230">
        <v>20547200</v>
      </c>
      <c r="CR48" s="230">
        <v>19805600</v>
      </c>
      <c r="CS48" s="230">
        <v>741600</v>
      </c>
      <c r="CT48" s="229">
        <v>3.7400000000000003E-2</v>
      </c>
      <c r="CU48" s="230">
        <v>103128800</v>
      </c>
      <c r="CV48" s="230">
        <v>102985600</v>
      </c>
      <c r="CW48" s="230">
        <v>143200</v>
      </c>
      <c r="CX48" s="229">
        <v>1.4E-3</v>
      </c>
      <c r="CY48" s="228">
        <v>35.57</v>
      </c>
      <c r="CZ48" s="228">
        <v>35.86</v>
      </c>
      <c r="DA48" s="228">
        <v>-0.28999999999999998</v>
      </c>
      <c r="DB48" s="228">
        <v>-0.28999999999999998</v>
      </c>
      <c r="DC48" s="228">
        <v>35.39</v>
      </c>
      <c r="DD48" s="228">
        <v>35.4</v>
      </c>
      <c r="DE48" s="228">
        <v>0.18</v>
      </c>
      <c r="DF48" s="228">
        <v>-0.01</v>
      </c>
      <c r="DG48" s="228">
        <v>35.74</v>
      </c>
      <c r="DH48" s="228">
        <v>36.130000000000003</v>
      </c>
      <c r="DI48" s="228">
        <v>-0.39</v>
      </c>
      <c r="DJ48" s="228">
        <v>-0.39</v>
      </c>
      <c r="DK48" s="228">
        <v>35.29</v>
      </c>
      <c r="DL48" s="228">
        <v>35.409999999999997</v>
      </c>
      <c r="DM48" s="228">
        <v>-0.12</v>
      </c>
      <c r="DN48" s="228">
        <v>-0.12</v>
      </c>
      <c r="DO48" s="228">
        <v>0.59</v>
      </c>
      <c r="DP48" s="228">
        <v>0.52</v>
      </c>
      <c r="DQ48" s="228">
        <v>7.0000000000000007E-2</v>
      </c>
      <c r="DR48" s="229">
        <v>0.1346</v>
      </c>
      <c r="DS48" s="228">
        <v>470</v>
      </c>
      <c r="DT48" s="228">
        <v>400</v>
      </c>
      <c r="DU48" s="228">
        <v>0.43</v>
      </c>
      <c r="DV48" s="228">
        <v>0.48</v>
      </c>
      <c r="DW48" s="228">
        <v>-0.05</v>
      </c>
      <c r="DX48" s="229">
        <v>-0.1042</v>
      </c>
      <c r="DY48" s="229">
        <v>0.86329999999999996</v>
      </c>
      <c r="DZ48" s="230">
        <v>31032800</v>
      </c>
      <c r="EA48" s="229">
        <v>5.0000000000000001E-4</v>
      </c>
      <c r="EB48" s="229">
        <v>0.86329999999999996</v>
      </c>
      <c r="EC48" s="228">
        <v>0.24</v>
      </c>
      <c r="ED48" s="229">
        <v>5.9999999999999995E-4</v>
      </c>
      <c r="EE48" s="230">
        <v>5846817</v>
      </c>
      <c r="EF48" s="230">
        <v>2941675</v>
      </c>
      <c r="EG48" s="229">
        <v>0.98760000000000003</v>
      </c>
      <c r="EH48" s="229">
        <v>0.54649999999999999</v>
      </c>
      <c r="EI48" s="231">
        <v>228070.62</v>
      </c>
      <c r="EJ48" s="231">
        <v>91621.93</v>
      </c>
      <c r="EK48" s="231">
        <v>160230.39999999999</v>
      </c>
      <c r="EL48" s="231">
        <v>46377</v>
      </c>
      <c r="EM48" s="231">
        <v>479922.95</v>
      </c>
      <c r="EN48" s="231">
        <v>418352.75</v>
      </c>
      <c r="EO48" s="231">
        <v>61570.2</v>
      </c>
      <c r="EP48" s="229">
        <v>0.1472</v>
      </c>
      <c r="EQ48" s="231">
        <v>154238</v>
      </c>
      <c r="ER48" s="231">
        <v>77914</v>
      </c>
      <c r="ES48" s="231">
        <v>195879</v>
      </c>
      <c r="ET48" s="231">
        <v>284575867</v>
      </c>
      <c r="EU48" s="231">
        <v>428030</v>
      </c>
      <c r="EV48" s="231">
        <v>423921</v>
      </c>
      <c r="EW48" s="231">
        <v>4109</v>
      </c>
      <c r="EX48" s="229">
        <v>9.7000000000000003E-3</v>
      </c>
      <c r="EY48" s="229">
        <v>0.3624</v>
      </c>
    </row>
    <row r="49" spans="1:155" ht="17.25" thickBot="1" x14ac:dyDescent="0.3">
      <c r="A49" s="226">
        <v>45957</v>
      </c>
      <c r="B49" s="227" t="s">
        <v>197</v>
      </c>
      <c r="C49" s="227" t="s">
        <v>482</v>
      </c>
      <c r="D49" s="231">
        <v>4806.3</v>
      </c>
      <c r="E49" s="231">
        <v>4784.3</v>
      </c>
      <c r="F49" s="228">
        <v>22</v>
      </c>
      <c r="G49" s="229">
        <v>4.5999999999999999E-3</v>
      </c>
      <c r="H49" s="231">
        <v>4798.7</v>
      </c>
      <c r="I49" s="231">
        <v>4789.6000000000004</v>
      </c>
      <c r="J49" s="228">
        <v>9.1</v>
      </c>
      <c r="K49" s="229">
        <v>1.9E-3</v>
      </c>
      <c r="L49" s="231">
        <v>4806.3</v>
      </c>
      <c r="M49" s="231">
        <v>4784.3</v>
      </c>
      <c r="N49" s="228">
        <v>22</v>
      </c>
      <c r="O49" s="229">
        <v>4.5999999999999999E-3</v>
      </c>
      <c r="P49" s="231">
        <v>4830.8999999999996</v>
      </c>
      <c r="Q49" s="231">
        <v>4808.8</v>
      </c>
      <c r="R49" s="228">
        <v>22.1</v>
      </c>
      <c r="S49" s="229">
        <v>4.5999999999999999E-3</v>
      </c>
      <c r="T49" s="231">
        <v>4865.8999999999996</v>
      </c>
      <c r="U49" s="231">
        <v>4842.3</v>
      </c>
      <c r="V49" s="228">
        <v>23.6</v>
      </c>
      <c r="W49" s="229">
        <v>4.8999999999999998E-3</v>
      </c>
      <c r="X49" s="228">
        <v>7.6</v>
      </c>
      <c r="Y49" s="228">
        <v>-5.3</v>
      </c>
      <c r="Z49" s="228">
        <v>12.9</v>
      </c>
      <c r="AA49" s="229">
        <v>1.6000000000000001E-3</v>
      </c>
      <c r="AB49" s="228">
        <v>7.6</v>
      </c>
      <c r="AC49" s="228">
        <v>-5.3</v>
      </c>
      <c r="AD49" s="228">
        <v>12.9</v>
      </c>
      <c r="AE49" s="229">
        <v>1.6000000000000001E-3</v>
      </c>
      <c r="AF49" s="228">
        <v>32.200000000000003</v>
      </c>
      <c r="AG49" s="228">
        <v>19.2</v>
      </c>
      <c r="AH49" s="228">
        <v>13</v>
      </c>
      <c r="AI49" s="229">
        <v>6.7000000000000002E-3</v>
      </c>
      <c r="AJ49" s="228">
        <v>67.2</v>
      </c>
      <c r="AK49" s="228">
        <v>52.7</v>
      </c>
      <c r="AL49" s="228">
        <v>14.5</v>
      </c>
      <c r="AM49" s="229">
        <v>1.4E-2</v>
      </c>
      <c r="AN49" s="231">
        <v>4808.01</v>
      </c>
      <c r="AO49" s="231">
        <v>4833.5200000000004</v>
      </c>
      <c r="AP49" s="228">
        <v>0</v>
      </c>
      <c r="AQ49" s="230">
        <v>48540</v>
      </c>
      <c r="AR49" s="230">
        <v>47686</v>
      </c>
      <c r="AS49" s="228">
        <v>854</v>
      </c>
      <c r="AT49" s="229">
        <v>1.7899999999999999E-2</v>
      </c>
      <c r="AU49" s="230">
        <v>23972</v>
      </c>
      <c r="AV49" s="230">
        <v>24785</v>
      </c>
      <c r="AW49" s="228">
        <v>-813</v>
      </c>
      <c r="AX49" s="229">
        <v>-3.2800000000000003E-2</v>
      </c>
      <c r="AY49" s="230">
        <v>23955</v>
      </c>
      <c r="AZ49" s="230">
        <v>22681</v>
      </c>
      <c r="BA49" s="230">
        <v>1274</v>
      </c>
      <c r="BB49" s="229">
        <v>5.62E-2</v>
      </c>
      <c r="BC49" s="228">
        <v>613</v>
      </c>
      <c r="BD49" s="228">
        <v>220</v>
      </c>
      <c r="BE49" s="228">
        <v>393</v>
      </c>
      <c r="BF49" s="229">
        <v>1.7864</v>
      </c>
      <c r="BG49" s="230">
        <v>63500</v>
      </c>
      <c r="BH49" s="230">
        <v>44303</v>
      </c>
      <c r="BI49" s="230">
        <v>19197</v>
      </c>
      <c r="BJ49" s="229">
        <v>0.43330000000000002</v>
      </c>
      <c r="BK49" s="230">
        <v>26483</v>
      </c>
      <c r="BL49" s="230">
        <v>19877</v>
      </c>
      <c r="BM49" s="230">
        <v>6606</v>
      </c>
      <c r="BN49" s="229">
        <v>0.33229999999999998</v>
      </c>
      <c r="BO49" s="230">
        <v>138523</v>
      </c>
      <c r="BP49" s="230">
        <v>111866</v>
      </c>
      <c r="BQ49" s="230">
        <v>26657</v>
      </c>
      <c r="BR49" s="229">
        <v>0.23830000000000001</v>
      </c>
      <c r="BS49" s="230">
        <v>427023</v>
      </c>
      <c r="BT49" s="230">
        <v>533100</v>
      </c>
      <c r="BU49" s="230">
        <v>-106077</v>
      </c>
      <c r="BV49" s="229">
        <v>-0.19900000000000001</v>
      </c>
      <c r="BW49" s="230">
        <v>8277400</v>
      </c>
      <c r="BX49" s="230">
        <v>8378300</v>
      </c>
      <c r="BY49" s="230">
        <v>-100900</v>
      </c>
      <c r="BZ49" s="229">
        <v>-1.2E-2</v>
      </c>
      <c r="CA49" s="230">
        <v>1670300</v>
      </c>
      <c r="CB49" s="230">
        <v>3462900</v>
      </c>
      <c r="CC49" s="230">
        <v>-1792600</v>
      </c>
      <c r="CD49" s="229">
        <v>-0.51770000000000005</v>
      </c>
      <c r="CE49" s="230">
        <v>6471000</v>
      </c>
      <c r="CF49" s="230">
        <v>4819100</v>
      </c>
      <c r="CG49" s="230">
        <v>1651900</v>
      </c>
      <c r="CH49" s="229">
        <v>0.34279999999999999</v>
      </c>
      <c r="CI49" s="230">
        <v>136100</v>
      </c>
      <c r="CJ49" s="230">
        <v>96300</v>
      </c>
      <c r="CK49" s="230">
        <v>39800</v>
      </c>
      <c r="CL49" s="229">
        <v>0.4133</v>
      </c>
      <c r="CM49" s="230">
        <v>4237100</v>
      </c>
      <c r="CN49" s="230">
        <v>4961200</v>
      </c>
      <c r="CO49" s="230">
        <v>-724100</v>
      </c>
      <c r="CP49" s="229">
        <v>-0.14599999999999999</v>
      </c>
      <c r="CQ49" s="230">
        <v>2318600</v>
      </c>
      <c r="CR49" s="230">
        <v>2493100</v>
      </c>
      <c r="CS49" s="230">
        <v>-174500</v>
      </c>
      <c r="CT49" s="229">
        <v>-7.0000000000000007E-2</v>
      </c>
      <c r="CU49" s="230">
        <v>14833100</v>
      </c>
      <c r="CV49" s="230">
        <v>15832600</v>
      </c>
      <c r="CW49" s="230">
        <v>-999500</v>
      </c>
      <c r="CX49" s="229">
        <v>-6.3100000000000003E-2</v>
      </c>
      <c r="CY49" s="228">
        <v>33.35</v>
      </c>
      <c r="CZ49" s="228">
        <v>33.700000000000003</v>
      </c>
      <c r="DA49" s="228">
        <v>-0.35</v>
      </c>
      <c r="DB49" s="228">
        <v>-0.35</v>
      </c>
      <c r="DC49" s="228">
        <v>44.41</v>
      </c>
      <c r="DD49" s="228">
        <v>44.51</v>
      </c>
      <c r="DE49" s="228">
        <v>-11.06</v>
      </c>
      <c r="DF49" s="228">
        <v>-0.1</v>
      </c>
      <c r="DG49" s="228">
        <v>33.6</v>
      </c>
      <c r="DH49" s="228">
        <v>33.86</v>
      </c>
      <c r="DI49" s="228">
        <v>-0.26</v>
      </c>
      <c r="DJ49" s="228">
        <v>-0.26</v>
      </c>
      <c r="DK49" s="228">
        <v>32.93</v>
      </c>
      <c r="DL49" s="228">
        <v>33.43</v>
      </c>
      <c r="DM49" s="228">
        <v>-0.5</v>
      </c>
      <c r="DN49" s="228">
        <v>-0.5</v>
      </c>
      <c r="DO49" s="228">
        <v>0.55000000000000004</v>
      </c>
      <c r="DP49" s="228">
        <v>0.5</v>
      </c>
      <c r="DQ49" s="228">
        <v>0.05</v>
      </c>
      <c r="DR49" s="229">
        <v>0.1</v>
      </c>
      <c r="DS49" s="231">
        <v>5000</v>
      </c>
      <c r="DT49" s="231">
        <v>4500</v>
      </c>
      <c r="DU49" s="228">
        <v>0.42</v>
      </c>
      <c r="DV49" s="228">
        <v>0.45</v>
      </c>
      <c r="DW49" s="228">
        <v>-0.03</v>
      </c>
      <c r="DX49" s="229">
        <v>-6.6699999999999995E-2</v>
      </c>
      <c r="DY49" s="229">
        <v>0.79820000000000002</v>
      </c>
      <c r="DZ49" s="230">
        <v>4915400</v>
      </c>
      <c r="EA49" s="229">
        <v>5.1000000000000004E-3</v>
      </c>
      <c r="EB49" s="229">
        <v>0.79820000000000002</v>
      </c>
      <c r="EC49" s="228">
        <v>25.51</v>
      </c>
      <c r="ED49" s="229">
        <v>5.3E-3</v>
      </c>
      <c r="EE49" s="230">
        <v>207545</v>
      </c>
      <c r="EF49" s="230">
        <v>306272</v>
      </c>
      <c r="EG49" s="229">
        <v>-0.32240000000000002</v>
      </c>
      <c r="EH49" s="229">
        <v>0.48599999999999999</v>
      </c>
      <c r="EI49" s="231">
        <v>321938.53000000003</v>
      </c>
      <c r="EJ49" s="231">
        <v>126847.48</v>
      </c>
      <c r="EK49" s="231">
        <v>234027.2</v>
      </c>
      <c r="EL49" s="231">
        <v>28140</v>
      </c>
      <c r="EM49" s="231">
        <v>682813.21</v>
      </c>
      <c r="EN49" s="231">
        <v>547515.30000000005</v>
      </c>
      <c r="EO49" s="231">
        <v>135297.91</v>
      </c>
      <c r="EP49" s="229">
        <v>0.24709999999999999</v>
      </c>
      <c r="EQ49" s="231">
        <v>218548</v>
      </c>
      <c r="ER49" s="231">
        <v>109471</v>
      </c>
      <c r="ES49" s="231">
        <v>399510</v>
      </c>
      <c r="ET49" s="231">
        <v>33590487</v>
      </c>
      <c r="EU49" s="231">
        <v>727528</v>
      </c>
      <c r="EV49" s="231">
        <v>775010</v>
      </c>
      <c r="EW49" s="231">
        <v>-47482</v>
      </c>
      <c r="EX49" s="229">
        <v>-6.13E-2</v>
      </c>
      <c r="EY49" s="229">
        <v>0.44159999999999999</v>
      </c>
    </row>
    <row r="50" spans="1:155" ht="17.25" thickBot="1" x14ac:dyDescent="0.3">
      <c r="A50" s="226">
        <v>45957</v>
      </c>
      <c r="B50" s="227" t="s">
        <v>157</v>
      </c>
      <c r="C50" s="227" t="s">
        <v>302</v>
      </c>
      <c r="D50" s="231">
        <v>12036</v>
      </c>
      <c r="E50" s="231">
        <v>11930</v>
      </c>
      <c r="F50" s="228">
        <v>106</v>
      </c>
      <c r="G50" s="229">
        <v>8.8999999999999999E-3</v>
      </c>
      <c r="H50" s="231">
        <v>12015</v>
      </c>
      <c r="I50" s="231">
        <v>11918</v>
      </c>
      <c r="J50" s="228">
        <v>97</v>
      </c>
      <c r="K50" s="229">
        <v>8.0999999999999996E-3</v>
      </c>
      <c r="L50" s="231">
        <v>12036</v>
      </c>
      <c r="M50" s="231">
        <v>11930</v>
      </c>
      <c r="N50" s="228">
        <v>106</v>
      </c>
      <c r="O50" s="229">
        <v>8.8999999999999999E-3</v>
      </c>
      <c r="P50" s="231">
        <v>12102</v>
      </c>
      <c r="Q50" s="231">
        <v>11997</v>
      </c>
      <c r="R50" s="228">
        <v>105</v>
      </c>
      <c r="S50" s="229">
        <v>8.8000000000000005E-3</v>
      </c>
      <c r="T50" s="231">
        <v>12181</v>
      </c>
      <c r="U50" s="231">
        <v>12078</v>
      </c>
      <c r="V50" s="228">
        <v>103</v>
      </c>
      <c r="W50" s="229">
        <v>8.5000000000000006E-3</v>
      </c>
      <c r="X50" s="228">
        <v>21</v>
      </c>
      <c r="Y50" s="228">
        <v>12</v>
      </c>
      <c r="Z50" s="228">
        <v>9</v>
      </c>
      <c r="AA50" s="229">
        <v>1.6999999999999999E-3</v>
      </c>
      <c r="AB50" s="228">
        <v>21</v>
      </c>
      <c r="AC50" s="228">
        <v>12</v>
      </c>
      <c r="AD50" s="228">
        <v>9</v>
      </c>
      <c r="AE50" s="229">
        <v>1.6999999999999999E-3</v>
      </c>
      <c r="AF50" s="228">
        <v>87</v>
      </c>
      <c r="AG50" s="228">
        <v>79</v>
      </c>
      <c r="AH50" s="228">
        <v>8</v>
      </c>
      <c r="AI50" s="229">
        <v>7.1999999999999998E-3</v>
      </c>
      <c r="AJ50" s="228">
        <v>166</v>
      </c>
      <c r="AK50" s="228">
        <v>160</v>
      </c>
      <c r="AL50" s="228">
        <v>6</v>
      </c>
      <c r="AM50" s="229">
        <v>1.38E-2</v>
      </c>
      <c r="AN50" s="231">
        <v>12001.39</v>
      </c>
      <c r="AO50" s="231">
        <v>12068.32</v>
      </c>
      <c r="AP50" s="228">
        <v>0</v>
      </c>
      <c r="AQ50" s="230">
        <v>32528</v>
      </c>
      <c r="AR50" s="230">
        <v>30702</v>
      </c>
      <c r="AS50" s="230">
        <v>1826</v>
      </c>
      <c r="AT50" s="229">
        <v>5.9499999999999997E-2</v>
      </c>
      <c r="AU50" s="230">
        <v>15277</v>
      </c>
      <c r="AV50" s="230">
        <v>14862</v>
      </c>
      <c r="AW50" s="228">
        <v>415</v>
      </c>
      <c r="AX50" s="229">
        <v>2.7900000000000001E-2</v>
      </c>
      <c r="AY50" s="230">
        <v>17085</v>
      </c>
      <c r="AZ50" s="230">
        <v>15704</v>
      </c>
      <c r="BA50" s="230">
        <v>1381</v>
      </c>
      <c r="BB50" s="229">
        <v>8.7900000000000006E-2</v>
      </c>
      <c r="BC50" s="228">
        <v>166</v>
      </c>
      <c r="BD50" s="228">
        <v>136</v>
      </c>
      <c r="BE50" s="228">
        <v>30</v>
      </c>
      <c r="BF50" s="229">
        <v>0.22059999999999999</v>
      </c>
      <c r="BG50" s="230">
        <v>36508</v>
      </c>
      <c r="BH50" s="230">
        <v>42022</v>
      </c>
      <c r="BI50" s="230">
        <v>-5514</v>
      </c>
      <c r="BJ50" s="229">
        <v>-0.13120000000000001</v>
      </c>
      <c r="BK50" s="230">
        <v>19357</v>
      </c>
      <c r="BL50" s="230">
        <v>29157</v>
      </c>
      <c r="BM50" s="230">
        <v>-9800</v>
      </c>
      <c r="BN50" s="229">
        <v>-0.33610000000000001</v>
      </c>
      <c r="BO50" s="230">
        <v>88393</v>
      </c>
      <c r="BP50" s="230">
        <v>101881</v>
      </c>
      <c r="BQ50" s="230">
        <v>-13488</v>
      </c>
      <c r="BR50" s="229">
        <v>-0.13239999999999999</v>
      </c>
      <c r="BS50" s="230">
        <v>464806</v>
      </c>
      <c r="BT50" s="230">
        <v>399375</v>
      </c>
      <c r="BU50" s="230">
        <v>65431</v>
      </c>
      <c r="BV50" s="229">
        <v>0.1638</v>
      </c>
      <c r="BW50" s="230">
        <v>2510650</v>
      </c>
      <c r="BX50" s="230">
        <v>2479950</v>
      </c>
      <c r="BY50" s="230">
        <v>30700</v>
      </c>
      <c r="BZ50" s="229">
        <v>1.24E-2</v>
      </c>
      <c r="CA50" s="230">
        <v>515650</v>
      </c>
      <c r="CB50" s="230">
        <v>1083850</v>
      </c>
      <c r="CC50" s="230">
        <v>-568200</v>
      </c>
      <c r="CD50" s="229">
        <v>-0.5242</v>
      </c>
      <c r="CE50" s="230">
        <v>1978450</v>
      </c>
      <c r="CF50" s="230">
        <v>1383300</v>
      </c>
      <c r="CG50" s="230">
        <v>595150</v>
      </c>
      <c r="CH50" s="229">
        <v>0.43020000000000003</v>
      </c>
      <c r="CI50" s="230">
        <v>16550</v>
      </c>
      <c r="CJ50" s="230">
        <v>12800</v>
      </c>
      <c r="CK50" s="230">
        <v>3750</v>
      </c>
      <c r="CL50" s="229">
        <v>0.29299999999999998</v>
      </c>
      <c r="CM50" s="230">
        <v>826100</v>
      </c>
      <c r="CN50" s="230">
        <v>942200</v>
      </c>
      <c r="CO50" s="230">
        <v>-116100</v>
      </c>
      <c r="CP50" s="229">
        <v>-0.1232</v>
      </c>
      <c r="CQ50" s="230">
        <v>492750</v>
      </c>
      <c r="CR50" s="230">
        <v>504200</v>
      </c>
      <c r="CS50" s="230">
        <v>-11450</v>
      </c>
      <c r="CT50" s="229">
        <v>-2.2700000000000001E-2</v>
      </c>
      <c r="CU50" s="230">
        <v>3829500</v>
      </c>
      <c r="CV50" s="230">
        <v>3926350</v>
      </c>
      <c r="CW50" s="230">
        <v>-96850</v>
      </c>
      <c r="CX50" s="229">
        <v>-2.47E-2</v>
      </c>
      <c r="CY50" s="228">
        <v>18.86</v>
      </c>
      <c r="CZ50" s="228">
        <v>19.63</v>
      </c>
      <c r="DA50" s="228">
        <v>-0.77</v>
      </c>
      <c r="DB50" s="228">
        <v>-0.77</v>
      </c>
      <c r="DC50" s="228">
        <v>25.3</v>
      </c>
      <c r="DD50" s="228">
        <v>25.34</v>
      </c>
      <c r="DE50" s="228">
        <v>-6.44</v>
      </c>
      <c r="DF50" s="228">
        <v>-0.04</v>
      </c>
      <c r="DG50" s="228">
        <v>18.93</v>
      </c>
      <c r="DH50" s="228">
        <v>19.809999999999999</v>
      </c>
      <c r="DI50" s="228">
        <v>-0.88</v>
      </c>
      <c r="DJ50" s="228">
        <v>-0.88</v>
      </c>
      <c r="DK50" s="228">
        <v>18.73</v>
      </c>
      <c r="DL50" s="228">
        <v>19.34</v>
      </c>
      <c r="DM50" s="228">
        <v>-0.61</v>
      </c>
      <c r="DN50" s="228">
        <v>-0.61</v>
      </c>
      <c r="DO50" s="228">
        <v>0.6</v>
      </c>
      <c r="DP50" s="228">
        <v>0.54</v>
      </c>
      <c r="DQ50" s="228">
        <v>0.06</v>
      </c>
      <c r="DR50" s="229">
        <v>0.1111</v>
      </c>
      <c r="DS50" s="231">
        <v>13000</v>
      </c>
      <c r="DT50" s="231">
        <v>12200</v>
      </c>
      <c r="DU50" s="228">
        <v>0.53</v>
      </c>
      <c r="DV50" s="228">
        <v>0.69</v>
      </c>
      <c r="DW50" s="228">
        <v>-0.16</v>
      </c>
      <c r="DX50" s="229">
        <v>-0.2319</v>
      </c>
      <c r="DY50" s="229">
        <v>0.79459999999999997</v>
      </c>
      <c r="DZ50" s="230">
        <v>1396100</v>
      </c>
      <c r="EA50" s="229">
        <v>5.4999999999999997E-3</v>
      </c>
      <c r="EB50" s="229">
        <v>0.79459999999999997</v>
      </c>
      <c r="EC50" s="228">
        <v>66.930000000000007</v>
      </c>
      <c r="ED50" s="229">
        <v>5.5999999999999999E-3</v>
      </c>
      <c r="EE50" s="230">
        <v>381416</v>
      </c>
      <c r="EF50" s="230">
        <v>301744</v>
      </c>
      <c r="EG50" s="229">
        <v>0.26400000000000001</v>
      </c>
      <c r="EH50" s="229">
        <v>0.8206</v>
      </c>
      <c r="EI50" s="231">
        <v>225886.26</v>
      </c>
      <c r="EJ50" s="231">
        <v>115491.98</v>
      </c>
      <c r="EK50" s="231">
        <v>195773.86</v>
      </c>
      <c r="EL50" s="231">
        <v>17839</v>
      </c>
      <c r="EM50" s="231">
        <v>537152.1</v>
      </c>
      <c r="EN50" s="231">
        <v>619629.63</v>
      </c>
      <c r="EO50" s="231">
        <v>-82477.53</v>
      </c>
      <c r="EP50" s="229">
        <v>-0.1331</v>
      </c>
      <c r="EQ50" s="231">
        <v>104537</v>
      </c>
      <c r="ER50" s="231">
        <v>58063</v>
      </c>
      <c r="ES50" s="231">
        <v>303512</v>
      </c>
      <c r="ET50" s="231">
        <v>11962066</v>
      </c>
      <c r="EU50" s="231">
        <v>466112</v>
      </c>
      <c r="EV50" s="231">
        <v>475193</v>
      </c>
      <c r="EW50" s="231">
        <v>-9081</v>
      </c>
      <c r="EX50" s="229">
        <v>-1.9099999999999999E-2</v>
      </c>
      <c r="EY50" s="229">
        <v>0.3201</v>
      </c>
    </row>
    <row r="51" spans="1:155" ht="17.25" thickBot="1" x14ac:dyDescent="0.3">
      <c r="A51" s="226">
        <v>45957</v>
      </c>
      <c r="B51" s="227" t="s">
        <v>221</v>
      </c>
      <c r="C51" s="227" t="s">
        <v>306</v>
      </c>
      <c r="D51" s="228">
        <v>244.6</v>
      </c>
      <c r="E51" s="228">
        <v>243.58</v>
      </c>
      <c r="F51" s="228">
        <v>1.02</v>
      </c>
      <c r="G51" s="229">
        <v>4.1999999999999997E-3</v>
      </c>
      <c r="H51" s="228">
        <v>243.91</v>
      </c>
      <c r="I51" s="228">
        <v>242.98</v>
      </c>
      <c r="J51" s="228">
        <v>0.93</v>
      </c>
      <c r="K51" s="229">
        <v>3.8E-3</v>
      </c>
      <c r="L51" s="228">
        <v>244.6</v>
      </c>
      <c r="M51" s="228">
        <v>243.58</v>
      </c>
      <c r="N51" s="228">
        <v>1.02</v>
      </c>
      <c r="O51" s="229">
        <v>4.1999999999999997E-3</v>
      </c>
      <c r="P51" s="228">
        <v>243.52</v>
      </c>
      <c r="Q51" s="228">
        <v>242.14</v>
      </c>
      <c r="R51" s="228">
        <v>1.38</v>
      </c>
      <c r="S51" s="229">
        <v>5.7000000000000002E-3</v>
      </c>
      <c r="T51" s="228">
        <v>242.8</v>
      </c>
      <c r="U51" s="228">
        <v>241.31</v>
      </c>
      <c r="V51" s="228">
        <v>1.49</v>
      </c>
      <c r="W51" s="229">
        <v>6.1999999999999998E-3</v>
      </c>
      <c r="X51" s="228">
        <v>0.69</v>
      </c>
      <c r="Y51" s="228">
        <v>0.6</v>
      </c>
      <c r="Z51" s="228">
        <v>0.09</v>
      </c>
      <c r="AA51" s="229">
        <v>2.8E-3</v>
      </c>
      <c r="AB51" s="228">
        <v>0.69</v>
      </c>
      <c r="AC51" s="228">
        <v>0.6</v>
      </c>
      <c r="AD51" s="228">
        <v>0.09</v>
      </c>
      <c r="AE51" s="229">
        <v>2.8E-3</v>
      </c>
      <c r="AF51" s="228">
        <v>-0.39</v>
      </c>
      <c r="AG51" s="228">
        <v>-0.84</v>
      </c>
      <c r="AH51" s="228">
        <v>0.45</v>
      </c>
      <c r="AI51" s="229">
        <v>-1.6000000000000001E-3</v>
      </c>
      <c r="AJ51" s="228">
        <v>-1.1100000000000001</v>
      </c>
      <c r="AK51" s="228">
        <v>-1.67</v>
      </c>
      <c r="AL51" s="228">
        <v>0.56000000000000005</v>
      </c>
      <c r="AM51" s="229">
        <v>-4.5999999999999999E-3</v>
      </c>
      <c r="AN51" s="228">
        <v>245.02</v>
      </c>
      <c r="AO51" s="228">
        <v>243.75</v>
      </c>
      <c r="AP51" s="228">
        <v>0</v>
      </c>
      <c r="AQ51" s="230">
        <v>34547</v>
      </c>
      <c r="AR51" s="230">
        <v>34308</v>
      </c>
      <c r="AS51" s="228">
        <v>239</v>
      </c>
      <c r="AT51" s="229">
        <v>7.0000000000000001E-3</v>
      </c>
      <c r="AU51" s="230">
        <v>16709</v>
      </c>
      <c r="AV51" s="230">
        <v>16809</v>
      </c>
      <c r="AW51" s="228">
        <v>-100</v>
      </c>
      <c r="AX51" s="229">
        <v>-5.8999999999999999E-3</v>
      </c>
      <c r="AY51" s="230">
        <v>17475</v>
      </c>
      <c r="AZ51" s="230">
        <v>17218</v>
      </c>
      <c r="BA51" s="228">
        <v>257</v>
      </c>
      <c r="BB51" s="229">
        <v>1.49E-2</v>
      </c>
      <c r="BC51" s="228">
        <v>363</v>
      </c>
      <c r="BD51" s="228">
        <v>281</v>
      </c>
      <c r="BE51" s="228">
        <v>82</v>
      </c>
      <c r="BF51" s="229">
        <v>0.2918</v>
      </c>
      <c r="BG51" s="230">
        <v>22869</v>
      </c>
      <c r="BH51" s="230">
        <v>21766</v>
      </c>
      <c r="BI51" s="230">
        <v>1103</v>
      </c>
      <c r="BJ51" s="229">
        <v>5.0700000000000002E-2</v>
      </c>
      <c r="BK51" s="230">
        <v>11678</v>
      </c>
      <c r="BL51" s="230">
        <v>15068</v>
      </c>
      <c r="BM51" s="230">
        <v>-3390</v>
      </c>
      <c r="BN51" s="229">
        <v>-0.22500000000000001</v>
      </c>
      <c r="BO51" s="230">
        <v>69094</v>
      </c>
      <c r="BP51" s="230">
        <v>71142</v>
      </c>
      <c r="BQ51" s="230">
        <v>-2048</v>
      </c>
      <c r="BR51" s="229">
        <v>-2.8799999999999999E-2</v>
      </c>
      <c r="BS51" s="230">
        <v>9757644</v>
      </c>
      <c r="BT51" s="230">
        <v>7093779</v>
      </c>
      <c r="BU51" s="230">
        <v>2663865</v>
      </c>
      <c r="BV51" s="229">
        <v>0.3755</v>
      </c>
      <c r="BW51" s="230">
        <v>160245000</v>
      </c>
      <c r="BX51" s="230">
        <v>163068000</v>
      </c>
      <c r="BY51" s="230">
        <v>-2823000</v>
      </c>
      <c r="BZ51" s="229">
        <v>-1.7299999999999999E-2</v>
      </c>
      <c r="CA51" s="230">
        <v>21759000</v>
      </c>
      <c r="CB51" s="230">
        <v>50490000</v>
      </c>
      <c r="CC51" s="230">
        <v>-28731000</v>
      </c>
      <c r="CD51" s="229">
        <v>-0.56899999999999995</v>
      </c>
      <c r="CE51" s="230">
        <v>134286000</v>
      </c>
      <c r="CF51" s="230">
        <v>108534000</v>
      </c>
      <c r="CG51" s="230">
        <v>25752000</v>
      </c>
      <c r="CH51" s="229">
        <v>0.23730000000000001</v>
      </c>
      <c r="CI51" s="230">
        <v>4200000</v>
      </c>
      <c r="CJ51" s="230">
        <v>4044000</v>
      </c>
      <c r="CK51" s="230">
        <v>156000</v>
      </c>
      <c r="CL51" s="229">
        <v>3.8600000000000002E-2</v>
      </c>
      <c r="CM51" s="230">
        <v>68880000</v>
      </c>
      <c r="CN51" s="230">
        <v>73722000</v>
      </c>
      <c r="CO51" s="230">
        <v>-4842000</v>
      </c>
      <c r="CP51" s="229">
        <v>-6.5699999999999995E-2</v>
      </c>
      <c r="CQ51" s="230">
        <v>45372000</v>
      </c>
      <c r="CR51" s="230">
        <v>46773000</v>
      </c>
      <c r="CS51" s="230">
        <v>-1401000</v>
      </c>
      <c r="CT51" s="229">
        <v>-0.03</v>
      </c>
      <c r="CU51" s="230">
        <v>274497000</v>
      </c>
      <c r="CV51" s="230">
        <v>283563000</v>
      </c>
      <c r="CW51" s="230">
        <v>-9066000</v>
      </c>
      <c r="CX51" s="229">
        <v>-3.2000000000000001E-2</v>
      </c>
      <c r="CY51" s="228">
        <v>23.59</v>
      </c>
      <c r="CZ51" s="228">
        <v>23.69</v>
      </c>
      <c r="DA51" s="228">
        <v>-0.1</v>
      </c>
      <c r="DB51" s="228">
        <v>-0.1</v>
      </c>
      <c r="DC51" s="228">
        <v>31.23</v>
      </c>
      <c r="DD51" s="228">
        <v>31.3</v>
      </c>
      <c r="DE51" s="228">
        <v>-7.64</v>
      </c>
      <c r="DF51" s="228">
        <v>-7.0000000000000007E-2</v>
      </c>
      <c r="DG51" s="228">
        <v>23.85</v>
      </c>
      <c r="DH51" s="228">
        <v>23.92</v>
      </c>
      <c r="DI51" s="228">
        <v>-7.0000000000000007E-2</v>
      </c>
      <c r="DJ51" s="228">
        <v>-7.0000000000000007E-2</v>
      </c>
      <c r="DK51" s="228">
        <v>23.13</v>
      </c>
      <c r="DL51" s="228">
        <v>23.29</v>
      </c>
      <c r="DM51" s="228">
        <v>-0.16</v>
      </c>
      <c r="DN51" s="228">
        <v>-0.16</v>
      </c>
      <c r="DO51" s="228">
        <v>0.66</v>
      </c>
      <c r="DP51" s="228">
        <v>0.63</v>
      </c>
      <c r="DQ51" s="228">
        <v>0.03</v>
      </c>
      <c r="DR51" s="229">
        <v>4.7600000000000003E-2</v>
      </c>
      <c r="DS51" s="228">
        <v>250</v>
      </c>
      <c r="DT51" s="228">
        <v>240</v>
      </c>
      <c r="DU51" s="228">
        <v>0.51</v>
      </c>
      <c r="DV51" s="228">
        <v>0.69</v>
      </c>
      <c r="DW51" s="228">
        <v>-0.18</v>
      </c>
      <c r="DX51" s="229">
        <v>-0.26090000000000002</v>
      </c>
      <c r="DY51" s="229">
        <v>0.86419999999999997</v>
      </c>
      <c r="DZ51" s="230">
        <v>112578000</v>
      </c>
      <c r="EA51" s="229">
        <v>-4.4000000000000003E-3</v>
      </c>
      <c r="EB51" s="229">
        <v>0.86419999999999997</v>
      </c>
      <c r="EC51" s="228">
        <v>-1.27</v>
      </c>
      <c r="ED51" s="229">
        <v>-5.1999999999999998E-3</v>
      </c>
      <c r="EE51" s="230">
        <v>5994618</v>
      </c>
      <c r="EF51" s="230">
        <v>4047496</v>
      </c>
      <c r="EG51" s="229">
        <v>0.48110000000000003</v>
      </c>
      <c r="EH51" s="229">
        <v>0.61439999999999995</v>
      </c>
      <c r="EI51" s="231">
        <v>172493.53</v>
      </c>
      <c r="EJ51" s="231">
        <v>86440.74</v>
      </c>
      <c r="EK51" s="231">
        <v>253256.44</v>
      </c>
      <c r="EL51" s="231">
        <v>26482</v>
      </c>
      <c r="EM51" s="231">
        <v>512190.71</v>
      </c>
      <c r="EN51" s="231">
        <v>526142.09</v>
      </c>
      <c r="EO51" s="231">
        <v>-13951.38</v>
      </c>
      <c r="EP51" s="229">
        <v>-2.6499999999999999E-2</v>
      </c>
      <c r="EQ51" s="231">
        <v>176050</v>
      </c>
      <c r="ER51" s="231">
        <v>107778</v>
      </c>
      <c r="ES51" s="231">
        <v>390433</v>
      </c>
      <c r="ET51" s="231">
        <v>292948819</v>
      </c>
      <c r="EU51" s="231">
        <v>674261</v>
      </c>
      <c r="EV51" s="231">
        <v>694560</v>
      </c>
      <c r="EW51" s="231">
        <v>-20299</v>
      </c>
      <c r="EX51" s="229">
        <v>-2.92E-2</v>
      </c>
      <c r="EY51" s="229">
        <v>0.93700000000000006</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K8" sqref="K8"/>
    </sheetView>
  </sheetViews>
  <sheetFormatPr defaultColWidth="13.7109375" defaultRowHeight="15" x14ac:dyDescent="0.25"/>
  <cols>
    <col min="1" max="1" width="23.85546875" customWidth="1"/>
    <col min="2" max="2" width="11.8554687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45957</v>
      </c>
      <c r="C2" s="230">
        <v>22838513</v>
      </c>
      <c r="D2" s="230">
        <v>4184498</v>
      </c>
      <c r="E2" s="230">
        <v>22858443</v>
      </c>
      <c r="F2" s="230">
        <v>4195014</v>
      </c>
      <c r="G2" s="230">
        <v>-19930</v>
      </c>
      <c r="H2" s="230">
        <v>-10515</v>
      </c>
      <c r="I2" s="230">
        <v>11922172</v>
      </c>
      <c r="J2" s="230">
        <v>1548698</v>
      </c>
      <c r="K2" s="230">
        <v>-156314</v>
      </c>
      <c r="L2" s="230">
        <v>-17333</v>
      </c>
      <c r="M2" s="230">
        <v>11765858</v>
      </c>
      <c r="N2" s="230">
        <v>1531366</v>
      </c>
      <c r="O2" s="61"/>
      <c r="P2" s="61"/>
      <c r="Q2" s="61"/>
      <c r="R2" s="61"/>
      <c r="S2" s="61"/>
      <c r="U2" t="s">
        <v>453</v>
      </c>
      <c r="V2">
        <f>SUM('Data Vlaue (Cr)'!CD:CD)</f>
        <v>251544</v>
      </c>
      <c r="W2" t="s">
        <v>454</v>
      </c>
    </row>
    <row r="3" spans="1:23" ht="17.25" thickBot="1" x14ac:dyDescent="0.3">
      <c r="A3" s="227" t="s">
        <v>617</v>
      </c>
      <c r="B3" s="226">
        <v>45957</v>
      </c>
      <c r="C3" s="230">
        <v>13850</v>
      </c>
      <c r="D3" s="230">
        <v>2826</v>
      </c>
      <c r="E3" s="230">
        <v>14552</v>
      </c>
      <c r="F3" s="230">
        <v>2966</v>
      </c>
      <c r="G3" s="228">
        <v>-702</v>
      </c>
      <c r="H3" s="228">
        <v>-140</v>
      </c>
      <c r="I3" s="230">
        <v>39828</v>
      </c>
      <c r="J3" s="230">
        <v>8062</v>
      </c>
      <c r="K3" s="230">
        <v>5626</v>
      </c>
      <c r="L3" s="230">
        <v>1225</v>
      </c>
      <c r="M3" s="230">
        <v>45454</v>
      </c>
      <c r="N3" s="230">
        <v>9287</v>
      </c>
      <c r="O3" s="61"/>
      <c r="P3" s="61"/>
      <c r="Q3" s="61"/>
      <c r="R3" s="61"/>
      <c r="S3" s="61"/>
      <c r="U3" t="s">
        <v>453</v>
      </c>
      <c r="V3">
        <f>SUM('Data shares'!CC:CC)</f>
        <v>6836324836</v>
      </c>
      <c r="W3" t="s">
        <v>455</v>
      </c>
    </row>
    <row r="4" spans="1:23" ht="17.25" thickBot="1" x14ac:dyDescent="0.3">
      <c r="A4" s="227" t="s">
        <v>618</v>
      </c>
      <c r="B4" s="226">
        <v>45957</v>
      </c>
      <c r="C4" s="230">
        <v>1205563</v>
      </c>
      <c r="D4" s="230">
        <v>245236</v>
      </c>
      <c r="E4" s="230">
        <v>1212835</v>
      </c>
      <c r="F4" s="230">
        <v>246742</v>
      </c>
      <c r="G4" s="230">
        <v>-7272</v>
      </c>
      <c r="H4" s="230">
        <v>-1506</v>
      </c>
      <c r="I4" s="230">
        <v>415455</v>
      </c>
      <c r="J4" s="230">
        <v>83901</v>
      </c>
      <c r="K4" s="230">
        <v>19604</v>
      </c>
      <c r="L4" s="230">
        <v>4590</v>
      </c>
      <c r="M4" s="230">
        <v>435059</v>
      </c>
      <c r="N4" s="230">
        <v>88491</v>
      </c>
      <c r="O4" s="61"/>
      <c r="P4" s="61"/>
      <c r="Q4" s="61"/>
      <c r="R4" s="61"/>
      <c r="S4" s="61"/>
    </row>
    <row r="5" spans="1:23" ht="17.25" thickBot="1" x14ac:dyDescent="0.3">
      <c r="A5" s="227" t="s">
        <v>619</v>
      </c>
      <c r="B5" s="226">
        <v>45957</v>
      </c>
      <c r="C5" s="228">
        <v>127</v>
      </c>
      <c r="D5" s="228">
        <v>23</v>
      </c>
      <c r="E5" s="228">
        <v>133</v>
      </c>
      <c r="F5" s="228">
        <v>24</v>
      </c>
      <c r="G5" s="228">
        <v>-6</v>
      </c>
      <c r="H5" s="228">
        <v>-1</v>
      </c>
      <c r="I5" s="228">
        <v>359</v>
      </c>
      <c r="J5" s="228">
        <v>64</v>
      </c>
      <c r="K5" s="228">
        <v>-4</v>
      </c>
      <c r="L5" s="228">
        <v>0</v>
      </c>
      <c r="M5" s="228">
        <v>355</v>
      </c>
      <c r="N5" s="228">
        <v>64</v>
      </c>
      <c r="O5" s="61"/>
      <c r="P5" s="61"/>
      <c r="Q5" s="61"/>
      <c r="R5" s="61"/>
      <c r="S5" s="61"/>
    </row>
    <row r="6" spans="1:23" ht="17.25" thickBot="1" x14ac:dyDescent="0.3">
      <c r="A6" s="227" t="s">
        <v>620</v>
      </c>
      <c r="B6" s="226">
        <v>45957</v>
      </c>
      <c r="C6" s="230">
        <v>102785</v>
      </c>
      <c r="D6" s="230">
        <v>18427</v>
      </c>
      <c r="E6" s="230">
        <v>102768</v>
      </c>
      <c r="F6" s="230">
        <v>18419</v>
      </c>
      <c r="G6" s="228">
        <v>17</v>
      </c>
      <c r="H6" s="228">
        <v>8</v>
      </c>
      <c r="I6" s="230">
        <v>17360</v>
      </c>
      <c r="J6" s="230">
        <v>3091</v>
      </c>
      <c r="K6" s="228">
        <v>-885</v>
      </c>
      <c r="L6" s="228">
        <v>-144</v>
      </c>
      <c r="M6" s="230">
        <v>16475</v>
      </c>
      <c r="N6" s="230">
        <v>2947</v>
      </c>
      <c r="O6" s="61"/>
      <c r="P6" s="61"/>
      <c r="Q6" s="61"/>
      <c r="R6" s="61"/>
      <c r="S6" s="61"/>
    </row>
    <row r="7" spans="1:23" ht="17.25" thickBot="1" x14ac:dyDescent="0.3">
      <c r="A7" s="227" t="s">
        <v>621</v>
      </c>
      <c r="B7" s="226">
        <v>45957</v>
      </c>
      <c r="C7" s="230">
        <v>57522</v>
      </c>
      <c r="D7" s="230">
        <v>11294</v>
      </c>
      <c r="E7" s="230">
        <v>58607</v>
      </c>
      <c r="F7" s="230">
        <v>11537</v>
      </c>
      <c r="G7" s="230">
        <v>-1085</v>
      </c>
      <c r="H7" s="228">
        <v>-243</v>
      </c>
      <c r="I7" s="230">
        <v>211701</v>
      </c>
      <c r="J7" s="230">
        <v>41180</v>
      </c>
      <c r="K7" s="230">
        <v>9691</v>
      </c>
      <c r="L7" s="230">
        <v>2334</v>
      </c>
      <c r="M7" s="230">
        <v>221392</v>
      </c>
      <c r="N7" s="230">
        <v>43514</v>
      </c>
    </row>
    <row r="8" spans="1:23" ht="17.25" thickBot="1" x14ac:dyDescent="0.3">
      <c r="A8" s="227" t="s">
        <v>622</v>
      </c>
      <c r="B8" s="226">
        <v>45957</v>
      </c>
      <c r="C8" s="230">
        <v>10278305</v>
      </c>
      <c r="D8" s="230">
        <v>2002162</v>
      </c>
      <c r="E8" s="230">
        <v>10312423</v>
      </c>
      <c r="F8" s="230">
        <v>2008975</v>
      </c>
      <c r="G8" s="230">
        <v>-34118</v>
      </c>
      <c r="H8" s="230">
        <v>-6813</v>
      </c>
      <c r="I8" s="230">
        <v>2628256</v>
      </c>
      <c r="J8" s="230">
        <v>511110</v>
      </c>
      <c r="K8" s="230">
        <v>-82056</v>
      </c>
      <c r="L8" s="230">
        <v>-12337</v>
      </c>
      <c r="M8" s="230">
        <v>2546200</v>
      </c>
      <c r="N8" s="230">
        <v>498773</v>
      </c>
    </row>
    <row r="9" spans="1:23" ht="17.25" thickBot="1" x14ac:dyDescent="0.3">
      <c r="A9" s="227" t="s">
        <v>623</v>
      </c>
      <c r="B9" s="226">
        <v>45957</v>
      </c>
      <c r="C9" s="230">
        <v>6452</v>
      </c>
      <c r="D9" s="230">
        <v>1207</v>
      </c>
      <c r="E9" s="230">
        <v>6570</v>
      </c>
      <c r="F9" s="230">
        <v>1229</v>
      </c>
      <c r="G9" s="228">
        <v>-118</v>
      </c>
      <c r="H9" s="228">
        <v>-22</v>
      </c>
      <c r="I9" s="230">
        <v>19876</v>
      </c>
      <c r="J9" s="230">
        <v>3671</v>
      </c>
      <c r="K9" s="228">
        <v>778</v>
      </c>
      <c r="L9" s="228">
        <v>204</v>
      </c>
      <c r="M9" s="230">
        <v>20654</v>
      </c>
      <c r="N9" s="230">
        <v>3875</v>
      </c>
    </row>
    <row r="10" spans="1:23" ht="17.25" thickBot="1" x14ac:dyDescent="0.3">
      <c r="A10" s="227" t="s">
        <v>624</v>
      </c>
      <c r="B10" s="226">
        <v>45957</v>
      </c>
      <c r="C10" s="230">
        <v>224160</v>
      </c>
      <c r="D10" s="230">
        <v>41789</v>
      </c>
      <c r="E10" s="230">
        <v>226632</v>
      </c>
      <c r="F10" s="230">
        <v>42273</v>
      </c>
      <c r="G10" s="230">
        <v>-2472</v>
      </c>
      <c r="H10" s="228">
        <v>-484</v>
      </c>
      <c r="I10" s="230">
        <v>65769</v>
      </c>
      <c r="J10" s="230">
        <v>12122</v>
      </c>
      <c r="K10" s="230">
        <v>5824</v>
      </c>
      <c r="L10" s="230">
        <v>1254</v>
      </c>
      <c r="M10" s="230">
        <v>71593</v>
      </c>
      <c r="N10" s="230">
        <v>13376</v>
      </c>
    </row>
    <row r="11" spans="1:23" ht="17.25" thickBot="1" x14ac:dyDescent="0.3">
      <c r="A11" s="227" t="s">
        <v>625</v>
      </c>
      <c r="B11" s="226">
        <v>45957</v>
      </c>
      <c r="C11" s="230">
        <v>36974</v>
      </c>
      <c r="D11" s="230">
        <v>7217</v>
      </c>
      <c r="E11" s="230">
        <v>37236</v>
      </c>
      <c r="F11" s="230">
        <v>7298</v>
      </c>
      <c r="G11" s="228">
        <v>-262</v>
      </c>
      <c r="H11" s="228">
        <v>-81</v>
      </c>
      <c r="I11" s="230">
        <v>151149</v>
      </c>
      <c r="J11" s="230">
        <v>29298</v>
      </c>
      <c r="K11" s="230">
        <v>3294</v>
      </c>
      <c r="L11" s="228">
        <v>905</v>
      </c>
      <c r="M11" s="230">
        <v>154443</v>
      </c>
      <c r="N11" s="230">
        <v>30203</v>
      </c>
    </row>
    <row r="12" spans="1:23" ht="17.25" thickBot="1" x14ac:dyDescent="0.3">
      <c r="A12" s="227" t="s">
        <v>626</v>
      </c>
      <c r="B12" s="226">
        <v>45957</v>
      </c>
      <c r="C12" s="230">
        <v>8745039</v>
      </c>
      <c r="D12" s="230">
        <v>1696579</v>
      </c>
      <c r="E12" s="230">
        <v>8769734</v>
      </c>
      <c r="F12" s="230">
        <v>1701463</v>
      </c>
      <c r="G12" s="230">
        <v>-24695</v>
      </c>
      <c r="H12" s="230">
        <v>-4884</v>
      </c>
      <c r="I12" s="230">
        <v>2128799</v>
      </c>
      <c r="J12" s="230">
        <v>411845</v>
      </c>
      <c r="K12" s="230">
        <v>-106925</v>
      </c>
      <c r="L12" s="230">
        <v>-18095</v>
      </c>
      <c r="M12" s="230">
        <v>2021874</v>
      </c>
      <c r="N12" s="230">
        <v>393751</v>
      </c>
    </row>
    <row r="13" spans="1:23" ht="17.25" thickBot="1" x14ac:dyDescent="0.3">
      <c r="A13" s="227" t="s">
        <v>627</v>
      </c>
      <c r="B13" s="226">
        <v>45957</v>
      </c>
      <c r="C13" s="228">
        <v>119</v>
      </c>
      <c r="D13" s="228">
        <v>21</v>
      </c>
      <c r="E13" s="228">
        <v>116</v>
      </c>
      <c r="F13" s="228">
        <v>20</v>
      </c>
      <c r="G13" s="228">
        <v>3</v>
      </c>
      <c r="H13" s="228">
        <v>0</v>
      </c>
      <c r="I13" s="228">
        <v>489</v>
      </c>
      <c r="J13" s="228">
        <v>85</v>
      </c>
      <c r="K13" s="228">
        <v>-3</v>
      </c>
      <c r="L13" s="228">
        <v>0</v>
      </c>
      <c r="M13" s="228">
        <v>486</v>
      </c>
      <c r="N13" s="228">
        <v>85</v>
      </c>
    </row>
    <row r="14" spans="1:23" ht="17.25" thickBot="1" x14ac:dyDescent="0.3">
      <c r="A14" s="227" t="s">
        <v>628</v>
      </c>
      <c r="B14" s="226">
        <v>45957</v>
      </c>
      <c r="C14" s="228">
        <v>758</v>
      </c>
      <c r="D14" s="228">
        <v>131</v>
      </c>
      <c r="E14" s="228">
        <v>454</v>
      </c>
      <c r="F14" s="228">
        <v>79</v>
      </c>
      <c r="G14" s="228">
        <v>304</v>
      </c>
      <c r="H14" s="228">
        <v>52</v>
      </c>
      <c r="I14" s="228">
        <v>873</v>
      </c>
      <c r="J14" s="228">
        <v>151</v>
      </c>
      <c r="K14" s="228">
        <v>326</v>
      </c>
      <c r="L14" s="228">
        <v>57</v>
      </c>
      <c r="M14" s="230">
        <v>1199</v>
      </c>
      <c r="N14" s="228">
        <v>209</v>
      </c>
    </row>
    <row r="15" spans="1:23" ht="17.25" thickBot="1" x14ac:dyDescent="0.3">
      <c r="A15" s="227" t="s">
        <v>629</v>
      </c>
      <c r="B15" s="226">
        <v>45957</v>
      </c>
      <c r="C15" s="230">
        <v>1701384</v>
      </c>
      <c r="D15" s="230">
        <v>121905</v>
      </c>
      <c r="E15" s="230">
        <v>1639119</v>
      </c>
      <c r="F15" s="230">
        <v>117316</v>
      </c>
      <c r="G15" s="230">
        <v>62265</v>
      </c>
      <c r="H15" s="230">
        <v>4589</v>
      </c>
      <c r="I15" s="230">
        <v>5797453</v>
      </c>
      <c r="J15" s="230">
        <v>412230</v>
      </c>
      <c r="K15" s="230">
        <v>17841</v>
      </c>
      <c r="L15" s="230">
        <v>4756</v>
      </c>
      <c r="M15" s="230">
        <v>5815294</v>
      </c>
      <c r="N15" s="230">
        <v>416986</v>
      </c>
    </row>
    <row r="16" spans="1:23" ht="17.25" thickBot="1" x14ac:dyDescent="0.3">
      <c r="A16" s="227" t="s">
        <v>630</v>
      </c>
      <c r="B16" s="226">
        <v>45957</v>
      </c>
      <c r="C16" s="230">
        <v>465475</v>
      </c>
      <c r="D16" s="230">
        <v>35681</v>
      </c>
      <c r="E16" s="230">
        <v>477264</v>
      </c>
      <c r="F16" s="230">
        <v>36672</v>
      </c>
      <c r="G16" s="230">
        <v>-11789</v>
      </c>
      <c r="H16" s="228">
        <v>-992</v>
      </c>
      <c r="I16" s="230">
        <v>444805</v>
      </c>
      <c r="J16" s="230">
        <v>31889</v>
      </c>
      <c r="K16" s="230">
        <v>-29425</v>
      </c>
      <c r="L16" s="230">
        <v>-2083</v>
      </c>
      <c r="M16" s="230">
        <v>415380</v>
      </c>
      <c r="N16" s="230">
        <v>29806</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21" activePane="bottomLeft" state="frozen"/>
      <selection activeCell="A6" sqref="A6:S6"/>
      <selection pane="bottomLeft" activeCell="A148" sqref="A14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45957</v>
      </c>
      <c r="C6" s="66">
        <f>'Snapshot (Value)'!D10</f>
        <v>45957</v>
      </c>
      <c r="D6" s="71" t="s">
        <v>322</v>
      </c>
      <c r="E6" s="71" t="s">
        <v>328</v>
      </c>
      <c r="F6" s="66">
        <f>C6</f>
        <v>45957</v>
      </c>
      <c r="G6" s="71" t="s">
        <v>322</v>
      </c>
      <c r="H6" s="71" t="s">
        <v>328</v>
      </c>
      <c r="I6" s="66">
        <f>C6</f>
        <v>45957</v>
      </c>
      <c r="J6" s="71" t="s">
        <v>322</v>
      </c>
      <c r="K6" s="71" t="s">
        <v>328</v>
      </c>
      <c r="L6" s="66">
        <f>C6</f>
        <v>45957</v>
      </c>
      <c r="M6" s="71" t="s">
        <v>322</v>
      </c>
      <c r="N6" s="71" t="s">
        <v>328</v>
      </c>
      <c r="O6" s="66">
        <f>C6</f>
        <v>45957</v>
      </c>
      <c r="P6" s="71" t="s">
        <v>322</v>
      </c>
      <c r="Q6" s="71" t="s">
        <v>328</v>
      </c>
    </row>
    <row r="7" spans="1:17" x14ac:dyDescent="0.25">
      <c r="A7" s="97" t="str">
        <f>'Data Vlaue (Cr)'!C2</f>
        <v>360ONE</v>
      </c>
      <c r="B7" s="140">
        <f>VLOOKUP($A7,'Data shares'!$C:$FB,7)</f>
        <v>1173</v>
      </c>
      <c r="C7" s="140">
        <f>VLOOKUP($A7,'Data shares'!$C:$FB,3)</f>
        <v>1174.0999999999999</v>
      </c>
      <c r="D7" s="140">
        <f>VLOOKUP($A7,'Data shares'!$C:$FB,4)</f>
        <v>1180.5999999999999</v>
      </c>
      <c r="E7" s="50">
        <f>(C7-D7)/D7*100</f>
        <v>-0.55056750804675592</v>
      </c>
      <c r="F7" s="49">
        <f>VLOOKUP($A7,'Data shares'!$C:$FB,98)</f>
        <v>5950500</v>
      </c>
      <c r="G7" s="49">
        <f>VLOOKUP($A7,'Data shares'!$C:$FB,99)</f>
        <v>6867500</v>
      </c>
      <c r="H7" s="50">
        <f>(F7-G7)/G7*100</f>
        <v>-13.352748452857663</v>
      </c>
      <c r="I7" s="49">
        <f>VLOOKUP($A7,'Data shares'!$C:$FB,66)</f>
        <v>5668000</v>
      </c>
      <c r="J7" s="49">
        <f>VLOOKUP($A7,'Data shares'!$C:$FB,67)</f>
        <v>7434500</v>
      </c>
      <c r="K7" s="50">
        <f>(I7-J7)/I7*100</f>
        <v>-31.166196189131966</v>
      </c>
      <c r="L7" s="50">
        <f>VLOOKUP($A7,'Data shares'!$C:$FB,118)</f>
        <v>0.68</v>
      </c>
      <c r="M7" s="50">
        <f>VLOOKUP($A7,'Data shares'!$C:$FB,119)</f>
        <v>0.65</v>
      </c>
      <c r="N7" s="50">
        <f>VLOOKUP($A7,'Data shares'!$C:$FB,121)*100</f>
        <v>4.62</v>
      </c>
      <c r="O7" s="50">
        <f>VLOOKUP($A7,'Data shares'!$C:$FB,124)</f>
        <v>0.87</v>
      </c>
      <c r="P7" s="50">
        <f>VLOOKUP($A7,'Data shares'!$C:$FB,125)</f>
        <v>0.44</v>
      </c>
      <c r="Q7" s="50">
        <f>VLOOKUP($A7,'Data shares'!$C:$FB,127)*100</f>
        <v>97.72999999999999</v>
      </c>
    </row>
    <row r="8" spans="1:17" x14ac:dyDescent="0.25">
      <c r="A8" s="97" t="str">
        <f>'Data Vlaue (Cr)'!C3</f>
        <v>ABB</v>
      </c>
      <c r="B8" s="140">
        <f>VLOOKUP($A8,'Data shares'!$C:$FB,7)</f>
        <v>5238</v>
      </c>
      <c r="C8" s="140">
        <f>VLOOKUP($A8,'Data shares'!$C:$FB,3)</f>
        <v>5240</v>
      </c>
      <c r="D8" s="140">
        <f>VLOOKUP($A8,'Data shares'!$C:$FB,4)</f>
        <v>5173.5</v>
      </c>
      <c r="E8" s="50">
        <f t="shared" ref="E8:E71" si="0">(C8-D8)/D8*100</f>
        <v>1.2853967333526626</v>
      </c>
      <c r="F8" s="49">
        <f>VLOOKUP($A8,'Data shares'!$C:$FB,98)</f>
        <v>4563375</v>
      </c>
      <c r="G8" s="49">
        <f>VLOOKUP($A8,'Data shares'!$C:$FB,99)</f>
        <v>4645125</v>
      </c>
      <c r="H8" s="50">
        <f t="shared" ref="H8:H71" si="1">(F8-G8)/G8*100</f>
        <v>-1.7599095826269475</v>
      </c>
      <c r="I8" s="49">
        <f>VLOOKUP($A8,'Data shares'!$C:$FB,66)</f>
        <v>3919875</v>
      </c>
      <c r="J8" s="49">
        <f>VLOOKUP($A8,'Data shares'!$C:$FB,67)</f>
        <v>4631625</v>
      </c>
      <c r="K8" s="50">
        <f t="shared" ref="K8:K71" si="2">(I8-J8)/I8*100</f>
        <v>-18.15746675595523</v>
      </c>
      <c r="L8" s="50">
        <f>VLOOKUP($A8,'Data shares'!$C:$FB,118)</f>
        <v>0.74</v>
      </c>
      <c r="M8" s="50">
        <f>VLOOKUP($A8,'Data shares'!$C:$FB,119)</f>
        <v>0.69</v>
      </c>
      <c r="N8" s="50">
        <f>VLOOKUP($A8,'Data shares'!$C:$FB,121)*100</f>
        <v>7.2499999999999991</v>
      </c>
      <c r="O8" s="50">
        <f>VLOOKUP($A8,'Data shares'!$C:$FB,124)</f>
        <v>0.5</v>
      </c>
      <c r="P8" s="50">
        <f>VLOOKUP($A8,'Data shares'!$C:$FB,125)</f>
        <v>0.72</v>
      </c>
      <c r="Q8" s="50">
        <f>VLOOKUP($A8,'Data shares'!$C:$FB,127)*100</f>
        <v>-30.56</v>
      </c>
    </row>
    <row r="9" spans="1:17" x14ac:dyDescent="0.25">
      <c r="A9" s="97" t="str">
        <f>'Data Vlaue (Cr)'!C4</f>
        <v>ABCAPITAL</v>
      </c>
      <c r="B9" s="140">
        <f>VLOOKUP($A9,'Data shares'!$C:$FB,7)</f>
        <v>310.75</v>
      </c>
      <c r="C9" s="140">
        <f>VLOOKUP($A9,'Data shares'!$C:$FB,3)</f>
        <v>310.8</v>
      </c>
      <c r="D9" s="140">
        <f>VLOOKUP($A9,'Data shares'!$C:$FB,4)</f>
        <v>305.7</v>
      </c>
      <c r="E9" s="50">
        <f t="shared" si="0"/>
        <v>1.668302257114826</v>
      </c>
      <c r="F9" s="49">
        <f>VLOOKUP($A9,'Data shares'!$C:$FB,98)</f>
        <v>108221000</v>
      </c>
      <c r="G9" s="49">
        <f>VLOOKUP($A9,'Data shares'!$C:$FB,99)</f>
        <v>108084600</v>
      </c>
      <c r="H9" s="50">
        <f t="shared" si="1"/>
        <v>0.12619744163368327</v>
      </c>
      <c r="I9" s="49">
        <f>VLOOKUP($A9,'Data shares'!$C:$FB,66)</f>
        <v>86635700</v>
      </c>
      <c r="J9" s="49">
        <f>VLOOKUP($A9,'Data shares'!$C:$FB,67)</f>
        <v>107353000</v>
      </c>
      <c r="K9" s="50">
        <f t="shared" si="2"/>
        <v>-23.913121265252084</v>
      </c>
      <c r="L9" s="50">
        <f>VLOOKUP($A9,'Data shares'!$C:$FB,118)</f>
        <v>0.83</v>
      </c>
      <c r="M9" s="50">
        <f>VLOOKUP($A9,'Data shares'!$C:$FB,119)</f>
        <v>0.75</v>
      </c>
      <c r="N9" s="50">
        <f>VLOOKUP($A9,'Data shares'!$C:$FB,121)*100</f>
        <v>10.67</v>
      </c>
      <c r="O9" s="50">
        <f>VLOOKUP($A9,'Data shares'!$C:$FB,124)</f>
        <v>0.65</v>
      </c>
      <c r="P9" s="50">
        <f>VLOOKUP($A9,'Data shares'!$C:$FB,125)</f>
        <v>0.52</v>
      </c>
      <c r="Q9" s="50">
        <f>VLOOKUP($A9,'Data shares'!$C:$FB,127)*100</f>
        <v>25</v>
      </c>
    </row>
    <row r="10" spans="1:17" x14ac:dyDescent="0.25">
      <c r="A10" s="97" t="str">
        <f>'Data Vlaue (Cr)'!C5</f>
        <v>ADANIENSOL</v>
      </c>
      <c r="B10" s="140">
        <f>VLOOKUP($A10,'Data shares'!$C:$FB,7)</f>
        <v>946.35</v>
      </c>
      <c r="C10" s="140">
        <f>VLOOKUP($A10,'Data shares'!$C:$FB,3)</f>
        <v>945.55</v>
      </c>
      <c r="D10" s="140">
        <f>VLOOKUP($A10,'Data shares'!$C:$FB,4)</f>
        <v>942.9</v>
      </c>
      <c r="E10" s="50">
        <f t="shared" si="0"/>
        <v>0.28104783115918736</v>
      </c>
      <c r="F10" s="49">
        <f>VLOOKUP($A10,'Data shares'!$C:$FB,98)</f>
        <v>25488675</v>
      </c>
      <c r="G10" s="49">
        <f>VLOOKUP($A10,'Data shares'!$C:$FB,99)</f>
        <v>24117750</v>
      </c>
      <c r="H10" s="50">
        <f t="shared" si="1"/>
        <v>5.6842989084802689</v>
      </c>
      <c r="I10" s="49">
        <f>VLOOKUP($A10,'Data shares'!$C:$FB,66)</f>
        <v>21733650</v>
      </c>
      <c r="J10" s="49">
        <f>VLOOKUP($A10,'Data shares'!$C:$FB,67)</f>
        <v>17935425</v>
      </c>
      <c r="K10" s="50">
        <f t="shared" si="2"/>
        <v>17.476240760295671</v>
      </c>
      <c r="L10" s="50">
        <f>VLOOKUP($A10,'Data shares'!$C:$FB,118)</f>
        <v>0.59</v>
      </c>
      <c r="M10" s="50">
        <f>VLOOKUP($A10,'Data shares'!$C:$FB,119)</f>
        <v>0.59</v>
      </c>
      <c r="N10" s="50">
        <f>VLOOKUP($A10,'Data shares'!$C:$FB,121)*100</f>
        <v>0</v>
      </c>
      <c r="O10" s="50">
        <f>VLOOKUP($A10,'Data shares'!$C:$FB,124)</f>
        <v>0.39</v>
      </c>
      <c r="P10" s="50">
        <f>VLOOKUP($A10,'Data shares'!$C:$FB,125)</f>
        <v>0.42</v>
      </c>
      <c r="Q10" s="50">
        <f>VLOOKUP($A10,'Data shares'!$C:$FB,127)*100</f>
        <v>-7.1400000000000006</v>
      </c>
    </row>
    <row r="11" spans="1:17" x14ac:dyDescent="0.25">
      <c r="A11" s="97" t="str">
        <f>'Data Vlaue (Cr)'!C6</f>
        <v>ADANIENT</v>
      </c>
      <c r="B11" s="140">
        <f>VLOOKUP($A11,'Data shares'!$C:$FB,7)</f>
        <v>2492.8000000000002</v>
      </c>
      <c r="C11" s="140">
        <f>VLOOKUP($A11,'Data shares'!$C:$FB,3)</f>
        <v>2492.8000000000002</v>
      </c>
      <c r="D11" s="140">
        <f>VLOOKUP($A11,'Data shares'!$C:$FB,4)</f>
        <v>2501.8000000000002</v>
      </c>
      <c r="E11" s="50">
        <f t="shared" si="0"/>
        <v>-0.35974098648972735</v>
      </c>
      <c r="F11" s="49">
        <f>VLOOKUP($A11,'Data shares'!$C:$FB,98)</f>
        <v>26167500</v>
      </c>
      <c r="G11" s="49">
        <f>VLOOKUP($A11,'Data shares'!$C:$FB,99)</f>
        <v>26601600</v>
      </c>
      <c r="H11" s="50">
        <f t="shared" si="1"/>
        <v>-1.6318567304222302</v>
      </c>
      <c r="I11" s="49">
        <f>VLOOKUP($A11,'Data shares'!$C:$FB,66)</f>
        <v>25698600</v>
      </c>
      <c r="J11" s="49">
        <f>VLOOKUP($A11,'Data shares'!$C:$FB,67)</f>
        <v>23364300</v>
      </c>
      <c r="K11" s="50">
        <f t="shared" si="2"/>
        <v>9.0833741915902024</v>
      </c>
      <c r="L11" s="50">
        <f>VLOOKUP($A11,'Data shares'!$C:$FB,118)</f>
        <v>0.62</v>
      </c>
      <c r="M11" s="50">
        <f>VLOOKUP($A11,'Data shares'!$C:$FB,119)</f>
        <v>0.56999999999999995</v>
      </c>
      <c r="N11" s="50">
        <f>VLOOKUP($A11,'Data shares'!$C:$FB,121)*100</f>
        <v>8.77</v>
      </c>
      <c r="O11" s="50">
        <f>VLOOKUP($A11,'Data shares'!$C:$FB,124)</f>
        <v>0.57999999999999996</v>
      </c>
      <c r="P11" s="50">
        <f>VLOOKUP($A11,'Data shares'!$C:$FB,125)</f>
        <v>0.42</v>
      </c>
      <c r="Q11" s="50">
        <f>VLOOKUP($A11,'Data shares'!$C:$FB,127)*100</f>
        <v>38.1</v>
      </c>
    </row>
    <row r="12" spans="1:17" x14ac:dyDescent="0.25">
      <c r="A12" s="97" t="str">
        <f>'Data Vlaue (Cr)'!C7</f>
        <v>ADANIGREEN</v>
      </c>
      <c r="B12" s="140">
        <f>VLOOKUP($A12,'Data shares'!$C:$FB,7)</f>
        <v>1017.1</v>
      </c>
      <c r="C12" s="140">
        <f>VLOOKUP($A12,'Data shares'!$C:$FB,3)</f>
        <v>1016.5</v>
      </c>
      <c r="D12" s="140">
        <f>VLOOKUP($A12,'Data shares'!$C:$FB,4)</f>
        <v>1029.8</v>
      </c>
      <c r="E12" s="50">
        <f t="shared" si="0"/>
        <v>-1.2915129151291469</v>
      </c>
      <c r="F12" s="49">
        <f>VLOOKUP($A12,'Data shares'!$C:$FB,98)</f>
        <v>37507800</v>
      </c>
      <c r="G12" s="49">
        <f>VLOOKUP($A12,'Data shares'!$C:$FB,99)</f>
        <v>37648800</v>
      </c>
      <c r="H12" s="50">
        <f t="shared" si="1"/>
        <v>-0.3745139287307962</v>
      </c>
      <c r="I12" s="49">
        <f>VLOOKUP($A12,'Data shares'!$C:$FB,66)</f>
        <v>42490800</v>
      </c>
      <c r="J12" s="49">
        <f>VLOOKUP($A12,'Data shares'!$C:$FB,67)</f>
        <v>30960600</v>
      </c>
      <c r="K12" s="50">
        <f t="shared" si="2"/>
        <v>27.135756446101272</v>
      </c>
      <c r="L12" s="50">
        <f>VLOOKUP($A12,'Data shares'!$C:$FB,118)</f>
        <v>0.47</v>
      </c>
      <c r="M12" s="50">
        <f>VLOOKUP($A12,'Data shares'!$C:$FB,119)</f>
        <v>0.49</v>
      </c>
      <c r="N12" s="50">
        <f>VLOOKUP($A12,'Data shares'!$C:$FB,121)*100</f>
        <v>-4.08</v>
      </c>
      <c r="O12" s="50">
        <f>VLOOKUP($A12,'Data shares'!$C:$FB,124)</f>
        <v>0.42</v>
      </c>
      <c r="P12" s="50">
        <f>VLOOKUP($A12,'Data shares'!$C:$FB,125)</f>
        <v>0.33</v>
      </c>
      <c r="Q12" s="50">
        <f>VLOOKUP($A12,'Data shares'!$C:$FB,127)*100</f>
        <v>27.27</v>
      </c>
    </row>
    <row r="13" spans="1:17" x14ac:dyDescent="0.25">
      <c r="A13" s="97" t="str">
        <f>'Data Vlaue (Cr)'!C8</f>
        <v>ADANIPORTS</v>
      </c>
      <c r="B13" s="140">
        <f>VLOOKUP($A13,'Data shares'!$C:$FB,7)</f>
        <v>1420.6</v>
      </c>
      <c r="C13" s="140">
        <f>VLOOKUP($A13,'Data shares'!$C:$FB,3)</f>
        <v>1421.6</v>
      </c>
      <c r="D13" s="140">
        <f>VLOOKUP($A13,'Data shares'!$C:$FB,4)</f>
        <v>1427.7</v>
      </c>
      <c r="E13" s="50">
        <f t="shared" si="0"/>
        <v>-0.42726062898368955</v>
      </c>
      <c r="F13" s="49">
        <f>VLOOKUP($A13,'Data shares'!$C:$FB,98)</f>
        <v>38202350</v>
      </c>
      <c r="G13" s="49">
        <f>VLOOKUP($A13,'Data shares'!$C:$FB,99)</f>
        <v>38637925</v>
      </c>
      <c r="H13" s="50">
        <f t="shared" si="1"/>
        <v>-1.1273250310413925</v>
      </c>
      <c r="I13" s="49">
        <f>VLOOKUP($A13,'Data shares'!$C:$FB,66)</f>
        <v>41810925</v>
      </c>
      <c r="J13" s="49">
        <f>VLOOKUP($A13,'Data shares'!$C:$FB,67)</f>
        <v>40575450</v>
      </c>
      <c r="K13" s="50">
        <f t="shared" si="2"/>
        <v>2.9549095122865614</v>
      </c>
      <c r="L13" s="50">
        <f>VLOOKUP($A13,'Data shares'!$C:$FB,118)</f>
        <v>0.71</v>
      </c>
      <c r="M13" s="50">
        <f>VLOOKUP($A13,'Data shares'!$C:$FB,119)</f>
        <v>0.64</v>
      </c>
      <c r="N13" s="50">
        <f>VLOOKUP($A13,'Data shares'!$C:$FB,121)*100</f>
        <v>10.94</v>
      </c>
      <c r="O13" s="50">
        <f>VLOOKUP($A13,'Data shares'!$C:$FB,124)</f>
        <v>0.64</v>
      </c>
      <c r="P13" s="50">
        <f>VLOOKUP($A13,'Data shares'!$C:$FB,125)</f>
        <v>0.59</v>
      </c>
      <c r="Q13" s="50">
        <f>VLOOKUP($A13,'Data shares'!$C:$FB,127)*100</f>
        <v>8.4699999999999989</v>
      </c>
    </row>
    <row r="14" spans="1:17" x14ac:dyDescent="0.25">
      <c r="A14" s="97" t="str">
        <f>'Data Vlaue (Cr)'!C9</f>
        <v>ALKEM</v>
      </c>
      <c r="B14" s="140">
        <f>VLOOKUP($A14,'Data shares'!$C:$FB,7)</f>
        <v>5475.5</v>
      </c>
      <c r="C14" s="140">
        <f>VLOOKUP($A14,'Data shares'!$C:$FB,3)</f>
        <v>5469.5</v>
      </c>
      <c r="D14" s="140">
        <f>VLOOKUP($A14,'Data shares'!$C:$FB,4)</f>
        <v>5537.5</v>
      </c>
      <c r="E14" s="50">
        <f>(C14-D14)/D14*100</f>
        <v>-1.2279909706546275</v>
      </c>
      <c r="F14" s="49">
        <f>VLOOKUP($A14,'Data shares'!$C:$FB,98)</f>
        <v>1989375</v>
      </c>
      <c r="G14" s="49">
        <f>VLOOKUP($A14,'Data shares'!$C:$FB,99)</f>
        <v>2040500</v>
      </c>
      <c r="H14" s="50">
        <f t="shared" si="1"/>
        <v>-2.5055133545699584</v>
      </c>
      <c r="I14" s="49">
        <f>VLOOKUP($A14,'Data shares'!$C:$FB,66)</f>
        <v>2010000</v>
      </c>
      <c r="J14" s="49">
        <f>VLOOKUP($A14,'Data shares'!$C:$FB,67)</f>
        <v>2194750</v>
      </c>
      <c r="K14" s="50">
        <f t="shared" si="2"/>
        <v>-9.1915422885572138</v>
      </c>
      <c r="L14" s="50">
        <f>VLOOKUP($A14,'Data shares'!$C:$FB,118)</f>
        <v>0.79</v>
      </c>
      <c r="M14" s="50">
        <f>VLOOKUP($A14,'Data shares'!$C:$FB,119)</f>
        <v>0.93</v>
      </c>
      <c r="N14" s="50">
        <f>VLOOKUP($A14,'Data shares'!$C:$FB,121)*100</f>
        <v>-15.049999999999999</v>
      </c>
      <c r="O14" s="50">
        <f>VLOOKUP($A14,'Data shares'!$C:$FB,124)</f>
        <v>2.0299999999999998</v>
      </c>
      <c r="P14" s="50">
        <f>VLOOKUP($A14,'Data shares'!$C:$FB,125)</f>
        <v>0.83</v>
      </c>
      <c r="Q14" s="50">
        <f>VLOOKUP($A14,'Data shares'!$C:$FB,127)*100</f>
        <v>144.57999999999998</v>
      </c>
    </row>
    <row r="15" spans="1:17" x14ac:dyDescent="0.25">
      <c r="A15" s="97" t="str">
        <f>'Data Vlaue (Cr)'!C10</f>
        <v>AMBER</v>
      </c>
      <c r="B15" s="140">
        <f>VLOOKUP($A15,'Data shares'!$C:$FB,7)</f>
        <v>8476</v>
      </c>
      <c r="C15" s="140">
        <f>VLOOKUP($A15,'Data shares'!$C:$FB,3)</f>
        <v>8466</v>
      </c>
      <c r="D15" s="140">
        <f>VLOOKUP($A15,'Data shares'!$C:$FB,4)</f>
        <v>8318</v>
      </c>
      <c r="E15" s="50">
        <f t="shared" si="0"/>
        <v>1.7792738639095935</v>
      </c>
      <c r="F15" s="49">
        <f>VLOOKUP($A15,'Data shares'!$C:$FB,98)</f>
        <v>1584700</v>
      </c>
      <c r="G15" s="49">
        <f>VLOOKUP($A15,'Data shares'!$C:$FB,99)</f>
        <v>1747300</v>
      </c>
      <c r="H15" s="50">
        <f t="shared" si="1"/>
        <v>-9.3057860699364738</v>
      </c>
      <c r="I15" s="49">
        <f>VLOOKUP($A15,'Data shares'!$C:$FB,66)</f>
        <v>3512900</v>
      </c>
      <c r="J15" s="49">
        <f>VLOOKUP($A15,'Data shares'!$C:$FB,67)</f>
        <v>3470200</v>
      </c>
      <c r="K15" s="50">
        <f t="shared" si="2"/>
        <v>1.2155199407896609</v>
      </c>
      <c r="L15" s="50">
        <f>VLOOKUP($A15,'Data shares'!$C:$FB,118)</f>
        <v>0.71</v>
      </c>
      <c r="M15" s="50">
        <f>VLOOKUP($A15,'Data shares'!$C:$FB,119)</f>
        <v>0.53</v>
      </c>
      <c r="N15" s="50">
        <f>VLOOKUP($A15,'Data shares'!$C:$FB,121)*100</f>
        <v>33.96</v>
      </c>
      <c r="O15" s="50">
        <f>VLOOKUP($A15,'Data shares'!$C:$FB,124)</f>
        <v>0.47</v>
      </c>
      <c r="P15" s="50">
        <f>VLOOKUP($A15,'Data shares'!$C:$FB,125)</f>
        <v>0.5</v>
      </c>
      <c r="Q15" s="50">
        <f>VLOOKUP($A15,'Data shares'!$C:$FB,127)*100</f>
        <v>-6</v>
      </c>
    </row>
    <row r="16" spans="1:17" x14ac:dyDescent="0.25">
      <c r="A16" s="97" t="str">
        <f>'Data Vlaue (Cr)'!C11</f>
        <v>AMBUJACEM</v>
      </c>
      <c r="B16" s="140">
        <f>VLOOKUP($A16,'Data shares'!$C:$FB,7)</f>
        <v>560.25</v>
      </c>
      <c r="C16" s="140">
        <f>VLOOKUP($A16,'Data shares'!$C:$FB,3)</f>
        <v>561.04999999999995</v>
      </c>
      <c r="D16" s="140">
        <f>VLOOKUP($A16,'Data shares'!$C:$FB,4)</f>
        <v>555.95000000000005</v>
      </c>
      <c r="E16" s="50">
        <f t="shared" si="0"/>
        <v>0.91734868243545442</v>
      </c>
      <c r="F16" s="49">
        <f>VLOOKUP($A16,'Data shares'!$C:$FB,98)</f>
        <v>66007200</v>
      </c>
      <c r="G16" s="49">
        <f>VLOOKUP($A16,'Data shares'!$C:$FB,99)</f>
        <v>67191600</v>
      </c>
      <c r="H16" s="50">
        <f t="shared" si="1"/>
        <v>-1.7627203400425051</v>
      </c>
      <c r="I16" s="49">
        <f>VLOOKUP($A16,'Data shares'!$C:$FB,66)</f>
        <v>44317350</v>
      </c>
      <c r="J16" s="49">
        <f>VLOOKUP($A16,'Data shares'!$C:$FB,67)</f>
        <v>43504650</v>
      </c>
      <c r="K16" s="50">
        <f t="shared" si="2"/>
        <v>1.8338190347572676</v>
      </c>
      <c r="L16" s="50">
        <f>VLOOKUP($A16,'Data shares'!$C:$FB,118)</f>
        <v>0.74</v>
      </c>
      <c r="M16" s="50">
        <f>VLOOKUP($A16,'Data shares'!$C:$FB,119)</f>
        <v>0.68</v>
      </c>
      <c r="N16" s="50">
        <f>VLOOKUP($A16,'Data shares'!$C:$FB,121)*100</f>
        <v>8.82</v>
      </c>
      <c r="O16" s="50">
        <f>VLOOKUP($A16,'Data shares'!$C:$FB,124)</f>
        <v>0.52</v>
      </c>
      <c r="P16" s="50">
        <f>VLOOKUP($A16,'Data shares'!$C:$FB,125)</f>
        <v>0.49</v>
      </c>
      <c r="Q16" s="50">
        <f>VLOOKUP($A16,'Data shares'!$C:$FB,127)*100</f>
        <v>6.12</v>
      </c>
    </row>
    <row r="17" spans="1:17" x14ac:dyDescent="0.25">
      <c r="A17" s="97" t="str">
        <f>'Data Vlaue (Cr)'!C12</f>
        <v>ANGELONE</v>
      </c>
      <c r="B17" s="140">
        <f>VLOOKUP($A17,'Data shares'!$C:$FB,7)</f>
        <v>2577</v>
      </c>
      <c r="C17" s="140">
        <f>VLOOKUP($A17,'Data shares'!$C:$FB,3)</f>
        <v>2574.5</v>
      </c>
      <c r="D17" s="140">
        <f>VLOOKUP($A17,'Data shares'!$C:$FB,4)</f>
        <v>2513.9</v>
      </c>
      <c r="E17" s="50">
        <f t="shared" si="0"/>
        <v>2.4105970802338956</v>
      </c>
      <c r="F17" s="49">
        <f>VLOOKUP($A17,'Data shares'!$C:$FB,98)</f>
        <v>6971500</v>
      </c>
      <c r="G17" s="49">
        <f>VLOOKUP($A17,'Data shares'!$C:$FB,99)</f>
        <v>7268500</v>
      </c>
      <c r="H17" s="50">
        <f t="shared" si="1"/>
        <v>-4.086125060191236</v>
      </c>
      <c r="I17" s="49">
        <f>VLOOKUP($A17,'Data shares'!$C:$FB,66)</f>
        <v>11622250</v>
      </c>
      <c r="J17" s="49">
        <f>VLOOKUP($A17,'Data shares'!$C:$FB,67)</f>
        <v>9377250</v>
      </c>
      <c r="K17" s="50">
        <f t="shared" si="2"/>
        <v>19.316397427348406</v>
      </c>
      <c r="L17" s="50">
        <f>VLOOKUP($A17,'Data shares'!$C:$FB,118)</f>
        <v>0.9</v>
      </c>
      <c r="M17" s="50">
        <f>VLOOKUP($A17,'Data shares'!$C:$FB,119)</f>
        <v>0.87</v>
      </c>
      <c r="N17" s="50">
        <f>VLOOKUP($A17,'Data shares'!$C:$FB,121)*100</f>
        <v>3.45</v>
      </c>
      <c r="O17" s="50">
        <f>VLOOKUP($A17,'Data shares'!$C:$FB,124)</f>
        <v>0.5</v>
      </c>
      <c r="P17" s="50">
        <f>VLOOKUP($A17,'Data shares'!$C:$FB,125)</f>
        <v>0.74</v>
      </c>
      <c r="Q17" s="50">
        <f>VLOOKUP($A17,'Data shares'!$C:$FB,127)*100</f>
        <v>-32.43</v>
      </c>
    </row>
    <row r="18" spans="1:17" x14ac:dyDescent="0.25">
      <c r="A18" s="97" t="str">
        <f>'Data Vlaue (Cr)'!C13</f>
        <v>APLAPOLLO</v>
      </c>
      <c r="B18" s="140">
        <f>VLOOKUP($A18,'Data shares'!$C:$FB,7)</f>
        <v>1767</v>
      </c>
      <c r="C18" s="140">
        <f>VLOOKUP($A18,'Data shares'!$C:$FB,3)</f>
        <v>1768</v>
      </c>
      <c r="D18" s="140">
        <f>VLOOKUP($A18,'Data shares'!$C:$FB,4)</f>
        <v>1754.9</v>
      </c>
      <c r="E18" s="50">
        <f t="shared" si="0"/>
        <v>0.74648128098466626</v>
      </c>
      <c r="F18" s="49">
        <f>VLOOKUP($A18,'Data shares'!$C:$FB,98)</f>
        <v>12608750</v>
      </c>
      <c r="G18" s="49">
        <f>VLOOKUP($A18,'Data shares'!$C:$FB,99)</f>
        <v>12709200</v>
      </c>
      <c r="H18" s="50">
        <f t="shared" si="1"/>
        <v>-0.79037232870676366</v>
      </c>
      <c r="I18" s="49">
        <f>VLOOKUP($A18,'Data shares'!$C:$FB,66)</f>
        <v>13263600</v>
      </c>
      <c r="J18" s="49">
        <f>VLOOKUP($A18,'Data shares'!$C:$FB,67)</f>
        <v>12392450</v>
      </c>
      <c r="K18" s="50">
        <f t="shared" si="2"/>
        <v>6.5679755119273802</v>
      </c>
      <c r="L18" s="50">
        <f>VLOOKUP($A18,'Data shares'!$C:$FB,118)</f>
        <v>0.71</v>
      </c>
      <c r="M18" s="50">
        <f>VLOOKUP($A18,'Data shares'!$C:$FB,119)</f>
        <v>0.56999999999999995</v>
      </c>
      <c r="N18" s="50">
        <f>VLOOKUP($A18,'Data shares'!$C:$FB,121)*100</f>
        <v>24.560000000000002</v>
      </c>
      <c r="O18" s="50">
        <f>VLOOKUP($A18,'Data shares'!$C:$FB,124)</f>
        <v>0.42</v>
      </c>
      <c r="P18" s="50">
        <f>VLOOKUP($A18,'Data shares'!$C:$FB,125)</f>
        <v>0.45</v>
      </c>
      <c r="Q18" s="50">
        <f>VLOOKUP($A18,'Data shares'!$C:$FB,127)*100</f>
        <v>-6.67</v>
      </c>
    </row>
    <row r="19" spans="1:17" x14ac:dyDescent="0.25">
      <c r="A19" s="97" t="str">
        <f>'Data Vlaue (Cr)'!C14</f>
        <v>APOLLOHOSP</v>
      </c>
      <c r="B19" s="140">
        <f>VLOOKUP($A19,'Data shares'!$C:$FB,7)</f>
        <v>7845.5</v>
      </c>
      <c r="C19" s="140">
        <f>VLOOKUP($A19,'Data shares'!$C:$FB,3)</f>
        <v>7855.5</v>
      </c>
      <c r="D19" s="140">
        <f>VLOOKUP($A19,'Data shares'!$C:$FB,4)</f>
        <v>7845.5</v>
      </c>
      <c r="E19" s="50">
        <f t="shared" si="0"/>
        <v>0.12746160219233954</v>
      </c>
      <c r="F19" s="49">
        <f>VLOOKUP($A19,'Data shares'!$C:$FB,98)</f>
        <v>3923000</v>
      </c>
      <c r="G19" s="49">
        <f>VLOOKUP($A19,'Data shares'!$C:$FB,99)</f>
        <v>4134875</v>
      </c>
      <c r="H19" s="50">
        <f t="shared" si="1"/>
        <v>-5.1240968590344327</v>
      </c>
      <c r="I19" s="49">
        <f>VLOOKUP($A19,'Data shares'!$C:$FB,66)</f>
        <v>3606500</v>
      </c>
      <c r="J19" s="49">
        <f>VLOOKUP($A19,'Data shares'!$C:$FB,67)</f>
        <v>4911625</v>
      </c>
      <c r="K19" s="50">
        <f t="shared" si="2"/>
        <v>-36.188132538472203</v>
      </c>
      <c r="L19" s="50">
        <f>VLOOKUP($A19,'Data shares'!$C:$FB,118)</f>
        <v>0.66</v>
      </c>
      <c r="M19" s="50">
        <f>VLOOKUP($A19,'Data shares'!$C:$FB,119)</f>
        <v>0.63</v>
      </c>
      <c r="N19" s="50">
        <f>VLOOKUP($A19,'Data shares'!$C:$FB,121)*100</f>
        <v>4.7600000000000007</v>
      </c>
      <c r="O19" s="50">
        <f>VLOOKUP($A19,'Data shares'!$C:$FB,124)</f>
        <v>0.46</v>
      </c>
      <c r="P19" s="50">
        <f>VLOOKUP($A19,'Data shares'!$C:$FB,125)</f>
        <v>0.68</v>
      </c>
      <c r="Q19" s="50">
        <f>VLOOKUP($A19,'Data shares'!$C:$FB,127)*100</f>
        <v>-32.35</v>
      </c>
    </row>
    <row r="20" spans="1:17" x14ac:dyDescent="0.25">
      <c r="A20" s="97" t="str">
        <f>'Data Vlaue (Cr)'!C15</f>
        <v>ASHOKLEY</v>
      </c>
      <c r="B20" s="140">
        <f>VLOOKUP($A20,'Data shares'!$C:$FB,7)</f>
        <v>140.81</v>
      </c>
      <c r="C20" s="140">
        <f>VLOOKUP($A20,'Data shares'!$C:$FB,3)</f>
        <v>141.22</v>
      </c>
      <c r="D20" s="140">
        <f>VLOOKUP($A20,'Data shares'!$C:$FB,4)</f>
        <v>136.63</v>
      </c>
      <c r="E20" s="50">
        <f t="shared" si="0"/>
        <v>3.3594378979726294</v>
      </c>
      <c r="F20" s="49">
        <f>VLOOKUP($A20,'Data shares'!$C:$FB,98)</f>
        <v>276100000</v>
      </c>
      <c r="G20" s="49">
        <f>VLOOKUP($A20,'Data shares'!$C:$FB,99)</f>
        <v>262770000</v>
      </c>
      <c r="H20" s="50">
        <f t="shared" si="1"/>
        <v>5.0728774213190242</v>
      </c>
      <c r="I20" s="49">
        <f>VLOOKUP($A20,'Data shares'!$C:$FB,66)</f>
        <v>322115000</v>
      </c>
      <c r="J20" s="49">
        <f>VLOOKUP($A20,'Data shares'!$C:$FB,67)</f>
        <v>201970000</v>
      </c>
      <c r="K20" s="50">
        <f t="shared" si="2"/>
        <v>37.298790804526334</v>
      </c>
      <c r="L20" s="50">
        <f>VLOOKUP($A20,'Data shares'!$C:$FB,118)</f>
        <v>0.53</v>
      </c>
      <c r="M20" s="50">
        <f>VLOOKUP($A20,'Data shares'!$C:$FB,119)</f>
        <v>0.47</v>
      </c>
      <c r="N20" s="50">
        <f>VLOOKUP($A20,'Data shares'!$C:$FB,121)*100</f>
        <v>12.770000000000001</v>
      </c>
      <c r="O20" s="50">
        <f>VLOOKUP($A20,'Data shares'!$C:$FB,124)</f>
        <v>0.37</v>
      </c>
      <c r="P20" s="50">
        <f>VLOOKUP($A20,'Data shares'!$C:$FB,125)</f>
        <v>0.44</v>
      </c>
      <c r="Q20" s="50">
        <f>VLOOKUP($A20,'Data shares'!$C:$FB,127)*100</f>
        <v>-15.909999999999998</v>
      </c>
    </row>
    <row r="21" spans="1:17" x14ac:dyDescent="0.25">
      <c r="A21" s="97" t="str">
        <f>'Data Vlaue (Cr)'!C16</f>
        <v>ASIANPAINT</v>
      </c>
      <c r="B21" s="140">
        <f>VLOOKUP($A21,'Data shares'!$C:$FB,7)</f>
        <v>2518.8000000000002</v>
      </c>
      <c r="C21" s="140">
        <f>VLOOKUP($A21,'Data shares'!$C:$FB,3)</f>
        <v>2518.4</v>
      </c>
      <c r="D21" s="140">
        <f>VLOOKUP($A21,'Data shares'!$C:$FB,4)</f>
        <v>2503.4</v>
      </c>
      <c r="E21" s="50">
        <f t="shared" si="0"/>
        <v>0.59918510825277616</v>
      </c>
      <c r="F21" s="49">
        <f>VLOOKUP($A21,'Data shares'!$C:$FB,98)</f>
        <v>23237250</v>
      </c>
      <c r="G21" s="49">
        <f>VLOOKUP($A21,'Data shares'!$C:$FB,99)</f>
        <v>23683500</v>
      </c>
      <c r="H21" s="50">
        <f t="shared" si="1"/>
        <v>-1.8842231933624676</v>
      </c>
      <c r="I21" s="49">
        <f>VLOOKUP($A21,'Data shares'!$C:$FB,66)</f>
        <v>20212250</v>
      </c>
      <c r="J21" s="49">
        <f>VLOOKUP($A21,'Data shares'!$C:$FB,67)</f>
        <v>19269500</v>
      </c>
      <c r="K21" s="50">
        <f t="shared" si="2"/>
        <v>4.6642506400821286</v>
      </c>
      <c r="L21" s="50">
        <f>VLOOKUP($A21,'Data shares'!$C:$FB,118)</f>
        <v>0.71</v>
      </c>
      <c r="M21" s="50">
        <f>VLOOKUP($A21,'Data shares'!$C:$FB,119)</f>
        <v>0.68</v>
      </c>
      <c r="N21" s="50">
        <f>VLOOKUP($A21,'Data shares'!$C:$FB,121)*100</f>
        <v>4.41</v>
      </c>
      <c r="O21" s="50">
        <f>VLOOKUP($A21,'Data shares'!$C:$FB,124)</f>
        <v>0.77</v>
      </c>
      <c r="P21" s="50">
        <f>VLOOKUP($A21,'Data shares'!$C:$FB,125)</f>
        <v>0.84</v>
      </c>
      <c r="Q21" s="50">
        <f>VLOOKUP($A21,'Data shares'!$C:$FB,127)*100</f>
        <v>-8.33</v>
      </c>
    </row>
    <row r="22" spans="1:17" x14ac:dyDescent="0.25">
      <c r="A22" s="97" t="str">
        <f>'Data Vlaue (Cr)'!C17</f>
        <v>ASTRAL</v>
      </c>
      <c r="B22" s="140">
        <f>VLOOKUP($A22,'Data shares'!$C:$FB,7)</f>
        <v>1435.2</v>
      </c>
      <c r="C22" s="140">
        <f>VLOOKUP($A22,'Data shares'!$C:$FB,3)</f>
        <v>1434.2</v>
      </c>
      <c r="D22" s="140">
        <f>VLOOKUP($A22,'Data shares'!$C:$FB,4)</f>
        <v>1428.6</v>
      </c>
      <c r="E22" s="50">
        <f t="shared" si="0"/>
        <v>0.39199216015680644</v>
      </c>
      <c r="F22" s="49">
        <f>VLOOKUP($A22,'Data shares'!$C:$FB,98)</f>
        <v>13324600</v>
      </c>
      <c r="G22" s="49">
        <f>VLOOKUP($A22,'Data shares'!$C:$FB,99)</f>
        <v>13563450</v>
      </c>
      <c r="H22" s="50">
        <f t="shared" si="1"/>
        <v>-1.7609826408472771</v>
      </c>
      <c r="I22" s="49">
        <f>VLOOKUP($A22,'Data shares'!$C:$FB,66)</f>
        <v>12407875</v>
      </c>
      <c r="J22" s="49">
        <f>VLOOKUP($A22,'Data shares'!$C:$FB,67)</f>
        <v>12601675</v>
      </c>
      <c r="K22" s="50">
        <f t="shared" si="2"/>
        <v>-1.5619112861791402</v>
      </c>
      <c r="L22" s="50">
        <f>VLOOKUP($A22,'Data shares'!$C:$FB,118)</f>
        <v>0.51</v>
      </c>
      <c r="M22" s="50">
        <f>VLOOKUP($A22,'Data shares'!$C:$FB,119)</f>
        <v>0.49</v>
      </c>
      <c r="N22" s="50">
        <f>VLOOKUP($A22,'Data shares'!$C:$FB,121)*100</f>
        <v>4.08</v>
      </c>
      <c r="O22" s="50">
        <f>VLOOKUP($A22,'Data shares'!$C:$FB,124)</f>
        <v>0.62</v>
      </c>
      <c r="P22" s="50">
        <f>VLOOKUP($A22,'Data shares'!$C:$FB,125)</f>
        <v>0.47</v>
      </c>
      <c r="Q22" s="50">
        <f>VLOOKUP($A22,'Data shares'!$C:$FB,127)*100</f>
        <v>31.91</v>
      </c>
    </row>
    <row r="23" spans="1:17" x14ac:dyDescent="0.25">
      <c r="A23" s="97" t="str">
        <f>'Data Vlaue (Cr)'!C18</f>
        <v>AUBANK</v>
      </c>
      <c r="B23" s="140">
        <f>VLOOKUP($A23,'Data shares'!$C:$FB,7)</f>
        <v>864.2</v>
      </c>
      <c r="C23" s="140">
        <f>VLOOKUP($A23,'Data shares'!$C:$FB,3)</f>
        <v>864.3</v>
      </c>
      <c r="D23" s="140">
        <f>VLOOKUP($A23,'Data shares'!$C:$FB,4)</f>
        <v>860.35</v>
      </c>
      <c r="E23" s="50">
        <f t="shared" si="0"/>
        <v>0.45911547625965382</v>
      </c>
      <c r="F23" s="49">
        <f>VLOOKUP($A23,'Data shares'!$C:$FB,98)</f>
        <v>40311000</v>
      </c>
      <c r="G23" s="49">
        <f>VLOOKUP($A23,'Data shares'!$C:$FB,99)</f>
        <v>44165000</v>
      </c>
      <c r="H23" s="50">
        <f t="shared" si="1"/>
        <v>-8.7263670327182155</v>
      </c>
      <c r="I23" s="49">
        <f>VLOOKUP($A23,'Data shares'!$C:$FB,66)</f>
        <v>30639000</v>
      </c>
      <c r="J23" s="49">
        <f>VLOOKUP($A23,'Data shares'!$C:$FB,67)</f>
        <v>53037000</v>
      </c>
      <c r="K23" s="50">
        <f t="shared" si="2"/>
        <v>-73.102908058357002</v>
      </c>
      <c r="L23" s="50">
        <f>VLOOKUP($A23,'Data shares'!$C:$FB,118)</f>
        <v>1.2</v>
      </c>
      <c r="M23" s="50">
        <f>VLOOKUP($A23,'Data shares'!$C:$FB,119)</f>
        <v>1.22</v>
      </c>
      <c r="N23" s="50">
        <f>VLOOKUP($A23,'Data shares'!$C:$FB,121)*100</f>
        <v>-1.6400000000000001</v>
      </c>
      <c r="O23" s="50">
        <f>VLOOKUP($A23,'Data shares'!$C:$FB,124)</f>
        <v>0.83</v>
      </c>
      <c r="P23" s="50">
        <f>VLOOKUP($A23,'Data shares'!$C:$FB,125)</f>
        <v>1.04</v>
      </c>
      <c r="Q23" s="50">
        <f>VLOOKUP($A23,'Data shares'!$C:$FB,127)*100</f>
        <v>-20.190000000000001</v>
      </c>
    </row>
    <row r="24" spans="1:17" x14ac:dyDescent="0.25">
      <c r="A24" s="97" t="str">
        <f>'Data Vlaue (Cr)'!C19</f>
        <v>AUROPHARMA</v>
      </c>
      <c r="B24" s="140">
        <f>VLOOKUP($A24,'Data shares'!$C:$FB,7)</f>
        <v>1094.7</v>
      </c>
      <c r="C24" s="140">
        <f>VLOOKUP($A24,'Data shares'!$C:$FB,3)</f>
        <v>1094.5</v>
      </c>
      <c r="D24" s="140">
        <f>VLOOKUP($A24,'Data shares'!$C:$FB,4)</f>
        <v>1085.3</v>
      </c>
      <c r="E24" s="50">
        <f t="shared" si="0"/>
        <v>0.84769188242882576</v>
      </c>
      <c r="F24" s="49">
        <f>VLOOKUP($A24,'Data shares'!$C:$FB,98)</f>
        <v>33172700</v>
      </c>
      <c r="G24" s="49">
        <f>VLOOKUP($A24,'Data shares'!$C:$FB,99)</f>
        <v>32832250</v>
      </c>
      <c r="H24" s="50">
        <f t="shared" si="1"/>
        <v>1.0369377669821593</v>
      </c>
      <c r="I24" s="49">
        <f>VLOOKUP($A24,'Data shares'!$C:$FB,66)</f>
        <v>23574650</v>
      </c>
      <c r="J24" s="49">
        <f>VLOOKUP($A24,'Data shares'!$C:$FB,67)</f>
        <v>26075500</v>
      </c>
      <c r="K24" s="50">
        <f t="shared" si="2"/>
        <v>-10.608216877026805</v>
      </c>
      <c r="L24" s="50">
        <f>VLOOKUP($A24,'Data shares'!$C:$FB,118)</f>
        <v>0.69</v>
      </c>
      <c r="M24" s="50">
        <f>VLOOKUP($A24,'Data shares'!$C:$FB,119)</f>
        <v>0.67</v>
      </c>
      <c r="N24" s="50">
        <f>VLOOKUP($A24,'Data shares'!$C:$FB,121)*100</f>
        <v>2.9899999999999998</v>
      </c>
      <c r="O24" s="50">
        <f>VLOOKUP($A24,'Data shares'!$C:$FB,124)</f>
        <v>0.57999999999999996</v>
      </c>
      <c r="P24" s="50">
        <f>VLOOKUP($A24,'Data shares'!$C:$FB,125)</f>
        <v>0.75</v>
      </c>
      <c r="Q24" s="50">
        <f>VLOOKUP($A24,'Data shares'!$C:$FB,127)*100</f>
        <v>-22.67</v>
      </c>
    </row>
    <row r="25" spans="1:17" x14ac:dyDescent="0.25">
      <c r="A25" s="97" t="str">
        <f>'Data Vlaue (Cr)'!C20</f>
        <v>AXISBANK</v>
      </c>
      <c r="B25" s="140">
        <f>VLOOKUP($A25,'Data shares'!$C:$FB,7)</f>
        <v>1254.0999999999999</v>
      </c>
      <c r="C25" s="140">
        <f>VLOOKUP($A25,'Data shares'!$C:$FB,3)</f>
        <v>1252.7</v>
      </c>
      <c r="D25" s="140">
        <f>VLOOKUP($A25,'Data shares'!$C:$FB,4)</f>
        <v>1243</v>
      </c>
      <c r="E25" s="50">
        <f t="shared" si="0"/>
        <v>0.78037007240547429</v>
      </c>
      <c r="F25" s="49">
        <f>VLOOKUP($A25,'Data shares'!$C:$FB,98)</f>
        <v>131518125</v>
      </c>
      <c r="G25" s="49">
        <f>VLOOKUP($A25,'Data shares'!$C:$FB,99)</f>
        <v>133486250</v>
      </c>
      <c r="H25" s="50">
        <f t="shared" si="1"/>
        <v>-1.4744027942952926</v>
      </c>
      <c r="I25" s="49">
        <f>VLOOKUP($A25,'Data shares'!$C:$FB,66)</f>
        <v>76526875</v>
      </c>
      <c r="J25" s="49">
        <f>VLOOKUP($A25,'Data shares'!$C:$FB,67)</f>
        <v>112503750</v>
      </c>
      <c r="K25" s="50">
        <f t="shared" si="2"/>
        <v>-47.012079089862226</v>
      </c>
      <c r="L25" s="50">
        <f>VLOOKUP($A25,'Data shares'!$C:$FB,118)</f>
        <v>0.8</v>
      </c>
      <c r="M25" s="50">
        <f>VLOOKUP($A25,'Data shares'!$C:$FB,119)</f>
        <v>0.76</v>
      </c>
      <c r="N25" s="50">
        <f>VLOOKUP($A25,'Data shares'!$C:$FB,121)*100</f>
        <v>5.26</v>
      </c>
      <c r="O25" s="50">
        <f>VLOOKUP($A25,'Data shares'!$C:$FB,124)</f>
        <v>0.6</v>
      </c>
      <c r="P25" s="50">
        <f>VLOOKUP($A25,'Data shares'!$C:$FB,125)</f>
        <v>0.87</v>
      </c>
      <c r="Q25" s="50">
        <f>VLOOKUP($A25,'Data shares'!$C:$FB,127)*100</f>
        <v>-31.03</v>
      </c>
    </row>
    <row r="26" spans="1:17" x14ac:dyDescent="0.25">
      <c r="A26" s="97" t="str">
        <f>'Data Vlaue (Cr)'!C21</f>
        <v>BAJAJ-AUTO</v>
      </c>
      <c r="B26" s="140">
        <f>VLOOKUP($A26,'Data shares'!$C:$FB,7)</f>
        <v>9095.5</v>
      </c>
      <c r="C26" s="140">
        <f>VLOOKUP($A26,'Data shares'!$C:$FB,3)</f>
        <v>9117.5</v>
      </c>
      <c r="D26" s="140">
        <f>VLOOKUP($A26,'Data shares'!$C:$FB,4)</f>
        <v>9065.5</v>
      </c>
      <c r="E26" s="50">
        <f t="shared" si="0"/>
        <v>0.57360322100270256</v>
      </c>
      <c r="F26" s="49">
        <f>VLOOKUP($A26,'Data shares'!$C:$FB,98)</f>
        <v>5542950</v>
      </c>
      <c r="G26" s="49">
        <f>VLOOKUP($A26,'Data shares'!$C:$FB,99)</f>
        <v>5662875</v>
      </c>
      <c r="H26" s="50">
        <f t="shared" si="1"/>
        <v>-2.1177405469836432</v>
      </c>
      <c r="I26" s="49">
        <f>VLOOKUP($A26,'Data shares'!$C:$FB,66)</f>
        <v>5530950</v>
      </c>
      <c r="J26" s="49">
        <f>VLOOKUP($A26,'Data shares'!$C:$FB,67)</f>
        <v>7086675</v>
      </c>
      <c r="K26" s="50">
        <f t="shared" si="2"/>
        <v>-28.127627261139587</v>
      </c>
      <c r="L26" s="50">
        <f>VLOOKUP($A26,'Data shares'!$C:$FB,118)</f>
        <v>0.8</v>
      </c>
      <c r="M26" s="50">
        <f>VLOOKUP($A26,'Data shares'!$C:$FB,119)</f>
        <v>0.69</v>
      </c>
      <c r="N26" s="50">
        <f>VLOOKUP($A26,'Data shares'!$C:$FB,121)*100</f>
        <v>15.939999999999998</v>
      </c>
      <c r="O26" s="50">
        <f>VLOOKUP($A26,'Data shares'!$C:$FB,124)</f>
        <v>0.56999999999999995</v>
      </c>
      <c r="P26" s="50">
        <f>VLOOKUP($A26,'Data shares'!$C:$FB,125)</f>
        <v>0.64</v>
      </c>
      <c r="Q26" s="50">
        <f>VLOOKUP($A26,'Data shares'!$C:$FB,127)*100</f>
        <v>-10.94</v>
      </c>
    </row>
    <row r="27" spans="1:17" x14ac:dyDescent="0.25">
      <c r="A27" s="97" t="str">
        <f>'Data Vlaue (Cr)'!C22</f>
        <v>BAJAJFINSV</v>
      </c>
      <c r="B27" s="140">
        <f>VLOOKUP($A27,'Data shares'!$C:$FB,7)</f>
        <v>2170.1999999999998</v>
      </c>
      <c r="C27" s="140">
        <f>VLOOKUP($A27,'Data shares'!$C:$FB,3)</f>
        <v>2169.9</v>
      </c>
      <c r="D27" s="140">
        <f>VLOOKUP($A27,'Data shares'!$C:$FB,4)</f>
        <v>2159.8000000000002</v>
      </c>
      <c r="E27" s="50">
        <f t="shared" si="0"/>
        <v>0.46763589221223761</v>
      </c>
      <c r="F27" s="49">
        <f>VLOOKUP($A27,'Data shares'!$C:$FB,98)</f>
        <v>32946000</v>
      </c>
      <c r="G27" s="49">
        <f>VLOOKUP($A27,'Data shares'!$C:$FB,99)</f>
        <v>33139500</v>
      </c>
      <c r="H27" s="50">
        <f t="shared" si="1"/>
        <v>-0.58389535146879101</v>
      </c>
      <c r="I27" s="49">
        <f>VLOOKUP($A27,'Data shares'!$C:$FB,66)</f>
        <v>22070000</v>
      </c>
      <c r="J27" s="49">
        <f>VLOOKUP($A27,'Data shares'!$C:$FB,67)</f>
        <v>24000000</v>
      </c>
      <c r="K27" s="50">
        <f t="shared" si="2"/>
        <v>-8.7449025826914362</v>
      </c>
      <c r="L27" s="50">
        <f>VLOOKUP($A27,'Data shares'!$C:$FB,118)</f>
        <v>0.93</v>
      </c>
      <c r="M27" s="50">
        <f>VLOOKUP($A27,'Data shares'!$C:$FB,119)</f>
        <v>0.94</v>
      </c>
      <c r="N27" s="50">
        <f>VLOOKUP($A27,'Data shares'!$C:$FB,121)*100</f>
        <v>-1.06</v>
      </c>
      <c r="O27" s="50">
        <f>VLOOKUP($A27,'Data shares'!$C:$FB,124)</f>
        <v>0.94</v>
      </c>
      <c r="P27" s="50">
        <f>VLOOKUP($A27,'Data shares'!$C:$FB,125)</f>
        <v>1.03</v>
      </c>
      <c r="Q27" s="50">
        <f>VLOOKUP($A27,'Data shares'!$C:$FB,127)*100</f>
        <v>-8.74</v>
      </c>
    </row>
    <row r="28" spans="1:17" x14ac:dyDescent="0.25">
      <c r="A28" s="97" t="str">
        <f>'Data Vlaue (Cr)'!C23</f>
        <v>BAJFINANCE</v>
      </c>
      <c r="B28" s="140">
        <f>VLOOKUP($A28,'Data shares'!$C:$FB,7)</f>
        <v>1084.4000000000001</v>
      </c>
      <c r="C28" s="140">
        <f>VLOOKUP($A28,'Data shares'!$C:$FB,3)</f>
        <v>1085.7</v>
      </c>
      <c r="D28" s="140">
        <f>VLOOKUP($A28,'Data shares'!$C:$FB,4)</f>
        <v>1089.4000000000001</v>
      </c>
      <c r="E28" s="50">
        <f t="shared" si="0"/>
        <v>-0.33963649715440103</v>
      </c>
      <c r="F28" s="49">
        <f>VLOOKUP($A28,'Data shares'!$C:$FB,98)</f>
        <v>130308750</v>
      </c>
      <c r="G28" s="49">
        <f>VLOOKUP($A28,'Data shares'!$C:$FB,99)</f>
        <v>135821250</v>
      </c>
      <c r="H28" s="50">
        <f t="shared" si="1"/>
        <v>-4.0586432535409589</v>
      </c>
      <c r="I28" s="49">
        <f>VLOOKUP($A28,'Data shares'!$C:$FB,66)</f>
        <v>95735250</v>
      </c>
      <c r="J28" s="49">
        <f>VLOOKUP($A28,'Data shares'!$C:$FB,67)</f>
        <v>102144750</v>
      </c>
      <c r="K28" s="50">
        <f t="shared" si="2"/>
        <v>-6.6950261267401503</v>
      </c>
      <c r="L28" s="50">
        <f>VLOOKUP($A28,'Data shares'!$C:$FB,118)</f>
        <v>1.0900000000000001</v>
      </c>
      <c r="M28" s="50">
        <f>VLOOKUP($A28,'Data shares'!$C:$FB,119)</f>
        <v>1.1399999999999999</v>
      </c>
      <c r="N28" s="50">
        <f>VLOOKUP($A28,'Data shares'!$C:$FB,121)*100</f>
        <v>-4.3900000000000006</v>
      </c>
      <c r="O28" s="50">
        <f>VLOOKUP($A28,'Data shares'!$C:$FB,124)</f>
        <v>1.02</v>
      </c>
      <c r="P28" s="50">
        <f>VLOOKUP($A28,'Data shares'!$C:$FB,125)</f>
        <v>1.18</v>
      </c>
      <c r="Q28" s="50">
        <f>VLOOKUP($A28,'Data shares'!$C:$FB,127)*100</f>
        <v>-13.56</v>
      </c>
    </row>
    <row r="29" spans="1:17" x14ac:dyDescent="0.25">
      <c r="A29" s="97" t="str">
        <f>'Data Vlaue (Cr)'!C24</f>
        <v>BANDHANBNK</v>
      </c>
      <c r="B29" s="140">
        <f>VLOOKUP($A29,'Data shares'!$C:$FB,7)</f>
        <v>172.04</v>
      </c>
      <c r="C29" s="140">
        <f>VLOOKUP($A29,'Data shares'!$C:$FB,3)</f>
        <v>171.99</v>
      </c>
      <c r="D29" s="140">
        <f>VLOOKUP($A29,'Data shares'!$C:$FB,4)</f>
        <v>170.07</v>
      </c>
      <c r="E29" s="50">
        <f t="shared" si="0"/>
        <v>1.1289469042159206</v>
      </c>
      <c r="F29" s="49">
        <f>VLOOKUP($A29,'Data shares'!$C:$FB,98)</f>
        <v>177750000</v>
      </c>
      <c r="G29" s="49">
        <f>VLOOKUP($A29,'Data shares'!$C:$FB,99)</f>
        <v>178236000</v>
      </c>
      <c r="H29" s="50">
        <f t="shared" si="1"/>
        <v>-0.27267218743688143</v>
      </c>
      <c r="I29" s="49">
        <f>VLOOKUP($A29,'Data shares'!$C:$FB,66)</f>
        <v>130600800</v>
      </c>
      <c r="J29" s="49">
        <f>VLOOKUP($A29,'Data shares'!$C:$FB,67)</f>
        <v>141814800</v>
      </c>
      <c r="K29" s="50">
        <f t="shared" si="2"/>
        <v>-8.5864711395336002</v>
      </c>
      <c r="L29" s="50">
        <f>VLOOKUP($A29,'Data shares'!$C:$FB,118)</f>
        <v>0.97</v>
      </c>
      <c r="M29" s="50">
        <f>VLOOKUP($A29,'Data shares'!$C:$FB,119)</f>
        <v>0.95</v>
      </c>
      <c r="N29" s="50">
        <f>VLOOKUP($A29,'Data shares'!$C:$FB,121)*100</f>
        <v>2.11</v>
      </c>
      <c r="O29" s="50">
        <f>VLOOKUP($A29,'Data shares'!$C:$FB,124)</f>
        <v>0.71</v>
      </c>
      <c r="P29" s="50">
        <f>VLOOKUP($A29,'Data shares'!$C:$FB,125)</f>
        <v>0.46</v>
      </c>
      <c r="Q29" s="50">
        <f>VLOOKUP($A29,'Data shares'!$C:$FB,127)*100</f>
        <v>54.35</v>
      </c>
    </row>
    <row r="30" spans="1:17" x14ac:dyDescent="0.25">
      <c r="A30" s="97" t="str">
        <f>'Data Vlaue (Cr)'!C25</f>
        <v>BANKBARODA</v>
      </c>
      <c r="B30" s="176">
        <f>VLOOKUP($A30,'Data shares'!$C:$FB,7)</f>
        <v>273.64999999999998</v>
      </c>
      <c r="C30" s="176">
        <f>VLOOKUP($A30,'Data shares'!$C:$FB,3)</f>
        <v>273.2</v>
      </c>
      <c r="D30" s="176">
        <f>VLOOKUP($A30,'Data shares'!$C:$FB,4)</f>
        <v>266.14999999999998</v>
      </c>
      <c r="E30" s="50">
        <f t="shared" si="0"/>
        <v>2.6488822092804853</v>
      </c>
      <c r="F30" s="49">
        <f>VLOOKUP($A30,'Data shares'!$C:$FB,98)</f>
        <v>213998850</v>
      </c>
      <c r="G30" s="49">
        <f>VLOOKUP($A30,'Data shares'!$C:$FB,99)</f>
        <v>212328675</v>
      </c>
      <c r="H30" s="50">
        <f t="shared" si="1"/>
        <v>0.7865988896695183</v>
      </c>
      <c r="I30" s="49">
        <f>VLOOKUP($A30,'Data shares'!$C:$FB,66)</f>
        <v>220325625</v>
      </c>
      <c r="J30" s="49">
        <f>VLOOKUP($A30,'Data shares'!$C:$FB,67)</f>
        <v>197367300</v>
      </c>
      <c r="K30" s="50">
        <f t="shared" si="2"/>
        <v>10.420179223365416</v>
      </c>
      <c r="L30" s="50">
        <f>VLOOKUP($A30,'Data shares'!$C:$FB,118)</f>
        <v>0.85</v>
      </c>
      <c r="M30" s="50">
        <f>VLOOKUP($A30,'Data shares'!$C:$FB,119)</f>
        <v>0.72</v>
      </c>
      <c r="N30" s="50">
        <f>VLOOKUP($A30,'Data shares'!$C:$FB,121)*100</f>
        <v>18.060000000000002</v>
      </c>
      <c r="O30" s="50">
        <f>VLOOKUP($A30,'Data shares'!$C:$FB,124)</f>
        <v>0.48</v>
      </c>
      <c r="P30" s="50">
        <f>VLOOKUP($A30,'Data shares'!$C:$FB,125)</f>
        <v>0.5</v>
      </c>
      <c r="Q30" s="50">
        <f>VLOOKUP($A30,'Data shares'!$C:$FB,127)*100</f>
        <v>-4</v>
      </c>
    </row>
    <row r="31" spans="1:17" x14ac:dyDescent="0.25">
      <c r="A31" s="97" t="str">
        <f>'Data Vlaue (Cr)'!C26</f>
        <v>BANKINDIA</v>
      </c>
      <c r="B31" s="140">
        <f>VLOOKUP($A31,'Data shares'!$C:$FB,7)</f>
        <v>139.71</v>
      </c>
      <c r="C31" s="140">
        <f>VLOOKUP($A31,'Data shares'!$C:$FB,3)</f>
        <v>139.86000000000001</v>
      </c>
      <c r="D31" s="140">
        <f>VLOOKUP($A31,'Data shares'!$C:$FB,4)</f>
        <v>133.75</v>
      </c>
      <c r="E31" s="50">
        <f t="shared" si="0"/>
        <v>4.5682242990654309</v>
      </c>
      <c r="F31" s="49">
        <f>VLOOKUP($A31,'Data shares'!$C:$FB,98)</f>
        <v>126594000</v>
      </c>
      <c r="G31" s="49">
        <f>VLOOKUP($A31,'Data shares'!$C:$FB,99)</f>
        <v>120125200</v>
      </c>
      <c r="H31" s="50">
        <f t="shared" si="1"/>
        <v>5.3850482663088179</v>
      </c>
      <c r="I31" s="49">
        <f>VLOOKUP($A31,'Data shares'!$C:$FB,66)</f>
        <v>178942400</v>
      </c>
      <c r="J31" s="49">
        <f>VLOOKUP($A31,'Data shares'!$C:$FB,67)</f>
        <v>104847600</v>
      </c>
      <c r="K31" s="50">
        <f t="shared" si="2"/>
        <v>41.407067302103918</v>
      </c>
      <c r="L31" s="50">
        <f>VLOOKUP($A31,'Data shares'!$C:$FB,118)</f>
        <v>0.98</v>
      </c>
      <c r="M31" s="50">
        <f>VLOOKUP($A31,'Data shares'!$C:$FB,119)</f>
        <v>0.93</v>
      </c>
      <c r="N31" s="50">
        <f>VLOOKUP($A31,'Data shares'!$C:$FB,121)*100</f>
        <v>5.38</v>
      </c>
      <c r="O31" s="50">
        <f>VLOOKUP($A31,'Data shares'!$C:$FB,124)</f>
        <v>0.32</v>
      </c>
      <c r="P31" s="50">
        <f>VLOOKUP($A31,'Data shares'!$C:$FB,125)</f>
        <v>0.74</v>
      </c>
      <c r="Q31" s="50">
        <f>VLOOKUP($A31,'Data shares'!$C:$FB,127)*100</f>
        <v>-56.76</v>
      </c>
    </row>
    <row r="32" spans="1:17" x14ac:dyDescent="0.25">
      <c r="A32" s="97" t="str">
        <f>'Data Vlaue (Cr)'!C27</f>
        <v>BANKNIFTY</v>
      </c>
      <c r="B32" s="140">
        <f>VLOOKUP($A32,'Data shares'!$C:$FB,7)</f>
        <v>58114.25</v>
      </c>
      <c r="C32" s="140">
        <f>VLOOKUP($A32,'Data shares'!$C:$FB,3)</f>
        <v>58183.199999999997</v>
      </c>
      <c r="D32" s="140">
        <f>VLOOKUP($A32,'Data shares'!$C:$FB,4)</f>
        <v>57703.199999999997</v>
      </c>
      <c r="E32" s="50">
        <f t="shared" si="0"/>
        <v>0.8318429480514079</v>
      </c>
      <c r="F32" s="49">
        <f>VLOOKUP($A32,'Data shares'!$C:$FB,98)</f>
        <v>61292990</v>
      </c>
      <c r="G32" s="49">
        <f>VLOOKUP($A32,'Data shares'!$C:$FB,99)</f>
        <v>60921290</v>
      </c>
      <c r="H32" s="50">
        <f t="shared" si="1"/>
        <v>0.61013153201450598</v>
      </c>
      <c r="I32" s="49">
        <f>VLOOKUP($A32,'Data shares'!$C:$FB,66)</f>
        <v>639338210</v>
      </c>
      <c r="J32" s="49">
        <f>VLOOKUP($A32,'Data shares'!$C:$FB,67)</f>
        <v>476797125</v>
      </c>
      <c r="K32" s="50">
        <f t="shared" si="2"/>
        <v>25.423333449755802</v>
      </c>
      <c r="L32" s="50">
        <f>VLOOKUP($A32,'Data shares'!$C:$FB,118)</f>
        <v>1.08</v>
      </c>
      <c r="M32" s="50">
        <f>VLOOKUP($A32,'Data shares'!$C:$FB,119)</f>
        <v>0.88</v>
      </c>
      <c r="N32" s="50">
        <f>VLOOKUP($A32,'Data shares'!$C:$FB,121)*100</f>
        <v>22.73</v>
      </c>
      <c r="O32" s="50">
        <f>VLOOKUP($A32,'Data shares'!$C:$FB,124)</f>
        <v>0.91</v>
      </c>
      <c r="P32" s="50">
        <f>VLOOKUP($A32,'Data shares'!$C:$FB,125)</f>
        <v>1.03</v>
      </c>
      <c r="Q32" s="50">
        <f>VLOOKUP($A32,'Data shares'!$C:$FB,127)*100</f>
        <v>-11.65</v>
      </c>
    </row>
    <row r="33" spans="1:17" x14ac:dyDescent="0.25">
      <c r="A33" s="97" t="str">
        <f>'Data Vlaue (Cr)'!C28</f>
        <v>BDL</v>
      </c>
      <c r="B33" s="140">
        <f>VLOOKUP($A33,'Data shares'!$C:$FB,7)</f>
        <v>1537.8</v>
      </c>
      <c r="C33" s="140">
        <f>VLOOKUP($A33,'Data shares'!$C:$FB,3)</f>
        <v>1537.8</v>
      </c>
      <c r="D33" s="140">
        <f>VLOOKUP($A33,'Data shares'!$C:$FB,4)</f>
        <v>1542.3</v>
      </c>
      <c r="E33" s="50">
        <f t="shared" si="0"/>
        <v>-0.29177202878817354</v>
      </c>
      <c r="F33" s="49">
        <f>VLOOKUP($A33,'Data shares'!$C:$FB,98)</f>
        <v>9695400</v>
      </c>
      <c r="G33" s="49">
        <f>VLOOKUP($A33,'Data shares'!$C:$FB,99)</f>
        <v>10896275</v>
      </c>
      <c r="H33" s="50">
        <f t="shared" si="1"/>
        <v>-11.020968174903809</v>
      </c>
      <c r="I33" s="49">
        <f>VLOOKUP($A33,'Data shares'!$C:$FB,66)</f>
        <v>11351275</v>
      </c>
      <c r="J33" s="49">
        <f>VLOOKUP($A33,'Data shares'!$C:$FB,67)</f>
        <v>25064000</v>
      </c>
      <c r="K33" s="50">
        <f t="shared" si="2"/>
        <v>-120.80338992756322</v>
      </c>
      <c r="L33" s="50">
        <f>VLOOKUP($A33,'Data shares'!$C:$FB,118)</f>
        <v>0.7</v>
      </c>
      <c r="M33" s="50">
        <f>VLOOKUP($A33,'Data shares'!$C:$FB,119)</f>
        <v>0.61</v>
      </c>
      <c r="N33" s="50">
        <f>VLOOKUP($A33,'Data shares'!$C:$FB,121)*100</f>
        <v>14.75</v>
      </c>
      <c r="O33" s="50">
        <f>VLOOKUP($A33,'Data shares'!$C:$FB,124)</f>
        <v>0.5</v>
      </c>
      <c r="P33" s="50">
        <f>VLOOKUP($A33,'Data shares'!$C:$FB,125)</f>
        <v>0.23</v>
      </c>
      <c r="Q33" s="50">
        <f>VLOOKUP($A33,'Data shares'!$C:$FB,127)*100</f>
        <v>117.39</v>
      </c>
    </row>
    <row r="34" spans="1:17" x14ac:dyDescent="0.25">
      <c r="A34" s="97" t="str">
        <f>'Data Vlaue (Cr)'!C29</f>
        <v>BEL</v>
      </c>
      <c r="B34" s="140">
        <f>VLOOKUP($A34,'Data shares'!$C:$FB,7)</f>
        <v>415.15</v>
      </c>
      <c r="C34" s="140">
        <f>VLOOKUP($A34,'Data shares'!$C:$FB,3)</f>
        <v>414.85</v>
      </c>
      <c r="D34" s="140">
        <f>VLOOKUP($A34,'Data shares'!$C:$FB,4)</f>
        <v>421.55</v>
      </c>
      <c r="E34" s="50">
        <f t="shared" si="0"/>
        <v>-1.5893725536709733</v>
      </c>
      <c r="F34" s="49">
        <f>VLOOKUP($A34,'Data shares'!$C:$FB,98)</f>
        <v>222183150</v>
      </c>
      <c r="G34" s="49">
        <f>VLOOKUP($A34,'Data shares'!$C:$FB,99)</f>
        <v>219997200</v>
      </c>
      <c r="H34" s="50">
        <f t="shared" si="1"/>
        <v>0.9936262825163229</v>
      </c>
      <c r="I34" s="49">
        <f>VLOOKUP($A34,'Data shares'!$C:$FB,66)</f>
        <v>251843100</v>
      </c>
      <c r="J34" s="49">
        <f>VLOOKUP($A34,'Data shares'!$C:$FB,67)</f>
        <v>265024350</v>
      </c>
      <c r="K34" s="50">
        <f t="shared" si="2"/>
        <v>-5.2339134961410494</v>
      </c>
      <c r="L34" s="50">
        <f>VLOOKUP($A34,'Data shares'!$C:$FB,118)</f>
        <v>0.71</v>
      </c>
      <c r="M34" s="50">
        <f>VLOOKUP($A34,'Data shares'!$C:$FB,119)</f>
        <v>0.67</v>
      </c>
      <c r="N34" s="50">
        <f>VLOOKUP($A34,'Data shares'!$C:$FB,121)*100</f>
        <v>5.9700000000000006</v>
      </c>
      <c r="O34" s="50">
        <f>VLOOKUP($A34,'Data shares'!$C:$FB,124)</f>
        <v>0.49</v>
      </c>
      <c r="P34" s="50">
        <f>VLOOKUP($A34,'Data shares'!$C:$FB,125)</f>
        <v>0.42</v>
      </c>
      <c r="Q34" s="50">
        <f>VLOOKUP($A34,'Data shares'!$C:$FB,127)*100</f>
        <v>16.669999999999998</v>
      </c>
    </row>
    <row r="35" spans="1:17" x14ac:dyDescent="0.25">
      <c r="A35" s="97" t="str">
        <f>'Data Vlaue (Cr)'!C30</f>
        <v>BHARATFORG</v>
      </c>
      <c r="B35" s="140">
        <f>VLOOKUP($A35,'Data shares'!$C:$FB,7)</f>
        <v>1301.4000000000001</v>
      </c>
      <c r="C35" s="140">
        <f>VLOOKUP($A35,'Data shares'!$C:$FB,3)</f>
        <v>1303.7</v>
      </c>
      <c r="D35" s="140">
        <f>VLOOKUP($A35,'Data shares'!$C:$FB,4)</f>
        <v>1281.8</v>
      </c>
      <c r="E35" s="50">
        <f t="shared" si="0"/>
        <v>1.7085348728350829</v>
      </c>
      <c r="F35" s="49">
        <f>VLOOKUP($A35,'Data shares'!$C:$FB,98)</f>
        <v>16656000</v>
      </c>
      <c r="G35" s="49">
        <f>VLOOKUP($A35,'Data shares'!$C:$FB,99)</f>
        <v>17293000</v>
      </c>
      <c r="H35" s="50">
        <f t="shared" si="1"/>
        <v>-3.6835713872665239</v>
      </c>
      <c r="I35" s="49">
        <f>VLOOKUP($A35,'Data shares'!$C:$FB,66)</f>
        <v>15869500</v>
      </c>
      <c r="J35" s="49">
        <f>VLOOKUP($A35,'Data shares'!$C:$FB,67)</f>
        <v>24544500</v>
      </c>
      <c r="K35" s="50">
        <f t="shared" si="2"/>
        <v>-54.664608210718683</v>
      </c>
      <c r="L35" s="50">
        <f>VLOOKUP($A35,'Data shares'!$C:$FB,118)</f>
        <v>0.73</v>
      </c>
      <c r="M35" s="50">
        <f>VLOOKUP($A35,'Data shares'!$C:$FB,119)</f>
        <v>0.72</v>
      </c>
      <c r="N35" s="50">
        <f>VLOOKUP($A35,'Data shares'!$C:$FB,121)*100</f>
        <v>1.39</v>
      </c>
      <c r="O35" s="50">
        <f>VLOOKUP($A35,'Data shares'!$C:$FB,124)</f>
        <v>0.52</v>
      </c>
      <c r="P35" s="50">
        <f>VLOOKUP($A35,'Data shares'!$C:$FB,125)</f>
        <v>0.63</v>
      </c>
      <c r="Q35" s="50">
        <f>VLOOKUP($A35,'Data shares'!$C:$FB,127)*100</f>
        <v>-17.46</v>
      </c>
    </row>
    <row r="36" spans="1:17" x14ac:dyDescent="0.25">
      <c r="A36" s="97" t="str">
        <f>'Data Vlaue (Cr)'!C31</f>
        <v>BHARTIARTL</v>
      </c>
      <c r="B36" s="140">
        <f>VLOOKUP($A36,'Data shares'!$C:$FB,7)</f>
        <v>2080.1</v>
      </c>
      <c r="C36" s="140">
        <f>VLOOKUP($A36,'Data shares'!$C:$FB,3)</f>
        <v>2076.6</v>
      </c>
      <c r="D36" s="140">
        <f>VLOOKUP($A36,'Data shares'!$C:$FB,4)</f>
        <v>2026.6</v>
      </c>
      <c r="E36" s="50">
        <f t="shared" si="0"/>
        <v>2.4671864206059411</v>
      </c>
      <c r="F36" s="49">
        <f>VLOOKUP($A36,'Data shares'!$C:$FB,98)</f>
        <v>78556450</v>
      </c>
      <c r="G36" s="49">
        <f>VLOOKUP($A36,'Data shares'!$C:$FB,99)</f>
        <v>77582700</v>
      </c>
      <c r="H36" s="50">
        <f t="shared" si="1"/>
        <v>1.2551122866309112</v>
      </c>
      <c r="I36" s="49">
        <f>VLOOKUP($A36,'Data shares'!$C:$FB,66)</f>
        <v>170062350</v>
      </c>
      <c r="J36" s="49">
        <f>VLOOKUP($A36,'Data shares'!$C:$FB,67)</f>
        <v>79533050</v>
      </c>
      <c r="K36" s="50">
        <f t="shared" si="2"/>
        <v>53.233005424187077</v>
      </c>
      <c r="L36" s="50">
        <f>VLOOKUP($A36,'Data shares'!$C:$FB,118)</f>
        <v>0.74</v>
      </c>
      <c r="M36" s="50">
        <f>VLOOKUP($A36,'Data shares'!$C:$FB,119)</f>
        <v>0.67</v>
      </c>
      <c r="N36" s="50">
        <f>VLOOKUP($A36,'Data shares'!$C:$FB,121)*100</f>
        <v>10.45</v>
      </c>
      <c r="O36" s="50">
        <f>VLOOKUP($A36,'Data shares'!$C:$FB,124)</f>
        <v>0.37</v>
      </c>
      <c r="P36" s="50">
        <f>VLOOKUP($A36,'Data shares'!$C:$FB,125)</f>
        <v>0.5</v>
      </c>
      <c r="Q36" s="50">
        <f>VLOOKUP($A36,'Data shares'!$C:$FB,127)*100</f>
        <v>-26</v>
      </c>
    </row>
    <row r="37" spans="1:17" x14ac:dyDescent="0.25">
      <c r="A37" s="97" t="str">
        <f>'Data Vlaue (Cr)'!C32</f>
        <v>BHEL</v>
      </c>
      <c r="B37" s="140">
        <f>VLOOKUP($A37,'Data shares'!$C:$FB,7)</f>
        <v>235</v>
      </c>
      <c r="C37" s="140">
        <f>VLOOKUP($A37,'Data shares'!$C:$FB,3)</f>
        <v>235.43</v>
      </c>
      <c r="D37" s="140">
        <f>VLOOKUP($A37,'Data shares'!$C:$FB,4)</f>
        <v>230.79</v>
      </c>
      <c r="E37" s="50">
        <f t="shared" si="0"/>
        <v>2.0104857229516075</v>
      </c>
      <c r="F37" s="49">
        <f>VLOOKUP($A37,'Data shares'!$C:$FB,98)</f>
        <v>108549000</v>
      </c>
      <c r="G37" s="49">
        <f>VLOOKUP($A37,'Data shares'!$C:$FB,99)</f>
        <v>107409750</v>
      </c>
      <c r="H37" s="50">
        <f t="shared" si="1"/>
        <v>1.06065790116819</v>
      </c>
      <c r="I37" s="49">
        <f>VLOOKUP($A37,'Data shares'!$C:$FB,66)</f>
        <v>127939875</v>
      </c>
      <c r="J37" s="49">
        <f>VLOOKUP($A37,'Data shares'!$C:$FB,67)</f>
        <v>103089000</v>
      </c>
      <c r="K37" s="50">
        <f t="shared" si="2"/>
        <v>19.423870001436221</v>
      </c>
      <c r="L37" s="50">
        <f>VLOOKUP($A37,'Data shares'!$C:$FB,118)</f>
        <v>0.64</v>
      </c>
      <c r="M37" s="50">
        <f>VLOOKUP($A37,'Data shares'!$C:$FB,119)</f>
        <v>0.54</v>
      </c>
      <c r="N37" s="50">
        <f>VLOOKUP($A37,'Data shares'!$C:$FB,121)*100</f>
        <v>18.52</v>
      </c>
      <c r="O37" s="50">
        <f>VLOOKUP($A37,'Data shares'!$C:$FB,124)</f>
        <v>0.49</v>
      </c>
      <c r="P37" s="50">
        <f>VLOOKUP($A37,'Data shares'!$C:$FB,125)</f>
        <v>0.51</v>
      </c>
      <c r="Q37" s="50">
        <f>VLOOKUP($A37,'Data shares'!$C:$FB,127)*100</f>
        <v>-3.92</v>
      </c>
    </row>
    <row r="38" spans="1:17" x14ac:dyDescent="0.25">
      <c r="A38" s="97" t="str">
        <f>'Data Vlaue (Cr)'!C33</f>
        <v>BIOCON</v>
      </c>
      <c r="B38" s="140">
        <f>VLOOKUP($A38,'Data shares'!$C:$FB,7)</f>
        <v>360.45</v>
      </c>
      <c r="C38" s="140">
        <f>VLOOKUP($A38,'Data shares'!$C:$FB,3)</f>
        <v>360.25</v>
      </c>
      <c r="D38" s="140">
        <f>VLOOKUP($A38,'Data shares'!$C:$FB,4)</f>
        <v>359.35</v>
      </c>
      <c r="E38" s="50">
        <f t="shared" si="0"/>
        <v>0.25045220537080204</v>
      </c>
      <c r="F38" s="49">
        <f>VLOOKUP($A38,'Data shares'!$C:$FB,98)</f>
        <v>66440000</v>
      </c>
      <c r="G38" s="49">
        <f>VLOOKUP($A38,'Data shares'!$C:$FB,99)</f>
        <v>68735000</v>
      </c>
      <c r="H38" s="50">
        <f t="shared" si="1"/>
        <v>-3.3389103077034994</v>
      </c>
      <c r="I38" s="49">
        <f>VLOOKUP($A38,'Data shares'!$C:$FB,66)</f>
        <v>48510000</v>
      </c>
      <c r="J38" s="49">
        <f>VLOOKUP($A38,'Data shares'!$C:$FB,67)</f>
        <v>45760000</v>
      </c>
      <c r="K38" s="50">
        <f t="shared" si="2"/>
        <v>5.6689342403628125</v>
      </c>
      <c r="L38" s="50">
        <f>VLOOKUP($A38,'Data shares'!$C:$FB,118)</f>
        <v>0.68</v>
      </c>
      <c r="M38" s="50">
        <f>VLOOKUP($A38,'Data shares'!$C:$FB,119)</f>
        <v>0.68</v>
      </c>
      <c r="N38" s="50">
        <f>VLOOKUP($A38,'Data shares'!$C:$FB,121)*100</f>
        <v>0</v>
      </c>
      <c r="O38" s="50">
        <f>VLOOKUP($A38,'Data shares'!$C:$FB,124)</f>
        <v>0.71</v>
      </c>
      <c r="P38" s="50">
        <f>VLOOKUP($A38,'Data shares'!$C:$FB,125)</f>
        <v>0.65</v>
      </c>
      <c r="Q38" s="50">
        <f>VLOOKUP($A38,'Data shares'!$C:$FB,127)*100</f>
        <v>9.2299999999999986</v>
      </c>
    </row>
    <row r="39" spans="1:17" x14ac:dyDescent="0.25">
      <c r="A39" s="97" t="str">
        <f>'Data Vlaue (Cr)'!C34</f>
        <v>BLUESTARCO</v>
      </c>
      <c r="B39" s="140">
        <f>VLOOKUP($A39,'Data shares'!$C:$FB,7)</f>
        <v>1979.6</v>
      </c>
      <c r="C39" s="140">
        <f>VLOOKUP($A39,'Data shares'!$C:$FB,3)</f>
        <v>1984.2</v>
      </c>
      <c r="D39" s="140">
        <f>VLOOKUP($A39,'Data shares'!$C:$FB,4)</f>
        <v>2007.6</v>
      </c>
      <c r="E39" s="50">
        <f t="shared" si="0"/>
        <v>-1.1655708308427906</v>
      </c>
      <c r="F39" s="49">
        <f>VLOOKUP($A39,'Data shares'!$C:$FB,98)</f>
        <v>3083925</v>
      </c>
      <c r="G39" s="49">
        <f>VLOOKUP($A39,'Data shares'!$C:$FB,99)</f>
        <v>3370575</v>
      </c>
      <c r="H39" s="50">
        <f t="shared" si="1"/>
        <v>-8.5044836563494357</v>
      </c>
      <c r="I39" s="49">
        <f>VLOOKUP($A39,'Data shares'!$C:$FB,66)</f>
        <v>4568200</v>
      </c>
      <c r="J39" s="49">
        <f>VLOOKUP($A39,'Data shares'!$C:$FB,67)</f>
        <v>9010950</v>
      </c>
      <c r="K39" s="50">
        <f t="shared" si="2"/>
        <v>-97.253841775754125</v>
      </c>
      <c r="L39" s="50">
        <f>VLOOKUP($A39,'Data shares'!$C:$FB,118)</f>
        <v>0.49</v>
      </c>
      <c r="M39" s="50">
        <f>VLOOKUP($A39,'Data shares'!$C:$FB,119)</f>
        <v>0.51</v>
      </c>
      <c r="N39" s="50">
        <f>VLOOKUP($A39,'Data shares'!$C:$FB,121)*100</f>
        <v>-3.92</v>
      </c>
      <c r="O39" s="50">
        <f>VLOOKUP($A39,'Data shares'!$C:$FB,124)</f>
        <v>0.36</v>
      </c>
      <c r="P39" s="50">
        <f>VLOOKUP($A39,'Data shares'!$C:$FB,125)</f>
        <v>0.28000000000000003</v>
      </c>
      <c r="Q39" s="50">
        <f>VLOOKUP($A39,'Data shares'!$C:$FB,127)*100</f>
        <v>28.57</v>
      </c>
    </row>
    <row r="40" spans="1:17" x14ac:dyDescent="0.25">
      <c r="A40" s="97" t="str">
        <f>'Data Vlaue (Cr)'!C35</f>
        <v>BOSCHLTD</v>
      </c>
      <c r="B40" s="140">
        <f>VLOOKUP($A40,'Data shares'!$C:$FB,7)</f>
        <v>39005</v>
      </c>
      <c r="C40" s="140">
        <f>VLOOKUP($A40,'Data shares'!$C:$FB,3)</f>
        <v>38965</v>
      </c>
      <c r="D40" s="140">
        <f>VLOOKUP($A40,'Data shares'!$C:$FB,4)</f>
        <v>38550</v>
      </c>
      <c r="E40" s="50">
        <f t="shared" si="0"/>
        <v>1.0765239948119325</v>
      </c>
      <c r="F40" s="49">
        <f>VLOOKUP($A40,'Data shares'!$C:$FB,98)</f>
        <v>352600</v>
      </c>
      <c r="G40" s="49">
        <f>VLOOKUP($A40,'Data shares'!$C:$FB,99)</f>
        <v>354400</v>
      </c>
      <c r="H40" s="50">
        <f t="shared" si="1"/>
        <v>-0.50790067720090293</v>
      </c>
      <c r="I40" s="49">
        <f>VLOOKUP($A40,'Data shares'!$C:$FB,66)</f>
        <v>302275</v>
      </c>
      <c r="J40" s="49">
        <f>VLOOKUP($A40,'Data shares'!$C:$FB,67)</f>
        <v>400925</v>
      </c>
      <c r="K40" s="50">
        <f t="shared" si="2"/>
        <v>-32.635844843271855</v>
      </c>
      <c r="L40" s="50">
        <f>VLOOKUP($A40,'Data shares'!$C:$FB,118)</f>
        <v>0.59</v>
      </c>
      <c r="M40" s="50">
        <f>VLOOKUP($A40,'Data shares'!$C:$FB,119)</f>
        <v>0.64</v>
      </c>
      <c r="N40" s="50">
        <f>VLOOKUP($A40,'Data shares'!$C:$FB,121)*100</f>
        <v>-7.8100000000000005</v>
      </c>
      <c r="O40" s="50">
        <f>VLOOKUP($A40,'Data shares'!$C:$FB,124)</f>
        <v>0.26</v>
      </c>
      <c r="P40" s="50">
        <f>VLOOKUP($A40,'Data shares'!$C:$FB,125)</f>
        <v>0.4</v>
      </c>
      <c r="Q40" s="50">
        <f>VLOOKUP($A40,'Data shares'!$C:$FB,127)*100</f>
        <v>-35</v>
      </c>
    </row>
    <row r="41" spans="1:17" x14ac:dyDescent="0.25">
      <c r="A41" s="97" t="str">
        <f>'Data Vlaue (Cr)'!C36</f>
        <v>BPCL</v>
      </c>
      <c r="B41" s="140">
        <f>VLOOKUP($A41,'Data shares'!$C:$FB,7)</f>
        <v>343</v>
      </c>
      <c r="C41" s="140">
        <f>VLOOKUP($A41,'Data shares'!$C:$FB,3)</f>
        <v>342.75</v>
      </c>
      <c r="D41" s="140">
        <f>VLOOKUP($A41,'Data shares'!$C:$FB,4)</f>
        <v>330.65</v>
      </c>
      <c r="E41" s="50">
        <f t="shared" si="0"/>
        <v>3.6594586420686595</v>
      </c>
      <c r="F41" s="49">
        <f>VLOOKUP($A41,'Data shares'!$C:$FB,98)</f>
        <v>74177050</v>
      </c>
      <c r="G41" s="49">
        <f>VLOOKUP($A41,'Data shares'!$C:$FB,99)</f>
        <v>75994050</v>
      </c>
      <c r="H41" s="50">
        <f t="shared" si="1"/>
        <v>-2.390976661988669</v>
      </c>
      <c r="I41" s="49">
        <f>VLOOKUP($A41,'Data shares'!$C:$FB,66)</f>
        <v>109057525</v>
      </c>
      <c r="J41" s="49">
        <f>VLOOKUP($A41,'Data shares'!$C:$FB,67)</f>
        <v>77070425</v>
      </c>
      <c r="K41" s="50">
        <f t="shared" si="2"/>
        <v>29.330484072511275</v>
      </c>
      <c r="L41" s="50">
        <f>VLOOKUP($A41,'Data shares'!$C:$FB,118)</f>
        <v>0.76</v>
      </c>
      <c r="M41" s="50">
        <f>VLOOKUP($A41,'Data shares'!$C:$FB,119)</f>
        <v>0.64</v>
      </c>
      <c r="N41" s="50">
        <f>VLOOKUP($A41,'Data shares'!$C:$FB,121)*100</f>
        <v>18.75</v>
      </c>
      <c r="O41" s="50">
        <f>VLOOKUP($A41,'Data shares'!$C:$FB,124)</f>
        <v>0.45</v>
      </c>
      <c r="P41" s="50">
        <f>VLOOKUP($A41,'Data shares'!$C:$FB,125)</f>
        <v>0.56000000000000005</v>
      </c>
      <c r="Q41" s="50">
        <f>VLOOKUP($A41,'Data shares'!$C:$FB,127)*100</f>
        <v>-19.64</v>
      </c>
    </row>
    <row r="42" spans="1:17" x14ac:dyDescent="0.25">
      <c r="A42" s="97" t="str">
        <f>'Data Vlaue (Cr)'!C37</f>
        <v>BRITANNIA</v>
      </c>
      <c r="B42" s="140">
        <f>VLOOKUP($A42,'Data shares'!$C:$FB,7)</f>
        <v>5912</v>
      </c>
      <c r="C42" s="140">
        <f>VLOOKUP($A42,'Data shares'!$C:$FB,3)</f>
        <v>5910.5</v>
      </c>
      <c r="D42" s="140">
        <f>VLOOKUP($A42,'Data shares'!$C:$FB,4)</f>
        <v>6052</v>
      </c>
      <c r="E42" s="50">
        <f t="shared" si="0"/>
        <v>-2.3380700594844677</v>
      </c>
      <c r="F42" s="49">
        <f>VLOOKUP($A42,'Data shares'!$C:$FB,98)</f>
        <v>5104000</v>
      </c>
      <c r="G42" s="49">
        <f>VLOOKUP($A42,'Data shares'!$C:$FB,99)</f>
        <v>5096125</v>
      </c>
      <c r="H42" s="50">
        <f t="shared" si="1"/>
        <v>0.15452917658024479</v>
      </c>
      <c r="I42" s="49">
        <f>VLOOKUP($A42,'Data shares'!$C:$FB,66)</f>
        <v>7728000</v>
      </c>
      <c r="J42" s="49">
        <f>VLOOKUP($A42,'Data shares'!$C:$FB,67)</f>
        <v>4359000</v>
      </c>
      <c r="K42" s="50">
        <f t="shared" si="2"/>
        <v>43.594720496894411</v>
      </c>
      <c r="L42" s="50">
        <f>VLOOKUP($A42,'Data shares'!$C:$FB,118)</f>
        <v>0.75</v>
      </c>
      <c r="M42" s="50">
        <f>VLOOKUP($A42,'Data shares'!$C:$FB,119)</f>
        <v>0.77</v>
      </c>
      <c r="N42" s="50">
        <f>VLOOKUP($A42,'Data shares'!$C:$FB,121)*100</f>
        <v>-2.6</v>
      </c>
      <c r="O42" s="50">
        <f>VLOOKUP($A42,'Data shares'!$C:$FB,124)</f>
        <v>1.01</v>
      </c>
      <c r="P42" s="50">
        <f>VLOOKUP($A42,'Data shares'!$C:$FB,125)</f>
        <v>0.9</v>
      </c>
      <c r="Q42" s="50">
        <f>VLOOKUP($A42,'Data shares'!$C:$FB,127)*100</f>
        <v>12.22</v>
      </c>
    </row>
    <row r="43" spans="1:17" x14ac:dyDescent="0.25">
      <c r="A43" s="97" t="str">
        <f>'Data Vlaue (Cr)'!C38</f>
        <v>BSE</v>
      </c>
      <c r="B43" s="140">
        <f>VLOOKUP($A43,'Data shares'!$C:$FB,7)</f>
        <v>2510.1999999999998</v>
      </c>
      <c r="C43" s="140">
        <f>VLOOKUP($A43,'Data shares'!$C:$FB,3)</f>
        <v>2511.4</v>
      </c>
      <c r="D43" s="140">
        <f>VLOOKUP($A43,'Data shares'!$C:$FB,4)</f>
        <v>2476.3000000000002</v>
      </c>
      <c r="E43" s="50">
        <f t="shared" si="0"/>
        <v>1.4174373056576306</v>
      </c>
      <c r="F43" s="49">
        <f>VLOOKUP($A43,'Data shares'!$C:$FB,98)</f>
        <v>28315125</v>
      </c>
      <c r="G43" s="49">
        <f>VLOOKUP($A43,'Data shares'!$C:$FB,99)</f>
        <v>29455875</v>
      </c>
      <c r="H43" s="50">
        <f t="shared" si="1"/>
        <v>-3.8727418554023605</v>
      </c>
      <c r="I43" s="49">
        <f>VLOOKUP($A43,'Data shares'!$C:$FB,66)</f>
        <v>39202875</v>
      </c>
      <c r="J43" s="49">
        <f>VLOOKUP($A43,'Data shares'!$C:$FB,67)</f>
        <v>32048250</v>
      </c>
      <c r="K43" s="50">
        <f t="shared" si="2"/>
        <v>18.25025588046795</v>
      </c>
      <c r="L43" s="50">
        <f>VLOOKUP($A43,'Data shares'!$C:$FB,118)</f>
        <v>0.77</v>
      </c>
      <c r="M43" s="50">
        <f>VLOOKUP($A43,'Data shares'!$C:$FB,119)</f>
        <v>0.77</v>
      </c>
      <c r="N43" s="50">
        <f>VLOOKUP($A43,'Data shares'!$C:$FB,121)*100</f>
        <v>0</v>
      </c>
      <c r="O43" s="50">
        <f>VLOOKUP($A43,'Data shares'!$C:$FB,124)</f>
        <v>0.59</v>
      </c>
      <c r="P43" s="50">
        <f>VLOOKUP($A43,'Data shares'!$C:$FB,125)</f>
        <v>0.76</v>
      </c>
      <c r="Q43" s="50">
        <f>VLOOKUP($A43,'Data shares'!$C:$FB,127)*100</f>
        <v>-22.37</v>
      </c>
    </row>
    <row r="44" spans="1:17" x14ac:dyDescent="0.25">
      <c r="A44" s="97" t="str">
        <f>'Data Vlaue (Cr)'!C39</f>
        <v>CAMS</v>
      </c>
      <c r="B44" s="140">
        <f>VLOOKUP($A44,'Data shares'!$C:$FB,7)</f>
        <v>3965.4</v>
      </c>
      <c r="C44" s="140">
        <f>VLOOKUP($A44,'Data shares'!$C:$FB,3)</f>
        <v>3973.9</v>
      </c>
      <c r="D44" s="140">
        <f>VLOOKUP($A44,'Data shares'!$C:$FB,4)</f>
        <v>3880.9</v>
      </c>
      <c r="E44" s="50">
        <f t="shared" si="0"/>
        <v>2.396351361797521</v>
      </c>
      <c r="F44" s="49">
        <f>VLOOKUP($A44,'Data shares'!$C:$FB,98)</f>
        <v>3773850</v>
      </c>
      <c r="G44" s="49">
        <f>VLOOKUP($A44,'Data shares'!$C:$FB,99)</f>
        <v>4049250</v>
      </c>
      <c r="H44" s="50">
        <f t="shared" si="1"/>
        <v>-6.8012594924986107</v>
      </c>
      <c r="I44" s="49">
        <f>VLOOKUP($A44,'Data shares'!$C:$FB,66)</f>
        <v>7146150</v>
      </c>
      <c r="J44" s="49">
        <f>VLOOKUP($A44,'Data shares'!$C:$FB,67)</f>
        <v>3627150</v>
      </c>
      <c r="K44" s="50">
        <f t="shared" si="2"/>
        <v>49.243298839235109</v>
      </c>
      <c r="L44" s="50">
        <f>VLOOKUP($A44,'Data shares'!$C:$FB,118)</f>
        <v>0.78</v>
      </c>
      <c r="M44" s="50">
        <f>VLOOKUP($A44,'Data shares'!$C:$FB,119)</f>
        <v>0.65</v>
      </c>
      <c r="N44" s="50">
        <f>VLOOKUP($A44,'Data shares'!$C:$FB,121)*100</f>
        <v>20</v>
      </c>
      <c r="O44" s="50">
        <f>VLOOKUP($A44,'Data shares'!$C:$FB,124)</f>
        <v>0.32</v>
      </c>
      <c r="P44" s="50">
        <f>VLOOKUP($A44,'Data shares'!$C:$FB,125)</f>
        <v>0.49</v>
      </c>
      <c r="Q44" s="50">
        <f>VLOOKUP($A44,'Data shares'!$C:$FB,127)*100</f>
        <v>-34.69</v>
      </c>
    </row>
    <row r="45" spans="1:17" x14ac:dyDescent="0.25">
      <c r="A45" s="97" t="str">
        <f>'Data Vlaue (Cr)'!C40</f>
        <v>CANBK</v>
      </c>
      <c r="B45" s="140">
        <f>VLOOKUP($A45,'Data shares'!$C:$FB,7)</f>
        <v>129.13</v>
      </c>
      <c r="C45" s="140">
        <f>VLOOKUP($A45,'Data shares'!$C:$FB,3)</f>
        <v>129.22999999999999</v>
      </c>
      <c r="D45" s="140">
        <f>VLOOKUP($A45,'Data shares'!$C:$FB,4)</f>
        <v>125.54</v>
      </c>
      <c r="E45" s="50">
        <f t="shared" si="0"/>
        <v>2.9393022144336332</v>
      </c>
      <c r="F45" s="49">
        <f>VLOOKUP($A45,'Data shares'!$C:$FB,98)</f>
        <v>468011250</v>
      </c>
      <c r="G45" s="49">
        <f>VLOOKUP($A45,'Data shares'!$C:$FB,99)</f>
        <v>482645250</v>
      </c>
      <c r="H45" s="50">
        <f t="shared" si="1"/>
        <v>-3.0320406136805449</v>
      </c>
      <c r="I45" s="49">
        <f>VLOOKUP($A45,'Data shares'!$C:$FB,66)</f>
        <v>521349750</v>
      </c>
      <c r="J45" s="49">
        <f>VLOOKUP($A45,'Data shares'!$C:$FB,67)</f>
        <v>358749000</v>
      </c>
      <c r="K45" s="50">
        <f t="shared" si="2"/>
        <v>31.188420057744342</v>
      </c>
      <c r="L45" s="50">
        <f>VLOOKUP($A45,'Data shares'!$C:$FB,118)</f>
        <v>0.92</v>
      </c>
      <c r="M45" s="50">
        <f>VLOOKUP($A45,'Data shares'!$C:$FB,119)</f>
        <v>0.77</v>
      </c>
      <c r="N45" s="50">
        <f>VLOOKUP($A45,'Data shares'!$C:$FB,121)*100</f>
        <v>19.48</v>
      </c>
      <c r="O45" s="50">
        <f>VLOOKUP($A45,'Data shares'!$C:$FB,124)</f>
        <v>0.39</v>
      </c>
      <c r="P45" s="50">
        <f>VLOOKUP($A45,'Data shares'!$C:$FB,125)</f>
        <v>0.47</v>
      </c>
      <c r="Q45" s="50">
        <f>VLOOKUP($A45,'Data shares'!$C:$FB,127)*100</f>
        <v>-17.02</v>
      </c>
    </row>
    <row r="46" spans="1:17" x14ac:dyDescent="0.25">
      <c r="A46" s="97" t="str">
        <f>'Data Vlaue (Cr)'!C41</f>
        <v>CDSL</v>
      </c>
      <c r="B46" s="140">
        <f>VLOOKUP($A46,'Data shares'!$C:$FB,7)</f>
        <v>1636.5</v>
      </c>
      <c r="C46" s="140">
        <f>VLOOKUP($A46,'Data shares'!$C:$FB,3)</f>
        <v>1639.4</v>
      </c>
      <c r="D46" s="140">
        <f>VLOOKUP($A46,'Data shares'!$C:$FB,4)</f>
        <v>1591.1</v>
      </c>
      <c r="E46" s="50">
        <f t="shared" si="0"/>
        <v>3.0356357237131664</v>
      </c>
      <c r="F46" s="49">
        <f>VLOOKUP($A46,'Data shares'!$C:$FB,98)</f>
        <v>18823300</v>
      </c>
      <c r="G46" s="49">
        <f>VLOOKUP($A46,'Data shares'!$C:$FB,99)</f>
        <v>19750500</v>
      </c>
      <c r="H46" s="50">
        <f t="shared" si="1"/>
        <v>-4.6945646945646944</v>
      </c>
      <c r="I46" s="49">
        <f>VLOOKUP($A46,'Data shares'!$C:$FB,66)</f>
        <v>38812250</v>
      </c>
      <c r="J46" s="49">
        <f>VLOOKUP($A46,'Data shares'!$C:$FB,67)</f>
        <v>27480175</v>
      </c>
      <c r="K46" s="50">
        <f t="shared" si="2"/>
        <v>29.197160690245994</v>
      </c>
      <c r="L46" s="50">
        <f>VLOOKUP($A46,'Data shares'!$C:$FB,118)</f>
        <v>0.79</v>
      </c>
      <c r="M46" s="50">
        <f>VLOOKUP($A46,'Data shares'!$C:$FB,119)</f>
        <v>0.68</v>
      </c>
      <c r="N46" s="50">
        <f>VLOOKUP($A46,'Data shares'!$C:$FB,121)*100</f>
        <v>16.18</v>
      </c>
      <c r="O46" s="50">
        <f>VLOOKUP($A46,'Data shares'!$C:$FB,124)</f>
        <v>0.46</v>
      </c>
      <c r="P46" s="50">
        <f>VLOOKUP($A46,'Data shares'!$C:$FB,125)</f>
        <v>0.57999999999999996</v>
      </c>
      <c r="Q46" s="50">
        <f>VLOOKUP($A46,'Data shares'!$C:$FB,127)*100</f>
        <v>-20.69</v>
      </c>
    </row>
    <row r="47" spans="1:17" x14ac:dyDescent="0.25">
      <c r="A47" s="97" t="str">
        <f>'Data Vlaue (Cr)'!C42</f>
        <v>CGPOWER</v>
      </c>
      <c r="B47" s="140">
        <f>VLOOKUP($A47,'Data shares'!$C:$FB,7)</f>
        <v>728.35</v>
      </c>
      <c r="C47" s="140">
        <f>VLOOKUP($A47,'Data shares'!$C:$FB,3)</f>
        <v>727.65</v>
      </c>
      <c r="D47" s="140">
        <f>VLOOKUP($A47,'Data shares'!$C:$FB,4)</f>
        <v>723.15</v>
      </c>
      <c r="E47" s="50">
        <f t="shared" si="0"/>
        <v>0.62227753578095835</v>
      </c>
      <c r="F47" s="49">
        <f>VLOOKUP($A47,'Data shares'!$C:$FB,98)</f>
        <v>24514000</v>
      </c>
      <c r="G47" s="49">
        <f>VLOOKUP($A47,'Data shares'!$C:$FB,99)</f>
        <v>26044000</v>
      </c>
      <c r="H47" s="50">
        <f t="shared" si="1"/>
        <v>-5.8746736292428201</v>
      </c>
      <c r="I47" s="49">
        <f>VLOOKUP($A47,'Data shares'!$C:$FB,66)</f>
        <v>19880650</v>
      </c>
      <c r="J47" s="49">
        <f>VLOOKUP($A47,'Data shares'!$C:$FB,67)</f>
        <v>28267600</v>
      </c>
      <c r="K47" s="50">
        <f t="shared" si="2"/>
        <v>-42.186497926375651</v>
      </c>
      <c r="L47" s="50">
        <f>VLOOKUP($A47,'Data shares'!$C:$FB,118)</f>
        <v>0.67</v>
      </c>
      <c r="M47" s="50">
        <f>VLOOKUP($A47,'Data shares'!$C:$FB,119)</f>
        <v>0.62</v>
      </c>
      <c r="N47" s="50">
        <f>VLOOKUP($A47,'Data shares'!$C:$FB,121)*100</f>
        <v>8.06</v>
      </c>
      <c r="O47" s="50">
        <f>VLOOKUP($A47,'Data shares'!$C:$FB,124)</f>
        <v>0.66</v>
      </c>
      <c r="P47" s="50">
        <f>VLOOKUP($A47,'Data shares'!$C:$FB,125)</f>
        <v>0.45</v>
      </c>
      <c r="Q47" s="50">
        <f>VLOOKUP($A47,'Data shares'!$C:$FB,127)*100</f>
        <v>46.67</v>
      </c>
    </row>
    <row r="48" spans="1:17" x14ac:dyDescent="0.25">
      <c r="A48" s="97" t="str">
        <f>'Data Vlaue (Cr)'!C43</f>
        <v>CHOLAFIN</v>
      </c>
      <c r="B48" s="140">
        <f>VLOOKUP($A48,'Data shares'!$C:$FB,7)</f>
        <v>1732.4</v>
      </c>
      <c r="C48" s="140">
        <f>VLOOKUP($A48,'Data shares'!$C:$FB,3)</f>
        <v>1734.6</v>
      </c>
      <c r="D48" s="140">
        <f>VLOOKUP($A48,'Data shares'!$C:$FB,4)</f>
        <v>1722.6</v>
      </c>
      <c r="E48" s="50">
        <f t="shared" si="0"/>
        <v>0.69662138627655867</v>
      </c>
      <c r="F48" s="49">
        <f>VLOOKUP($A48,'Data shares'!$C:$FB,98)</f>
        <v>23240000</v>
      </c>
      <c r="G48" s="49">
        <f>VLOOKUP($A48,'Data shares'!$C:$FB,99)</f>
        <v>23327500</v>
      </c>
      <c r="H48" s="50">
        <f t="shared" si="1"/>
        <v>-0.37509377344336081</v>
      </c>
      <c r="I48" s="49">
        <f>VLOOKUP($A48,'Data shares'!$C:$FB,66)</f>
        <v>46890000</v>
      </c>
      <c r="J48" s="49">
        <f>VLOOKUP($A48,'Data shares'!$C:$FB,67)</f>
        <v>45499375</v>
      </c>
      <c r="K48" s="50">
        <f t="shared" si="2"/>
        <v>2.9657176370228191</v>
      </c>
      <c r="L48" s="50">
        <f>VLOOKUP($A48,'Data shares'!$C:$FB,118)</f>
        <v>0.78</v>
      </c>
      <c r="M48" s="50">
        <f>VLOOKUP($A48,'Data shares'!$C:$FB,119)</f>
        <v>0.77</v>
      </c>
      <c r="N48" s="50">
        <f>VLOOKUP($A48,'Data shares'!$C:$FB,121)*100</f>
        <v>1.3</v>
      </c>
      <c r="O48" s="50">
        <f>VLOOKUP($A48,'Data shares'!$C:$FB,124)</f>
        <v>0.48</v>
      </c>
      <c r="P48" s="50">
        <f>VLOOKUP($A48,'Data shares'!$C:$FB,125)</f>
        <v>0.28000000000000003</v>
      </c>
      <c r="Q48" s="50">
        <f>VLOOKUP($A48,'Data shares'!$C:$FB,127)*100</f>
        <v>71.430000000000007</v>
      </c>
    </row>
    <row r="49" spans="1:17" x14ac:dyDescent="0.25">
      <c r="A49" s="97" t="str">
        <f>'Data Vlaue (Cr)'!C44</f>
        <v>CIPLA</v>
      </c>
      <c r="B49" s="140">
        <f>VLOOKUP($A49,'Data shares'!$C:$FB,7)</f>
        <v>1584</v>
      </c>
      <c r="C49" s="140">
        <f>VLOOKUP($A49,'Data shares'!$C:$FB,3)</f>
        <v>1582.8</v>
      </c>
      <c r="D49" s="140">
        <f>VLOOKUP($A49,'Data shares'!$C:$FB,4)</f>
        <v>1583.1</v>
      </c>
      <c r="E49" s="50">
        <f t="shared" si="0"/>
        <v>-1.8950161076366278E-2</v>
      </c>
      <c r="F49" s="49">
        <f>VLOOKUP($A49,'Data shares'!$C:$FB,98)</f>
        <v>32928375</v>
      </c>
      <c r="G49" s="49">
        <f>VLOOKUP($A49,'Data shares'!$C:$FB,99)</f>
        <v>33934125</v>
      </c>
      <c r="H49" s="50">
        <f t="shared" si="1"/>
        <v>-2.9638306571924278</v>
      </c>
      <c r="I49" s="49">
        <f>VLOOKUP($A49,'Data shares'!$C:$FB,66)</f>
        <v>46550625</v>
      </c>
      <c r="J49" s="49">
        <f>VLOOKUP($A49,'Data shares'!$C:$FB,67)</f>
        <v>87319500</v>
      </c>
      <c r="K49" s="50">
        <f t="shared" si="2"/>
        <v>-87.579651186208565</v>
      </c>
      <c r="L49" s="50">
        <f>VLOOKUP($A49,'Data shares'!$C:$FB,118)</f>
        <v>0.49</v>
      </c>
      <c r="M49" s="50">
        <f>VLOOKUP($A49,'Data shares'!$C:$FB,119)</f>
        <v>0.47</v>
      </c>
      <c r="N49" s="50">
        <f>VLOOKUP($A49,'Data shares'!$C:$FB,121)*100</f>
        <v>4.26</v>
      </c>
      <c r="O49" s="50">
        <f>VLOOKUP($A49,'Data shares'!$C:$FB,124)</f>
        <v>0.5</v>
      </c>
      <c r="P49" s="50">
        <f>VLOOKUP($A49,'Data shares'!$C:$FB,125)</f>
        <v>0.56999999999999995</v>
      </c>
      <c r="Q49" s="50">
        <f>VLOOKUP($A49,'Data shares'!$C:$FB,127)*100</f>
        <v>-12.280000000000001</v>
      </c>
    </row>
    <row r="50" spans="1:17" x14ac:dyDescent="0.25">
      <c r="A50" s="97" t="str">
        <f>'Data Vlaue (Cr)'!C45</f>
        <v>COALINDIA</v>
      </c>
      <c r="B50" s="140">
        <f>VLOOKUP($A50,'Data shares'!$C:$FB,7)</f>
        <v>396.7</v>
      </c>
      <c r="C50" s="140">
        <f>VLOOKUP($A50,'Data shares'!$C:$FB,3)</f>
        <v>396.55</v>
      </c>
      <c r="D50" s="140">
        <f>VLOOKUP($A50,'Data shares'!$C:$FB,4)</f>
        <v>393.95</v>
      </c>
      <c r="E50" s="50">
        <f t="shared" si="0"/>
        <v>0.65998223124762601</v>
      </c>
      <c r="F50" s="49">
        <f>VLOOKUP($A50,'Data shares'!$C:$FB,98)</f>
        <v>116455050</v>
      </c>
      <c r="G50" s="49">
        <f>VLOOKUP($A50,'Data shares'!$C:$FB,99)</f>
        <v>117000450</v>
      </c>
      <c r="H50" s="50">
        <f t="shared" si="1"/>
        <v>-0.46615205326133358</v>
      </c>
      <c r="I50" s="49">
        <f>VLOOKUP($A50,'Data shares'!$C:$FB,66)</f>
        <v>101613150</v>
      </c>
      <c r="J50" s="49">
        <f>VLOOKUP($A50,'Data shares'!$C:$FB,67)</f>
        <v>78571350</v>
      </c>
      <c r="K50" s="50">
        <f t="shared" si="2"/>
        <v>22.676002072566394</v>
      </c>
      <c r="L50" s="50">
        <f>VLOOKUP($A50,'Data shares'!$C:$FB,118)</f>
        <v>0.83</v>
      </c>
      <c r="M50" s="50">
        <f>VLOOKUP($A50,'Data shares'!$C:$FB,119)</f>
        <v>0.74</v>
      </c>
      <c r="N50" s="50">
        <f>VLOOKUP($A50,'Data shares'!$C:$FB,121)*100</f>
        <v>12.16</v>
      </c>
      <c r="O50" s="50">
        <f>VLOOKUP($A50,'Data shares'!$C:$FB,124)</f>
        <v>0.55000000000000004</v>
      </c>
      <c r="P50" s="50">
        <f>VLOOKUP($A50,'Data shares'!$C:$FB,125)</f>
        <v>0.64</v>
      </c>
      <c r="Q50" s="50">
        <f>VLOOKUP($A50,'Data shares'!$C:$FB,127)*100</f>
        <v>-14.06</v>
      </c>
    </row>
    <row r="51" spans="1:17" x14ac:dyDescent="0.25">
      <c r="A51" s="97" t="str">
        <f>'Data Vlaue (Cr)'!C46</f>
        <v>COFORGE</v>
      </c>
      <c r="B51" s="140">
        <f>VLOOKUP($A51,'Data shares'!$C:$FB,7)</f>
        <v>1830.6</v>
      </c>
      <c r="C51" s="140">
        <f>VLOOKUP($A51,'Data shares'!$C:$FB,3)</f>
        <v>1830.5</v>
      </c>
      <c r="D51" s="140">
        <f>VLOOKUP($A51,'Data shares'!$C:$FB,4)</f>
        <v>1759.4</v>
      </c>
      <c r="E51" s="50">
        <f t="shared" si="0"/>
        <v>4.0411503921791461</v>
      </c>
      <c r="F51" s="49">
        <f>VLOOKUP($A51,'Data shares'!$C:$FB,98)</f>
        <v>24960750</v>
      </c>
      <c r="G51" s="49">
        <f>VLOOKUP($A51,'Data shares'!$C:$FB,99)</f>
        <v>25016625</v>
      </c>
      <c r="H51" s="50">
        <f t="shared" si="1"/>
        <v>-0.2233514712716044</v>
      </c>
      <c r="I51" s="49">
        <f>VLOOKUP($A51,'Data shares'!$C:$FB,66)</f>
        <v>110348625</v>
      </c>
      <c r="J51" s="49">
        <f>VLOOKUP($A51,'Data shares'!$C:$FB,67)</f>
        <v>34428000</v>
      </c>
      <c r="K51" s="50">
        <f t="shared" si="2"/>
        <v>68.800698694705076</v>
      </c>
      <c r="L51" s="50">
        <f>VLOOKUP($A51,'Data shares'!$C:$FB,118)</f>
        <v>0.68</v>
      </c>
      <c r="M51" s="50">
        <f>VLOOKUP($A51,'Data shares'!$C:$FB,119)</f>
        <v>0.56000000000000005</v>
      </c>
      <c r="N51" s="50">
        <f>VLOOKUP($A51,'Data shares'!$C:$FB,121)*100</f>
        <v>21.43</v>
      </c>
      <c r="O51" s="50">
        <f>VLOOKUP($A51,'Data shares'!$C:$FB,124)</f>
        <v>0.56999999999999995</v>
      </c>
      <c r="P51" s="50">
        <f>VLOOKUP($A51,'Data shares'!$C:$FB,125)</f>
        <v>0.42</v>
      </c>
      <c r="Q51" s="50">
        <f>VLOOKUP($A51,'Data shares'!$C:$FB,127)*100</f>
        <v>35.709999999999994</v>
      </c>
    </row>
    <row r="52" spans="1:17" x14ac:dyDescent="0.25">
      <c r="A52" s="97" t="str">
        <f>'Data Vlaue (Cr)'!C47</f>
        <v>COLPAL</v>
      </c>
      <c r="B52" s="140">
        <f>VLOOKUP($A52,'Data shares'!$C:$FB,7)</f>
        <v>2216.5</v>
      </c>
      <c r="C52" s="140">
        <f>VLOOKUP($A52,'Data shares'!$C:$FB,3)</f>
        <v>2221.5</v>
      </c>
      <c r="D52" s="140">
        <f>VLOOKUP($A52,'Data shares'!$C:$FB,4)</f>
        <v>2235.1</v>
      </c>
      <c r="E52" s="50">
        <f t="shared" si="0"/>
        <v>-0.60847389378550887</v>
      </c>
      <c r="F52" s="49">
        <f>VLOOKUP($A52,'Data shares'!$C:$FB,98)</f>
        <v>10971225</v>
      </c>
      <c r="G52" s="49">
        <f>VLOOKUP($A52,'Data shares'!$C:$FB,99)</f>
        <v>10836675</v>
      </c>
      <c r="H52" s="50">
        <f t="shared" si="1"/>
        <v>1.2416170089072525</v>
      </c>
      <c r="I52" s="49">
        <f>VLOOKUP($A52,'Data shares'!$C:$FB,66)</f>
        <v>11204550</v>
      </c>
      <c r="J52" s="49">
        <f>VLOOKUP($A52,'Data shares'!$C:$FB,67)</f>
        <v>34778700</v>
      </c>
      <c r="K52" s="50">
        <f t="shared" si="2"/>
        <v>-210.39800795212659</v>
      </c>
      <c r="L52" s="50">
        <f>VLOOKUP($A52,'Data shares'!$C:$FB,118)</f>
        <v>0.67</v>
      </c>
      <c r="M52" s="50">
        <f>VLOOKUP($A52,'Data shares'!$C:$FB,119)</f>
        <v>0.72</v>
      </c>
      <c r="N52" s="50">
        <f>VLOOKUP($A52,'Data shares'!$C:$FB,121)*100</f>
        <v>-6.94</v>
      </c>
      <c r="O52" s="50">
        <f>VLOOKUP($A52,'Data shares'!$C:$FB,124)</f>
        <v>0.56000000000000005</v>
      </c>
      <c r="P52" s="50">
        <f>VLOOKUP($A52,'Data shares'!$C:$FB,125)</f>
        <v>0.53</v>
      </c>
      <c r="Q52" s="50">
        <f>VLOOKUP($A52,'Data shares'!$C:$FB,127)*100</f>
        <v>5.66</v>
      </c>
    </row>
    <row r="53" spans="1:17" x14ac:dyDescent="0.25">
      <c r="A53" s="97" t="str">
        <f>'Data Vlaue (Cr)'!C48</f>
        <v>CONCOR</v>
      </c>
      <c r="B53" s="140">
        <f>VLOOKUP($A53,'Data shares'!$C:$FB,7)</f>
        <v>540.75</v>
      </c>
      <c r="C53" s="140">
        <f>VLOOKUP($A53,'Data shares'!$C:$FB,3)</f>
        <v>541</v>
      </c>
      <c r="D53" s="140">
        <f>VLOOKUP($A53,'Data shares'!$C:$FB,4)</f>
        <v>538.5</v>
      </c>
      <c r="E53" s="50">
        <f t="shared" si="0"/>
        <v>0.46425255338904359</v>
      </c>
      <c r="F53" s="49">
        <f>VLOOKUP($A53,'Data shares'!$C:$FB,98)</f>
        <v>45273750</v>
      </c>
      <c r="G53" s="49">
        <f>VLOOKUP($A53,'Data shares'!$C:$FB,99)</f>
        <v>46101250</v>
      </c>
      <c r="H53" s="50">
        <f t="shared" si="1"/>
        <v>-1.7949621756459966</v>
      </c>
      <c r="I53" s="49">
        <f>VLOOKUP($A53,'Data shares'!$C:$FB,66)</f>
        <v>30232500</v>
      </c>
      <c r="J53" s="49">
        <f>VLOOKUP($A53,'Data shares'!$C:$FB,67)</f>
        <v>47192500</v>
      </c>
      <c r="K53" s="50">
        <f t="shared" si="2"/>
        <v>-56.098569420325802</v>
      </c>
      <c r="L53" s="50">
        <f>VLOOKUP($A53,'Data shares'!$C:$FB,118)</f>
        <v>0.79</v>
      </c>
      <c r="M53" s="50">
        <f>VLOOKUP($A53,'Data shares'!$C:$FB,119)</f>
        <v>0.8</v>
      </c>
      <c r="N53" s="50">
        <f>VLOOKUP($A53,'Data shares'!$C:$FB,121)*100</f>
        <v>-1.25</v>
      </c>
      <c r="O53" s="50">
        <f>VLOOKUP($A53,'Data shares'!$C:$FB,124)</f>
        <v>0.47</v>
      </c>
      <c r="P53" s="50">
        <f>VLOOKUP($A53,'Data shares'!$C:$FB,125)</f>
        <v>0.49</v>
      </c>
      <c r="Q53" s="50">
        <f>VLOOKUP($A53,'Data shares'!$C:$FB,127)*100</f>
        <v>-4.08</v>
      </c>
    </row>
    <row r="54" spans="1:17" x14ac:dyDescent="0.25">
      <c r="A54" s="97" t="str">
        <f>'Data Vlaue (Cr)'!C49</f>
        <v>CROMPTON</v>
      </c>
      <c r="B54" s="140">
        <f>VLOOKUP($A54,'Data shares'!$C:$FB,7)</f>
        <v>292.05</v>
      </c>
      <c r="C54" s="140">
        <f>VLOOKUP($A54,'Data shares'!$C:$FB,3)</f>
        <v>292.25</v>
      </c>
      <c r="D54" s="140">
        <f>VLOOKUP($A54,'Data shares'!$C:$FB,4)</f>
        <v>293.55</v>
      </c>
      <c r="E54" s="50">
        <f t="shared" si="0"/>
        <v>-0.44285470958951162</v>
      </c>
      <c r="F54" s="49">
        <f>VLOOKUP($A54,'Data shares'!$C:$FB,98)</f>
        <v>90675000</v>
      </c>
      <c r="G54" s="49">
        <f>VLOOKUP($A54,'Data shares'!$C:$FB,99)</f>
        <v>84151800</v>
      </c>
      <c r="H54" s="50">
        <f t="shared" si="1"/>
        <v>7.7517058458642598</v>
      </c>
      <c r="I54" s="49">
        <f>VLOOKUP($A54,'Data shares'!$C:$FB,66)</f>
        <v>64530000</v>
      </c>
      <c r="J54" s="49">
        <f>VLOOKUP($A54,'Data shares'!$C:$FB,67)</f>
        <v>70135200</v>
      </c>
      <c r="K54" s="50">
        <f t="shared" si="2"/>
        <v>-8.6861924686192467</v>
      </c>
      <c r="L54" s="50">
        <f>VLOOKUP($A54,'Data shares'!$C:$FB,118)</f>
        <v>0.6</v>
      </c>
      <c r="M54" s="50">
        <f>VLOOKUP($A54,'Data shares'!$C:$FB,119)</f>
        <v>0.63</v>
      </c>
      <c r="N54" s="50">
        <f>VLOOKUP($A54,'Data shares'!$C:$FB,121)*100</f>
        <v>-4.7600000000000007</v>
      </c>
      <c r="O54" s="50">
        <f>VLOOKUP($A54,'Data shares'!$C:$FB,124)</f>
        <v>0.35</v>
      </c>
      <c r="P54" s="50">
        <f>VLOOKUP($A54,'Data shares'!$C:$FB,125)</f>
        <v>0.35</v>
      </c>
      <c r="Q54" s="50">
        <f>VLOOKUP($A54,'Data shares'!$C:$FB,127)*100</f>
        <v>0</v>
      </c>
    </row>
    <row r="55" spans="1:17" x14ac:dyDescent="0.25">
      <c r="A55" s="97" t="str">
        <f>'Data Vlaue (Cr)'!C50</f>
        <v>CUMMINSIND</v>
      </c>
      <c r="B55" s="140">
        <f>VLOOKUP($A55,'Data shares'!$C:$FB,7)</f>
        <v>4311.5</v>
      </c>
      <c r="C55" s="140">
        <f>VLOOKUP($A55,'Data shares'!$C:$FB,3)</f>
        <v>4310.8999999999996</v>
      </c>
      <c r="D55" s="140">
        <f>VLOOKUP($A55,'Data shares'!$C:$FB,4)</f>
        <v>4192.3</v>
      </c>
      <c r="E55" s="50">
        <f t="shared" si="0"/>
        <v>2.8289960165064394</v>
      </c>
      <c r="F55" s="49">
        <f>VLOOKUP($A55,'Data shares'!$C:$FB,98)</f>
        <v>5400400</v>
      </c>
      <c r="G55" s="49">
        <f>VLOOKUP($A55,'Data shares'!$C:$FB,99)</f>
        <v>4870800</v>
      </c>
      <c r="H55" s="50">
        <f t="shared" si="1"/>
        <v>10.87295721442063</v>
      </c>
      <c r="I55" s="49">
        <f>VLOOKUP($A55,'Data shares'!$C:$FB,66)</f>
        <v>15572600</v>
      </c>
      <c r="J55" s="49">
        <f>VLOOKUP($A55,'Data shares'!$C:$FB,67)</f>
        <v>18453200</v>
      </c>
      <c r="K55" s="50">
        <f t="shared" si="2"/>
        <v>-18.497874471828723</v>
      </c>
      <c r="L55" s="50">
        <f>VLOOKUP($A55,'Data shares'!$C:$FB,118)</f>
        <v>1.1299999999999999</v>
      </c>
      <c r="M55" s="50">
        <f>VLOOKUP($A55,'Data shares'!$C:$FB,119)</f>
        <v>0.79</v>
      </c>
      <c r="N55" s="50">
        <f>VLOOKUP($A55,'Data shares'!$C:$FB,121)*100</f>
        <v>43.04</v>
      </c>
      <c r="O55" s="50">
        <f>VLOOKUP($A55,'Data shares'!$C:$FB,124)</f>
        <v>0.47</v>
      </c>
      <c r="P55" s="50">
        <f>VLOOKUP($A55,'Data shares'!$C:$FB,125)</f>
        <v>0.32</v>
      </c>
      <c r="Q55" s="50">
        <f>VLOOKUP($A55,'Data shares'!$C:$FB,127)*100</f>
        <v>46.87</v>
      </c>
    </row>
    <row r="56" spans="1:17" x14ac:dyDescent="0.25">
      <c r="A56" s="97" t="str">
        <f>'Data Vlaue (Cr)'!C51</f>
        <v>CYIENT</v>
      </c>
      <c r="B56" s="140">
        <f>VLOOKUP($A56,'Data shares'!$C:$FB,7)</f>
        <v>1208.0999999999999</v>
      </c>
      <c r="C56" s="140">
        <f>VLOOKUP($A56,'Data shares'!$C:$FB,3)</f>
        <v>1209.2</v>
      </c>
      <c r="D56" s="140">
        <f>VLOOKUP($A56,'Data shares'!$C:$FB,4)</f>
        <v>1187.5</v>
      </c>
      <c r="E56" s="50">
        <f t="shared" si="0"/>
        <v>1.8273684210526355</v>
      </c>
      <c r="F56" s="49">
        <f>VLOOKUP($A56,'Data shares'!$C:$FB,98)</f>
        <v>7709075</v>
      </c>
      <c r="G56" s="49">
        <f>VLOOKUP($A56,'Data shares'!$C:$FB,99)</f>
        <v>8614325</v>
      </c>
      <c r="H56" s="50">
        <f t="shared" si="1"/>
        <v>-10.508658542602003</v>
      </c>
      <c r="I56" s="49">
        <f>VLOOKUP($A56,'Data shares'!$C:$FB,66)</f>
        <v>7359300</v>
      </c>
      <c r="J56" s="49">
        <f>VLOOKUP($A56,'Data shares'!$C:$FB,67)</f>
        <v>8118775</v>
      </c>
      <c r="K56" s="50">
        <f t="shared" si="2"/>
        <v>-10.31993531993532</v>
      </c>
      <c r="L56" s="50">
        <f>VLOOKUP($A56,'Data shares'!$C:$FB,118)</f>
        <v>0.89</v>
      </c>
      <c r="M56" s="50">
        <f>VLOOKUP($A56,'Data shares'!$C:$FB,119)</f>
        <v>0.79</v>
      </c>
      <c r="N56" s="50">
        <f>VLOOKUP($A56,'Data shares'!$C:$FB,121)*100</f>
        <v>12.659999999999998</v>
      </c>
      <c r="O56" s="50">
        <f>VLOOKUP($A56,'Data shares'!$C:$FB,124)</f>
        <v>0.49</v>
      </c>
      <c r="P56" s="50">
        <f>VLOOKUP($A56,'Data shares'!$C:$FB,125)</f>
        <v>0.56999999999999995</v>
      </c>
      <c r="Q56" s="50">
        <f>VLOOKUP($A56,'Data shares'!$C:$FB,127)*100</f>
        <v>-14.04</v>
      </c>
    </row>
    <row r="57" spans="1:17" x14ac:dyDescent="0.25">
      <c r="A57" s="97" t="str">
        <f>'Data Vlaue (Cr)'!C52</f>
        <v>DABUR</v>
      </c>
      <c r="B57" s="140">
        <f>VLOOKUP($A57,'Data shares'!$C:$FB,7)</f>
        <v>507.05</v>
      </c>
      <c r="C57" s="140">
        <f>VLOOKUP($A57,'Data shares'!$C:$FB,3)</f>
        <v>506.45</v>
      </c>
      <c r="D57" s="140">
        <f>VLOOKUP($A57,'Data shares'!$C:$FB,4)</f>
        <v>507.75</v>
      </c>
      <c r="E57" s="50">
        <f t="shared" si="0"/>
        <v>-0.25603151157065707</v>
      </c>
      <c r="F57" s="49">
        <f>VLOOKUP($A57,'Data shares'!$C:$FB,98)</f>
        <v>40008750</v>
      </c>
      <c r="G57" s="49">
        <f>VLOOKUP($A57,'Data shares'!$C:$FB,99)</f>
        <v>41335000</v>
      </c>
      <c r="H57" s="50">
        <f t="shared" si="1"/>
        <v>-3.2085399782266841</v>
      </c>
      <c r="I57" s="49">
        <f>VLOOKUP($A57,'Data shares'!$C:$FB,66)</f>
        <v>35391250</v>
      </c>
      <c r="J57" s="49">
        <f>VLOOKUP($A57,'Data shares'!$C:$FB,67)</f>
        <v>48838750</v>
      </c>
      <c r="K57" s="50">
        <f t="shared" si="2"/>
        <v>-37.996679970331648</v>
      </c>
      <c r="L57" s="50">
        <f>VLOOKUP($A57,'Data shares'!$C:$FB,118)</f>
        <v>0.66</v>
      </c>
      <c r="M57" s="50">
        <f>VLOOKUP($A57,'Data shares'!$C:$FB,119)</f>
        <v>0.64</v>
      </c>
      <c r="N57" s="50">
        <f>VLOOKUP($A57,'Data shares'!$C:$FB,121)*100</f>
        <v>3.1300000000000003</v>
      </c>
      <c r="O57" s="50">
        <f>VLOOKUP($A57,'Data shares'!$C:$FB,124)</f>
        <v>0.53</v>
      </c>
      <c r="P57" s="50">
        <f>VLOOKUP($A57,'Data shares'!$C:$FB,125)</f>
        <v>0.84</v>
      </c>
      <c r="Q57" s="50">
        <f>VLOOKUP($A57,'Data shares'!$C:$FB,127)*100</f>
        <v>-36.9</v>
      </c>
    </row>
    <row r="58" spans="1:17" x14ac:dyDescent="0.25">
      <c r="A58" s="97" t="str">
        <f>'Data Vlaue (Cr)'!C53</f>
        <v>DALBHARAT</v>
      </c>
      <c r="B58" s="140">
        <f>VLOOKUP($A58,'Data shares'!$C:$FB,7)</f>
        <v>2093.1999999999998</v>
      </c>
      <c r="C58" s="140">
        <f>VLOOKUP($A58,'Data shares'!$C:$FB,3)</f>
        <v>2096.9</v>
      </c>
      <c r="D58" s="140">
        <f>VLOOKUP($A58,'Data shares'!$C:$FB,4)</f>
        <v>2101.4</v>
      </c>
      <c r="E58" s="50">
        <f t="shared" si="0"/>
        <v>-0.21414295231750261</v>
      </c>
      <c r="F58" s="49">
        <f>VLOOKUP($A58,'Data shares'!$C:$FB,98)</f>
        <v>4329975</v>
      </c>
      <c r="G58" s="49">
        <f>VLOOKUP($A58,'Data shares'!$C:$FB,99)</f>
        <v>4684550</v>
      </c>
      <c r="H58" s="50">
        <f t="shared" si="1"/>
        <v>-7.5690301096156514</v>
      </c>
      <c r="I58" s="49">
        <f>VLOOKUP($A58,'Data shares'!$C:$FB,66)</f>
        <v>4352725</v>
      </c>
      <c r="J58" s="49">
        <f>VLOOKUP($A58,'Data shares'!$C:$FB,67)</f>
        <v>6608225</v>
      </c>
      <c r="K58" s="50">
        <f t="shared" si="2"/>
        <v>-51.818113940117968</v>
      </c>
      <c r="L58" s="50">
        <f>VLOOKUP($A58,'Data shares'!$C:$FB,118)</f>
        <v>0.44</v>
      </c>
      <c r="M58" s="50">
        <f>VLOOKUP($A58,'Data shares'!$C:$FB,119)</f>
        <v>0.42</v>
      </c>
      <c r="N58" s="50">
        <f>VLOOKUP($A58,'Data shares'!$C:$FB,121)*100</f>
        <v>4.7600000000000007</v>
      </c>
      <c r="O58" s="50">
        <f>VLOOKUP($A58,'Data shares'!$C:$FB,124)</f>
        <v>0.36</v>
      </c>
      <c r="P58" s="50">
        <f>VLOOKUP($A58,'Data shares'!$C:$FB,125)</f>
        <v>0.37</v>
      </c>
      <c r="Q58" s="50">
        <f>VLOOKUP($A58,'Data shares'!$C:$FB,127)*100</f>
        <v>-2.7</v>
      </c>
    </row>
    <row r="59" spans="1:17" x14ac:dyDescent="0.25">
      <c r="A59" s="97" t="str">
        <f>'Data Vlaue (Cr)'!C54</f>
        <v>DELHIVERY</v>
      </c>
      <c r="B59" s="140">
        <f>VLOOKUP($A59,'Data shares'!$C:$FB,7)</f>
        <v>473</v>
      </c>
      <c r="C59" s="140">
        <f>VLOOKUP($A59,'Data shares'!$C:$FB,3)</f>
        <v>472.55</v>
      </c>
      <c r="D59" s="140">
        <f>VLOOKUP($A59,'Data shares'!$C:$FB,4)</f>
        <v>466.4</v>
      </c>
      <c r="E59" s="50">
        <f t="shared" si="0"/>
        <v>1.3186106346483779</v>
      </c>
      <c r="F59" s="49">
        <f>VLOOKUP($A59,'Data shares'!$C:$FB,98)</f>
        <v>34156575</v>
      </c>
      <c r="G59" s="49">
        <f>VLOOKUP($A59,'Data shares'!$C:$FB,99)</f>
        <v>35808275</v>
      </c>
      <c r="H59" s="50">
        <f t="shared" si="1"/>
        <v>-4.6126209654053429</v>
      </c>
      <c r="I59" s="49">
        <f>VLOOKUP($A59,'Data shares'!$C:$FB,66)</f>
        <v>29848875</v>
      </c>
      <c r="J59" s="49">
        <f>VLOOKUP($A59,'Data shares'!$C:$FB,67)</f>
        <v>43581225</v>
      </c>
      <c r="K59" s="50">
        <f t="shared" si="2"/>
        <v>-46.006256517205422</v>
      </c>
      <c r="L59" s="50">
        <f>VLOOKUP($A59,'Data shares'!$C:$FB,118)</f>
        <v>0.63</v>
      </c>
      <c r="M59" s="50">
        <f>VLOOKUP($A59,'Data shares'!$C:$FB,119)</f>
        <v>0.53</v>
      </c>
      <c r="N59" s="50">
        <f>VLOOKUP($A59,'Data shares'!$C:$FB,121)*100</f>
        <v>18.87</v>
      </c>
      <c r="O59" s="50">
        <f>VLOOKUP($A59,'Data shares'!$C:$FB,124)</f>
        <v>0.54</v>
      </c>
      <c r="P59" s="50">
        <f>VLOOKUP($A59,'Data shares'!$C:$FB,125)</f>
        <v>0.84</v>
      </c>
      <c r="Q59" s="50">
        <f>VLOOKUP($A59,'Data shares'!$C:$FB,127)*100</f>
        <v>-35.709999999999994</v>
      </c>
    </row>
    <row r="60" spans="1:17" x14ac:dyDescent="0.25">
      <c r="A60" s="97" t="str">
        <f>'Data Vlaue (Cr)'!C55</f>
        <v>DIVISLAB</v>
      </c>
      <c r="B60" s="140">
        <f>VLOOKUP($A60,'Data shares'!$C:$FB,7)</f>
        <v>6490</v>
      </c>
      <c r="C60" s="140">
        <f>VLOOKUP($A60,'Data shares'!$C:$FB,3)</f>
        <v>6485</v>
      </c>
      <c r="D60" s="140">
        <f>VLOOKUP($A60,'Data shares'!$C:$FB,4)</f>
        <v>6587.5</v>
      </c>
      <c r="E60" s="50">
        <f t="shared" si="0"/>
        <v>-1.555977229601518</v>
      </c>
      <c r="F60" s="49">
        <f>VLOOKUP($A60,'Data shares'!$C:$FB,98)</f>
        <v>5212000</v>
      </c>
      <c r="G60" s="49">
        <f>VLOOKUP($A60,'Data shares'!$C:$FB,99)</f>
        <v>5475400</v>
      </c>
      <c r="H60" s="50">
        <f t="shared" si="1"/>
        <v>-4.8106074442049893</v>
      </c>
      <c r="I60" s="49">
        <f>VLOOKUP($A60,'Data shares'!$C:$FB,66)</f>
        <v>6424300</v>
      </c>
      <c r="J60" s="49">
        <f>VLOOKUP($A60,'Data shares'!$C:$FB,67)</f>
        <v>4571200</v>
      </c>
      <c r="K60" s="50">
        <f t="shared" si="2"/>
        <v>28.845166010304624</v>
      </c>
      <c r="L60" s="50">
        <f>VLOOKUP($A60,'Data shares'!$C:$FB,118)</f>
        <v>0.84</v>
      </c>
      <c r="M60" s="50">
        <f>VLOOKUP($A60,'Data shares'!$C:$FB,119)</f>
        <v>1</v>
      </c>
      <c r="N60" s="50">
        <f>VLOOKUP($A60,'Data shares'!$C:$FB,121)*100</f>
        <v>-16</v>
      </c>
      <c r="O60" s="50">
        <f>VLOOKUP($A60,'Data shares'!$C:$FB,124)</f>
        <v>0.82</v>
      </c>
      <c r="P60" s="50">
        <f>VLOOKUP($A60,'Data shares'!$C:$FB,125)</f>
        <v>0.84</v>
      </c>
      <c r="Q60" s="50">
        <f>VLOOKUP($A60,'Data shares'!$C:$FB,127)*100</f>
        <v>-2.3800000000000003</v>
      </c>
    </row>
    <row r="61" spans="1:17" x14ac:dyDescent="0.25">
      <c r="A61" s="97" t="str">
        <f>'Data Vlaue (Cr)'!C56</f>
        <v>DIXON</v>
      </c>
      <c r="B61" s="140">
        <f>VLOOKUP($A61,'Data shares'!$C:$FB,7)</f>
        <v>15505</v>
      </c>
      <c r="C61" s="140">
        <f>VLOOKUP($A61,'Data shares'!$C:$FB,3)</f>
        <v>15528</v>
      </c>
      <c r="D61" s="140">
        <f>VLOOKUP($A61,'Data shares'!$C:$FB,4)</f>
        <v>15523</v>
      </c>
      <c r="E61" s="50">
        <f t="shared" si="0"/>
        <v>3.2210268633640404E-2</v>
      </c>
      <c r="F61" s="49">
        <f>VLOOKUP($A61,'Data shares'!$C:$FB,98)</f>
        <v>5885600</v>
      </c>
      <c r="G61" s="49">
        <f>VLOOKUP($A61,'Data shares'!$C:$FB,99)</f>
        <v>6352750</v>
      </c>
      <c r="H61" s="50">
        <f t="shared" si="1"/>
        <v>-7.3535083231671319</v>
      </c>
      <c r="I61" s="49">
        <f>VLOOKUP($A61,'Data shares'!$C:$FB,66)</f>
        <v>10705200</v>
      </c>
      <c r="J61" s="49">
        <f>VLOOKUP($A61,'Data shares'!$C:$FB,67)</f>
        <v>13493150</v>
      </c>
      <c r="K61" s="50">
        <f t="shared" si="2"/>
        <v>-26.042951089190304</v>
      </c>
      <c r="L61" s="50">
        <f>VLOOKUP($A61,'Data shares'!$C:$FB,118)</f>
        <v>0.42</v>
      </c>
      <c r="M61" s="50">
        <f>VLOOKUP($A61,'Data shares'!$C:$FB,119)</f>
        <v>0.4</v>
      </c>
      <c r="N61" s="50">
        <f>VLOOKUP($A61,'Data shares'!$C:$FB,121)*100</f>
        <v>5</v>
      </c>
      <c r="O61" s="50">
        <f>VLOOKUP($A61,'Data shares'!$C:$FB,124)</f>
        <v>0.47</v>
      </c>
      <c r="P61" s="50">
        <f>VLOOKUP($A61,'Data shares'!$C:$FB,125)</f>
        <v>0.64</v>
      </c>
      <c r="Q61" s="50">
        <f>VLOOKUP($A61,'Data shares'!$C:$FB,127)*100</f>
        <v>-26.56</v>
      </c>
    </row>
    <row r="62" spans="1:17" x14ac:dyDescent="0.25">
      <c r="A62" s="97" t="str">
        <f>'Data Vlaue (Cr)'!C57</f>
        <v>DLF</v>
      </c>
      <c r="B62" s="140">
        <f>VLOOKUP($A62,'Data shares'!$C:$FB,7)</f>
        <v>779.5</v>
      </c>
      <c r="C62" s="140">
        <f>VLOOKUP($A62,'Data shares'!$C:$FB,3)</f>
        <v>778.95</v>
      </c>
      <c r="D62" s="140">
        <f>VLOOKUP($A62,'Data shares'!$C:$FB,4)</f>
        <v>773.4</v>
      </c>
      <c r="E62" s="50">
        <f t="shared" si="0"/>
        <v>0.7176105508145938</v>
      </c>
      <c r="F62" s="49">
        <f>VLOOKUP($A62,'Data shares'!$C:$FB,98)</f>
        <v>58966875</v>
      </c>
      <c r="G62" s="49">
        <f>VLOOKUP($A62,'Data shares'!$C:$FB,99)</f>
        <v>58699575</v>
      </c>
      <c r="H62" s="50">
        <f t="shared" si="1"/>
        <v>0.45536956613399671</v>
      </c>
      <c r="I62" s="49">
        <f>VLOOKUP($A62,'Data shares'!$C:$FB,66)</f>
        <v>70231425</v>
      </c>
      <c r="J62" s="49">
        <f>VLOOKUP($A62,'Data shares'!$C:$FB,67)</f>
        <v>47695725</v>
      </c>
      <c r="K62" s="50">
        <f t="shared" si="2"/>
        <v>32.087772674411774</v>
      </c>
      <c r="L62" s="50">
        <f>VLOOKUP($A62,'Data shares'!$C:$FB,118)</f>
        <v>0.83</v>
      </c>
      <c r="M62" s="50">
        <f>VLOOKUP($A62,'Data shares'!$C:$FB,119)</f>
        <v>0.85</v>
      </c>
      <c r="N62" s="50">
        <f>VLOOKUP($A62,'Data shares'!$C:$FB,121)*100</f>
        <v>-2.35</v>
      </c>
      <c r="O62" s="50">
        <f>VLOOKUP($A62,'Data shares'!$C:$FB,124)</f>
        <v>0.63</v>
      </c>
      <c r="P62" s="50">
        <f>VLOOKUP($A62,'Data shares'!$C:$FB,125)</f>
        <v>0.63</v>
      </c>
      <c r="Q62" s="50">
        <f>VLOOKUP($A62,'Data shares'!$C:$FB,127)*100</f>
        <v>0</v>
      </c>
    </row>
    <row r="63" spans="1:17" x14ac:dyDescent="0.25">
      <c r="A63" s="97" t="str">
        <f>'Data Vlaue (Cr)'!C58</f>
        <v>DMART</v>
      </c>
      <c r="B63" s="140">
        <f>VLOOKUP($A63,'Data shares'!$C:$FB,7)</f>
        <v>4257.8999999999996</v>
      </c>
      <c r="C63" s="140">
        <f>VLOOKUP($A63,'Data shares'!$C:$FB,3)</f>
        <v>4269</v>
      </c>
      <c r="D63" s="140">
        <f>VLOOKUP($A63,'Data shares'!$C:$FB,4)</f>
        <v>4226.7</v>
      </c>
      <c r="E63" s="50">
        <f t="shared" si="0"/>
        <v>1.0007807509404543</v>
      </c>
      <c r="F63" s="49">
        <f>VLOOKUP($A63,'Data shares'!$C:$FB,98)</f>
        <v>10514250</v>
      </c>
      <c r="G63" s="49">
        <f>VLOOKUP($A63,'Data shares'!$C:$FB,99)</f>
        <v>11366550</v>
      </c>
      <c r="H63" s="50">
        <f t="shared" si="1"/>
        <v>-7.4983174314105865</v>
      </c>
      <c r="I63" s="49">
        <f>VLOOKUP($A63,'Data shares'!$C:$FB,66)</f>
        <v>10474050</v>
      </c>
      <c r="J63" s="49">
        <f>VLOOKUP($A63,'Data shares'!$C:$FB,67)</f>
        <v>11185650</v>
      </c>
      <c r="K63" s="50">
        <f t="shared" si="2"/>
        <v>-6.7939335787016484</v>
      </c>
      <c r="L63" s="50">
        <f>VLOOKUP($A63,'Data shares'!$C:$FB,118)</f>
        <v>0.4</v>
      </c>
      <c r="M63" s="50">
        <f>VLOOKUP($A63,'Data shares'!$C:$FB,119)</f>
        <v>0.37</v>
      </c>
      <c r="N63" s="50">
        <f>VLOOKUP($A63,'Data shares'!$C:$FB,121)*100</f>
        <v>8.1100000000000012</v>
      </c>
      <c r="O63" s="50">
        <f>VLOOKUP($A63,'Data shares'!$C:$FB,124)</f>
        <v>0.36</v>
      </c>
      <c r="P63" s="50">
        <f>VLOOKUP($A63,'Data shares'!$C:$FB,125)</f>
        <v>0.3</v>
      </c>
      <c r="Q63" s="50">
        <f>VLOOKUP($A63,'Data shares'!$C:$FB,127)*100</f>
        <v>20</v>
      </c>
    </row>
    <row r="64" spans="1:17" x14ac:dyDescent="0.25">
      <c r="A64" s="97" t="str">
        <f>'Data Vlaue (Cr)'!C59</f>
        <v>DRREDDY</v>
      </c>
      <c r="B64" s="140">
        <f>VLOOKUP($A64,'Data shares'!$C:$FB,7)</f>
        <v>1284.3</v>
      </c>
      <c r="C64" s="140">
        <f>VLOOKUP($A64,'Data shares'!$C:$FB,3)</f>
        <v>1286.7</v>
      </c>
      <c r="D64" s="140">
        <f>VLOOKUP($A64,'Data shares'!$C:$FB,4)</f>
        <v>1282.5</v>
      </c>
      <c r="E64" s="50">
        <f t="shared" si="0"/>
        <v>0.3274853801169626</v>
      </c>
      <c r="F64" s="49">
        <f>VLOOKUP($A64,'Data shares'!$C:$FB,98)</f>
        <v>27736250</v>
      </c>
      <c r="G64" s="49">
        <f>VLOOKUP($A64,'Data shares'!$C:$FB,99)</f>
        <v>28339375</v>
      </c>
      <c r="H64" s="50">
        <f t="shared" si="1"/>
        <v>-2.1282226584037227</v>
      </c>
      <c r="I64" s="49">
        <f>VLOOKUP($A64,'Data shares'!$C:$FB,66)</f>
        <v>50278750</v>
      </c>
      <c r="J64" s="49">
        <f>VLOOKUP($A64,'Data shares'!$C:$FB,67)</f>
        <v>34645625</v>
      </c>
      <c r="K64" s="50">
        <f t="shared" si="2"/>
        <v>31.092907043233968</v>
      </c>
      <c r="L64" s="50">
        <f>VLOOKUP($A64,'Data shares'!$C:$FB,118)</f>
        <v>0.57999999999999996</v>
      </c>
      <c r="M64" s="50">
        <f>VLOOKUP($A64,'Data shares'!$C:$FB,119)</f>
        <v>0.57999999999999996</v>
      </c>
      <c r="N64" s="50">
        <f>VLOOKUP($A64,'Data shares'!$C:$FB,121)*100</f>
        <v>0</v>
      </c>
      <c r="O64" s="50">
        <f>VLOOKUP($A64,'Data shares'!$C:$FB,124)</f>
        <v>0.59</v>
      </c>
      <c r="P64" s="50">
        <f>VLOOKUP($A64,'Data shares'!$C:$FB,125)</f>
        <v>0.53</v>
      </c>
      <c r="Q64" s="50">
        <f>VLOOKUP($A64,'Data shares'!$C:$FB,127)*100</f>
        <v>11.32</v>
      </c>
    </row>
    <row r="65" spans="1:17" x14ac:dyDescent="0.25">
      <c r="A65" s="97" t="str">
        <f>'Data Vlaue (Cr)'!C60</f>
        <v>EICHERMOT</v>
      </c>
      <c r="B65" s="140">
        <f>VLOOKUP($A65,'Data shares'!$C:$FB,7)</f>
        <v>6906.5</v>
      </c>
      <c r="C65" s="140">
        <f>VLOOKUP($A65,'Data shares'!$C:$FB,3)</f>
        <v>6911.5</v>
      </c>
      <c r="D65" s="140">
        <f>VLOOKUP($A65,'Data shares'!$C:$FB,4)</f>
        <v>6846.5</v>
      </c>
      <c r="E65" s="50">
        <f t="shared" si="0"/>
        <v>0.9493901993719418</v>
      </c>
      <c r="F65" s="49">
        <f>VLOOKUP($A65,'Data shares'!$C:$FB,98)</f>
        <v>6677300</v>
      </c>
      <c r="G65" s="49">
        <f>VLOOKUP($A65,'Data shares'!$C:$FB,99)</f>
        <v>6974800</v>
      </c>
      <c r="H65" s="50">
        <f t="shared" si="1"/>
        <v>-4.2653552790044156</v>
      </c>
      <c r="I65" s="49">
        <f>VLOOKUP($A65,'Data shares'!$C:$FB,66)</f>
        <v>6211625</v>
      </c>
      <c r="J65" s="49">
        <f>VLOOKUP($A65,'Data shares'!$C:$FB,67)</f>
        <v>8393525</v>
      </c>
      <c r="K65" s="50">
        <f t="shared" si="2"/>
        <v>-35.12607409494295</v>
      </c>
      <c r="L65" s="50">
        <f>VLOOKUP($A65,'Data shares'!$C:$FB,118)</f>
        <v>0.79</v>
      </c>
      <c r="M65" s="50">
        <f>VLOOKUP($A65,'Data shares'!$C:$FB,119)</f>
        <v>0.69</v>
      </c>
      <c r="N65" s="50">
        <f>VLOOKUP($A65,'Data shares'!$C:$FB,121)*100</f>
        <v>14.49</v>
      </c>
      <c r="O65" s="50">
        <f>VLOOKUP($A65,'Data shares'!$C:$FB,124)</f>
        <v>0.45</v>
      </c>
      <c r="P65" s="50">
        <f>VLOOKUP($A65,'Data shares'!$C:$FB,125)</f>
        <v>0.69</v>
      </c>
      <c r="Q65" s="50">
        <f>VLOOKUP($A65,'Data shares'!$C:$FB,127)*100</f>
        <v>-34.78</v>
      </c>
    </row>
    <row r="66" spans="1:17" x14ac:dyDescent="0.25">
      <c r="A66" s="97" t="str">
        <f>'Data Vlaue (Cr)'!C61</f>
        <v>ETERNAL</v>
      </c>
      <c r="B66" s="140">
        <f>VLOOKUP($A66,'Data shares'!$C:$FB,7)</f>
        <v>333.7</v>
      </c>
      <c r="C66" s="140">
        <f>VLOOKUP($A66,'Data shares'!$C:$FB,3)</f>
        <v>334.15</v>
      </c>
      <c r="D66" s="140">
        <f>VLOOKUP($A66,'Data shares'!$C:$FB,4)</f>
        <v>327.14999999999998</v>
      </c>
      <c r="E66" s="50">
        <f t="shared" si="0"/>
        <v>2.1396912731163074</v>
      </c>
      <c r="F66" s="49">
        <f>VLOOKUP($A66,'Data shares'!$C:$FB,98)</f>
        <v>385916925</v>
      </c>
      <c r="G66" s="49">
        <f>VLOOKUP($A66,'Data shares'!$C:$FB,99)</f>
        <v>392035200</v>
      </c>
      <c r="H66" s="50">
        <f t="shared" si="1"/>
        <v>-1.560644299287411</v>
      </c>
      <c r="I66" s="49">
        <f>VLOOKUP($A66,'Data shares'!$C:$FB,66)</f>
        <v>303580900</v>
      </c>
      <c r="J66" s="49">
        <f>VLOOKUP($A66,'Data shares'!$C:$FB,67)</f>
        <v>362535075</v>
      </c>
      <c r="K66" s="50">
        <f t="shared" si="2"/>
        <v>-19.419592932229925</v>
      </c>
      <c r="L66" s="50">
        <f>VLOOKUP($A66,'Data shares'!$C:$FB,118)</f>
        <v>0.55000000000000004</v>
      </c>
      <c r="M66" s="50">
        <f>VLOOKUP($A66,'Data shares'!$C:$FB,119)</f>
        <v>0.54</v>
      </c>
      <c r="N66" s="50">
        <f>VLOOKUP($A66,'Data shares'!$C:$FB,121)*100</f>
        <v>1.8499999999999999</v>
      </c>
      <c r="O66" s="50">
        <f>VLOOKUP($A66,'Data shares'!$C:$FB,124)</f>
        <v>0.48</v>
      </c>
      <c r="P66" s="50">
        <f>VLOOKUP($A66,'Data shares'!$C:$FB,125)</f>
        <v>0.51</v>
      </c>
      <c r="Q66" s="50">
        <f>VLOOKUP($A66,'Data shares'!$C:$FB,127)*100</f>
        <v>-5.88</v>
      </c>
    </row>
    <row r="67" spans="1:17" x14ac:dyDescent="0.25">
      <c r="A67" s="97" t="str">
        <f>'Data Vlaue (Cr)'!C62</f>
        <v>EXIDEIND</v>
      </c>
      <c r="B67" s="140">
        <f>VLOOKUP($A67,'Data shares'!$C:$FB,7)</f>
        <v>379.95</v>
      </c>
      <c r="C67" s="140">
        <f>VLOOKUP($A67,'Data shares'!$C:$FB,3)</f>
        <v>380.05</v>
      </c>
      <c r="D67" s="140">
        <f>VLOOKUP($A67,'Data shares'!$C:$FB,4)</f>
        <v>388.25</v>
      </c>
      <c r="E67" s="50">
        <f t="shared" si="0"/>
        <v>-2.1120412105602031</v>
      </c>
      <c r="F67" s="49">
        <f>VLOOKUP($A67,'Data shares'!$C:$FB,98)</f>
        <v>61236000</v>
      </c>
      <c r="G67" s="49">
        <f>VLOOKUP($A67,'Data shares'!$C:$FB,99)</f>
        <v>56588400</v>
      </c>
      <c r="H67" s="50">
        <f t="shared" si="1"/>
        <v>8.2129906482600674</v>
      </c>
      <c r="I67" s="49">
        <f>VLOOKUP($A67,'Data shares'!$C:$FB,66)</f>
        <v>78134400</v>
      </c>
      <c r="J67" s="49">
        <f>VLOOKUP($A67,'Data shares'!$C:$FB,67)</f>
        <v>54405000</v>
      </c>
      <c r="K67" s="50">
        <f t="shared" si="2"/>
        <v>30.369977884260969</v>
      </c>
      <c r="L67" s="50">
        <f>VLOOKUP($A67,'Data shares'!$C:$FB,118)</f>
        <v>0.73</v>
      </c>
      <c r="M67" s="50">
        <f>VLOOKUP($A67,'Data shares'!$C:$FB,119)</f>
        <v>0.75</v>
      </c>
      <c r="N67" s="50">
        <f>VLOOKUP($A67,'Data shares'!$C:$FB,121)*100</f>
        <v>-2.67</v>
      </c>
      <c r="O67" s="50">
        <f>VLOOKUP($A67,'Data shares'!$C:$FB,124)</f>
        <v>0.78</v>
      </c>
      <c r="P67" s="50">
        <f>VLOOKUP($A67,'Data shares'!$C:$FB,125)</f>
        <v>0.69</v>
      </c>
      <c r="Q67" s="50">
        <f>VLOOKUP($A67,'Data shares'!$C:$FB,127)*100</f>
        <v>13.04</v>
      </c>
    </row>
    <row r="68" spans="1:17" x14ac:dyDescent="0.25">
      <c r="A68" s="97" t="str">
        <f>'Data Vlaue (Cr)'!C63</f>
        <v>FEDERALBNK</v>
      </c>
      <c r="B68" s="140">
        <f>VLOOKUP($A68,'Data shares'!$C:$FB,7)</f>
        <v>234.04</v>
      </c>
      <c r="C68" s="140">
        <f>VLOOKUP($A68,'Data shares'!$C:$FB,3)</f>
        <v>233.69</v>
      </c>
      <c r="D68" s="140">
        <f>VLOOKUP($A68,'Data shares'!$C:$FB,4)</f>
        <v>227.49</v>
      </c>
      <c r="E68" s="50">
        <f t="shared" si="0"/>
        <v>2.7253945228361638</v>
      </c>
      <c r="F68" s="49">
        <f>VLOOKUP($A68,'Data shares'!$C:$FB,98)</f>
        <v>249100000</v>
      </c>
      <c r="G68" s="49">
        <f>VLOOKUP($A68,'Data shares'!$C:$FB,99)</f>
        <v>252175000</v>
      </c>
      <c r="H68" s="50">
        <f t="shared" si="1"/>
        <v>-1.2193912957271735</v>
      </c>
      <c r="I68" s="49">
        <f>VLOOKUP($A68,'Data shares'!$C:$FB,66)</f>
        <v>446705000</v>
      </c>
      <c r="J68" s="49">
        <f>VLOOKUP($A68,'Data shares'!$C:$FB,67)</f>
        <v>511195000</v>
      </c>
      <c r="K68" s="50">
        <f t="shared" si="2"/>
        <v>-14.436820720609797</v>
      </c>
      <c r="L68" s="50">
        <f>VLOOKUP($A68,'Data shares'!$C:$FB,118)</f>
        <v>1.1399999999999999</v>
      </c>
      <c r="M68" s="50">
        <f>VLOOKUP($A68,'Data shares'!$C:$FB,119)</f>
        <v>0.96</v>
      </c>
      <c r="N68" s="50">
        <f>VLOOKUP($A68,'Data shares'!$C:$FB,121)*100</f>
        <v>18.75</v>
      </c>
      <c r="O68" s="50">
        <f>VLOOKUP($A68,'Data shares'!$C:$FB,124)</f>
        <v>0.52</v>
      </c>
      <c r="P68" s="50">
        <f>VLOOKUP($A68,'Data shares'!$C:$FB,125)</f>
        <v>0.56000000000000005</v>
      </c>
      <c r="Q68" s="50">
        <f>VLOOKUP($A68,'Data shares'!$C:$FB,127)*100</f>
        <v>-7.1400000000000006</v>
      </c>
    </row>
    <row r="69" spans="1:17" x14ac:dyDescent="0.25">
      <c r="A69" s="97" t="str">
        <f>'Data Vlaue (Cr)'!C64</f>
        <v>FINNIFTY</v>
      </c>
      <c r="B69" s="140">
        <f>VLOOKUP($A69,'Data shares'!$C:$FB,7)</f>
        <v>27519</v>
      </c>
      <c r="C69" s="140">
        <f>VLOOKUP($A69,'Data shares'!$C:$FB,3)</f>
        <v>27568.6</v>
      </c>
      <c r="D69" s="140">
        <f>VLOOKUP($A69,'Data shares'!$C:$FB,4)</f>
        <v>27400.6</v>
      </c>
      <c r="E69" s="50">
        <f t="shared" si="0"/>
        <v>0.61312526003080237</v>
      </c>
      <c r="F69" s="49">
        <f>VLOOKUP($A69,'Data shares'!$C:$FB,98)</f>
        <v>3740295</v>
      </c>
      <c r="G69" s="49">
        <f>VLOOKUP($A69,'Data shares'!$C:$FB,99)</f>
        <v>3850340</v>
      </c>
      <c r="H69" s="50">
        <f t="shared" si="1"/>
        <v>-2.8580592882706464</v>
      </c>
      <c r="I69" s="49">
        <f>VLOOKUP($A69,'Data shares'!$C:$FB,66)</f>
        <v>47920535</v>
      </c>
      <c r="J69" s="49">
        <f>VLOOKUP($A69,'Data shares'!$C:$FB,67)</f>
        <v>29004495</v>
      </c>
      <c r="K69" s="50">
        <f t="shared" si="2"/>
        <v>39.473766309161618</v>
      </c>
      <c r="L69" s="50">
        <f>VLOOKUP($A69,'Data shares'!$C:$FB,118)</f>
        <v>1.08</v>
      </c>
      <c r="M69" s="50">
        <f>VLOOKUP($A69,'Data shares'!$C:$FB,119)</f>
        <v>1.03</v>
      </c>
      <c r="N69" s="50">
        <f>VLOOKUP($A69,'Data shares'!$C:$FB,121)*100</f>
        <v>4.8500000000000005</v>
      </c>
      <c r="O69" s="50">
        <f>VLOOKUP($A69,'Data shares'!$C:$FB,124)</f>
        <v>1.04</v>
      </c>
      <c r="P69" s="50">
        <f>VLOOKUP($A69,'Data shares'!$C:$FB,125)</f>
        <v>1.01</v>
      </c>
      <c r="Q69" s="50">
        <f>VLOOKUP($A69,'Data shares'!$C:$FB,127)*100</f>
        <v>2.97</v>
      </c>
    </row>
    <row r="70" spans="1:17" x14ac:dyDescent="0.25">
      <c r="A70" s="97" t="str">
        <f>'Data Vlaue (Cr)'!C65</f>
        <v>FORTIS</v>
      </c>
      <c r="B70" s="140">
        <f>VLOOKUP($A70,'Data shares'!$C:$FB,7)</f>
        <v>1052.55</v>
      </c>
      <c r="C70" s="140">
        <f>VLOOKUP($A70,'Data shares'!$C:$FB,3)</f>
        <v>1053.05</v>
      </c>
      <c r="D70" s="140">
        <f>VLOOKUP($A70,'Data shares'!$C:$FB,4)</f>
        <v>1039</v>
      </c>
      <c r="E70" s="50">
        <f t="shared" si="0"/>
        <v>1.3522617901828637</v>
      </c>
      <c r="F70" s="49">
        <f>VLOOKUP($A70,'Data shares'!$C:$FB,98)</f>
        <v>15835575</v>
      </c>
      <c r="G70" s="49">
        <f>VLOOKUP($A70,'Data shares'!$C:$FB,99)</f>
        <v>16241675</v>
      </c>
      <c r="H70" s="50">
        <f t="shared" si="1"/>
        <v>-2.500357875650141</v>
      </c>
      <c r="I70" s="49">
        <f>VLOOKUP($A70,'Data shares'!$C:$FB,66)</f>
        <v>16326150</v>
      </c>
      <c r="J70" s="49">
        <f>VLOOKUP($A70,'Data shares'!$C:$FB,67)</f>
        <v>20670025</v>
      </c>
      <c r="K70" s="50">
        <f t="shared" si="2"/>
        <v>-26.606854647298967</v>
      </c>
      <c r="L70" s="50">
        <f>VLOOKUP($A70,'Data shares'!$C:$FB,118)</f>
        <v>0.71</v>
      </c>
      <c r="M70" s="50">
        <f>VLOOKUP($A70,'Data shares'!$C:$FB,119)</f>
        <v>0.69</v>
      </c>
      <c r="N70" s="50">
        <f>VLOOKUP($A70,'Data shares'!$C:$FB,121)*100</f>
        <v>2.9000000000000004</v>
      </c>
      <c r="O70" s="50">
        <f>VLOOKUP($A70,'Data shares'!$C:$FB,124)</f>
        <v>0.71</v>
      </c>
      <c r="P70" s="50">
        <f>VLOOKUP($A70,'Data shares'!$C:$FB,125)</f>
        <v>0.6</v>
      </c>
      <c r="Q70" s="50">
        <f>VLOOKUP($A70,'Data shares'!$C:$FB,127)*100</f>
        <v>18.329999999999998</v>
      </c>
    </row>
    <row r="71" spans="1:17" x14ac:dyDescent="0.25">
      <c r="A71" s="97" t="str">
        <f>'Data Vlaue (Cr)'!C66</f>
        <v>GAIL</v>
      </c>
      <c r="B71" s="140">
        <f>VLOOKUP($A71,'Data shares'!$C:$FB,7)</f>
        <v>180.17</v>
      </c>
      <c r="C71" s="140">
        <f>VLOOKUP($A71,'Data shares'!$C:$FB,3)</f>
        <v>179.96</v>
      </c>
      <c r="D71" s="140">
        <f>VLOOKUP($A71,'Data shares'!$C:$FB,4)</f>
        <v>180.79</v>
      </c>
      <c r="E71" s="50">
        <f t="shared" si="0"/>
        <v>-0.45909618894849502</v>
      </c>
      <c r="F71" s="49">
        <f>VLOOKUP($A71,'Data shares'!$C:$FB,98)</f>
        <v>156347100</v>
      </c>
      <c r="G71" s="49">
        <f>VLOOKUP($A71,'Data shares'!$C:$FB,99)</f>
        <v>156195900</v>
      </c>
      <c r="H71" s="50">
        <f t="shared" si="1"/>
        <v>9.6801516557092737E-2</v>
      </c>
      <c r="I71" s="49">
        <f>VLOOKUP($A71,'Data shares'!$C:$FB,66)</f>
        <v>96421500</v>
      </c>
      <c r="J71" s="49">
        <f>VLOOKUP($A71,'Data shares'!$C:$FB,67)</f>
        <v>144455850</v>
      </c>
      <c r="K71" s="50">
        <f t="shared" si="2"/>
        <v>-49.817053250571711</v>
      </c>
      <c r="L71" s="50">
        <f>VLOOKUP($A71,'Data shares'!$C:$FB,118)</f>
        <v>0.7</v>
      </c>
      <c r="M71" s="50">
        <f>VLOOKUP($A71,'Data shares'!$C:$FB,119)</f>
        <v>0.67</v>
      </c>
      <c r="N71" s="50">
        <f>VLOOKUP($A71,'Data shares'!$C:$FB,121)*100</f>
        <v>4.4799999999999995</v>
      </c>
      <c r="O71" s="50">
        <f>VLOOKUP($A71,'Data shares'!$C:$FB,124)</f>
        <v>0.44</v>
      </c>
      <c r="P71" s="50">
        <f>VLOOKUP($A71,'Data shares'!$C:$FB,125)</f>
        <v>0.49</v>
      </c>
      <c r="Q71" s="50">
        <f>VLOOKUP($A71,'Data shares'!$C:$FB,127)*100</f>
        <v>-10.199999999999999</v>
      </c>
    </row>
    <row r="72" spans="1:17" x14ac:dyDescent="0.25">
      <c r="A72" s="97" t="str">
        <f>'Data Vlaue (Cr)'!C67</f>
        <v>GLENMARK</v>
      </c>
      <c r="B72" s="140">
        <f>VLOOKUP($A72,'Data shares'!$C:$FB,7)</f>
        <v>1812.7</v>
      </c>
      <c r="C72" s="140">
        <f>VLOOKUP($A72,'Data shares'!$C:$FB,3)</f>
        <v>1817.3</v>
      </c>
      <c r="D72" s="140">
        <f>VLOOKUP($A72,'Data shares'!$C:$FB,4)</f>
        <v>1817.7</v>
      </c>
      <c r="E72" s="50">
        <f t="shared" ref="E72:E135" si="3">(C72-D72)/D72*100</f>
        <v>-2.2005831545364521E-2</v>
      </c>
      <c r="F72" s="49">
        <f>VLOOKUP($A72,'Data shares'!$C:$FB,98)</f>
        <v>13795125</v>
      </c>
      <c r="G72" s="49">
        <f>VLOOKUP($A72,'Data shares'!$C:$FB,99)</f>
        <v>12945750</v>
      </c>
      <c r="H72" s="50">
        <f t="shared" ref="H72:H135" si="4">(F72-G72)/G72*100</f>
        <v>6.5610335438271248</v>
      </c>
      <c r="I72" s="49">
        <f>VLOOKUP($A72,'Data shares'!$C:$FB,66)</f>
        <v>12787500</v>
      </c>
      <c r="J72" s="49">
        <f>VLOOKUP($A72,'Data shares'!$C:$FB,67)</f>
        <v>12862125</v>
      </c>
      <c r="K72" s="50">
        <f t="shared" ref="K72:K135" si="5">(I72-J72)/I72*100</f>
        <v>-0.5835777126099706</v>
      </c>
      <c r="L72" s="50">
        <f>VLOOKUP($A72,'Data shares'!$C:$FB,118)</f>
        <v>0.53</v>
      </c>
      <c r="M72" s="50">
        <f>VLOOKUP($A72,'Data shares'!$C:$FB,119)</f>
        <v>0.53</v>
      </c>
      <c r="N72" s="50">
        <f>VLOOKUP($A72,'Data shares'!$C:$FB,121)*100</f>
        <v>0</v>
      </c>
      <c r="O72" s="50">
        <f>VLOOKUP($A72,'Data shares'!$C:$FB,124)</f>
        <v>0.26</v>
      </c>
      <c r="P72" s="50">
        <f>VLOOKUP($A72,'Data shares'!$C:$FB,125)</f>
        <v>0.39</v>
      </c>
      <c r="Q72" s="50">
        <f>VLOOKUP($A72,'Data shares'!$C:$FB,127)*100</f>
        <v>-33.33</v>
      </c>
    </row>
    <row r="73" spans="1:17" x14ac:dyDescent="0.25">
      <c r="A73" s="97" t="str">
        <f>'Data Vlaue (Cr)'!C68</f>
        <v>GMRAIRPORT</v>
      </c>
      <c r="B73" s="140">
        <f>VLOOKUP($A73,'Data shares'!$C:$FB,7)</f>
        <v>92.34</v>
      </c>
      <c r="C73" s="140">
        <f>VLOOKUP($A73,'Data shares'!$C:$FB,3)</f>
        <v>92.51</v>
      </c>
      <c r="D73" s="140">
        <f>VLOOKUP($A73,'Data shares'!$C:$FB,4)</f>
        <v>93.13</v>
      </c>
      <c r="E73" s="50">
        <f t="shared" si="3"/>
        <v>-0.66573606786211781</v>
      </c>
      <c r="F73" s="49">
        <f>VLOOKUP($A73,'Data shares'!$C:$FB,98)</f>
        <v>370246950</v>
      </c>
      <c r="G73" s="49">
        <f>VLOOKUP($A73,'Data shares'!$C:$FB,99)</f>
        <v>359693775</v>
      </c>
      <c r="H73" s="50">
        <f t="shared" si="4"/>
        <v>2.9339331769086079</v>
      </c>
      <c r="I73" s="49">
        <f>VLOOKUP($A73,'Data shares'!$C:$FB,66)</f>
        <v>195125625</v>
      </c>
      <c r="J73" s="49">
        <f>VLOOKUP($A73,'Data shares'!$C:$FB,67)</f>
        <v>358089525</v>
      </c>
      <c r="K73" s="50">
        <f t="shared" si="5"/>
        <v>-83.517426273458454</v>
      </c>
      <c r="L73" s="50">
        <f>VLOOKUP($A73,'Data shares'!$C:$FB,118)</f>
        <v>0.5</v>
      </c>
      <c r="M73" s="50">
        <f>VLOOKUP($A73,'Data shares'!$C:$FB,119)</f>
        <v>0.47</v>
      </c>
      <c r="N73" s="50">
        <f>VLOOKUP($A73,'Data shares'!$C:$FB,121)*100</f>
        <v>6.38</v>
      </c>
      <c r="O73" s="50">
        <f>VLOOKUP($A73,'Data shares'!$C:$FB,124)</f>
        <v>0.42</v>
      </c>
      <c r="P73" s="50">
        <f>VLOOKUP($A73,'Data shares'!$C:$FB,125)</f>
        <v>0.36</v>
      </c>
      <c r="Q73" s="50">
        <f>VLOOKUP($A73,'Data shares'!$C:$FB,127)*100</f>
        <v>16.669999999999998</v>
      </c>
    </row>
    <row r="74" spans="1:17" x14ac:dyDescent="0.25">
      <c r="A74" s="97" t="str">
        <f>'Data Vlaue (Cr)'!C69</f>
        <v>GODREJCP</v>
      </c>
      <c r="B74" s="140">
        <f>VLOOKUP($A74,'Data shares'!$C:$FB,7)</f>
        <v>1124.7</v>
      </c>
      <c r="C74" s="140">
        <f>VLOOKUP($A74,'Data shares'!$C:$FB,3)</f>
        <v>1128.0999999999999</v>
      </c>
      <c r="D74" s="140">
        <f>VLOOKUP($A74,'Data shares'!$C:$FB,4)</f>
        <v>1129.5</v>
      </c>
      <c r="E74" s="50">
        <f t="shared" si="3"/>
        <v>-0.12394864984507224</v>
      </c>
      <c r="F74" s="49">
        <f>VLOOKUP($A74,'Data shares'!$C:$FB,98)</f>
        <v>18492500</v>
      </c>
      <c r="G74" s="49">
        <f>VLOOKUP($A74,'Data shares'!$C:$FB,99)</f>
        <v>18357500</v>
      </c>
      <c r="H74" s="50">
        <f t="shared" si="4"/>
        <v>0.73539425303009665</v>
      </c>
      <c r="I74" s="49">
        <f>VLOOKUP($A74,'Data shares'!$C:$FB,66)</f>
        <v>11890500</v>
      </c>
      <c r="J74" s="49">
        <f>VLOOKUP($A74,'Data shares'!$C:$FB,67)</f>
        <v>14593500</v>
      </c>
      <c r="K74" s="50">
        <f t="shared" si="5"/>
        <v>-22.732433455279423</v>
      </c>
      <c r="L74" s="50">
        <f>VLOOKUP($A74,'Data shares'!$C:$FB,118)</f>
        <v>0.76</v>
      </c>
      <c r="M74" s="50">
        <f>VLOOKUP($A74,'Data shares'!$C:$FB,119)</f>
        <v>0.7</v>
      </c>
      <c r="N74" s="50">
        <f>VLOOKUP($A74,'Data shares'!$C:$FB,121)*100</f>
        <v>8.57</v>
      </c>
      <c r="O74" s="50">
        <f>VLOOKUP($A74,'Data shares'!$C:$FB,124)</f>
        <v>0.5</v>
      </c>
      <c r="P74" s="50">
        <f>VLOOKUP($A74,'Data shares'!$C:$FB,125)</f>
        <v>0.56999999999999995</v>
      </c>
      <c r="Q74" s="50">
        <f>VLOOKUP($A74,'Data shares'!$C:$FB,127)*100</f>
        <v>-12.280000000000001</v>
      </c>
    </row>
    <row r="75" spans="1:17" x14ac:dyDescent="0.25">
      <c r="A75" s="97" t="str">
        <f>'Data Vlaue (Cr)'!C70</f>
        <v>GODREJPROP</v>
      </c>
      <c r="B75" s="140">
        <f>VLOOKUP($A75,'Data shares'!$C:$FB,7)</f>
        <v>2320.3000000000002</v>
      </c>
      <c r="C75" s="140">
        <f>VLOOKUP($A75,'Data shares'!$C:$FB,3)</f>
        <v>2318.1</v>
      </c>
      <c r="D75" s="140">
        <f>VLOOKUP($A75,'Data shares'!$C:$FB,4)</f>
        <v>2284.6</v>
      </c>
      <c r="E75" s="50">
        <f t="shared" si="3"/>
        <v>1.4663398406723278</v>
      </c>
      <c r="F75" s="49">
        <f>VLOOKUP($A75,'Data shares'!$C:$FB,98)</f>
        <v>14045625</v>
      </c>
      <c r="G75" s="49">
        <f>VLOOKUP($A75,'Data shares'!$C:$FB,99)</f>
        <v>14290375</v>
      </c>
      <c r="H75" s="50">
        <f t="shared" si="4"/>
        <v>-1.7126912344847491</v>
      </c>
      <c r="I75" s="49">
        <f>VLOOKUP($A75,'Data shares'!$C:$FB,66)</f>
        <v>16831100</v>
      </c>
      <c r="J75" s="49">
        <f>VLOOKUP($A75,'Data shares'!$C:$FB,67)</f>
        <v>14378925</v>
      </c>
      <c r="K75" s="50">
        <f t="shared" si="5"/>
        <v>14.56930919547742</v>
      </c>
      <c r="L75" s="50">
        <f>VLOOKUP($A75,'Data shares'!$C:$FB,118)</f>
        <v>0.94</v>
      </c>
      <c r="M75" s="50">
        <f>VLOOKUP($A75,'Data shares'!$C:$FB,119)</f>
        <v>1.02</v>
      </c>
      <c r="N75" s="50">
        <f>VLOOKUP($A75,'Data shares'!$C:$FB,121)*100</f>
        <v>-7.84</v>
      </c>
      <c r="O75" s="50">
        <f>VLOOKUP($A75,'Data shares'!$C:$FB,124)</f>
        <v>0.54</v>
      </c>
      <c r="P75" s="50">
        <f>VLOOKUP($A75,'Data shares'!$C:$FB,125)</f>
        <v>0.81</v>
      </c>
      <c r="Q75" s="50">
        <f>VLOOKUP($A75,'Data shares'!$C:$FB,127)*100</f>
        <v>-33.33</v>
      </c>
    </row>
    <row r="76" spans="1:17" x14ac:dyDescent="0.25">
      <c r="A76" s="97" t="str">
        <f>'Data Vlaue (Cr)'!C71</f>
        <v>GRASIM</v>
      </c>
      <c r="B76" s="140">
        <f>VLOOKUP($A76,'Data shares'!$C:$FB,7)</f>
        <v>2923.9</v>
      </c>
      <c r="C76" s="140">
        <f>VLOOKUP($A76,'Data shares'!$C:$FB,3)</f>
        <v>2922.6</v>
      </c>
      <c r="D76" s="140">
        <f>VLOOKUP($A76,'Data shares'!$C:$FB,4)</f>
        <v>2841.8</v>
      </c>
      <c r="E76" s="50">
        <f t="shared" si="3"/>
        <v>2.8432683510451024</v>
      </c>
      <c r="F76" s="49">
        <f>VLOOKUP($A76,'Data shares'!$C:$FB,98)</f>
        <v>19072500</v>
      </c>
      <c r="G76" s="49">
        <f>VLOOKUP($A76,'Data shares'!$C:$FB,99)</f>
        <v>18273250</v>
      </c>
      <c r="H76" s="50">
        <f t="shared" si="4"/>
        <v>4.3738798516957846</v>
      </c>
      <c r="I76" s="49">
        <f>VLOOKUP($A76,'Data shares'!$C:$FB,66)</f>
        <v>18354000</v>
      </c>
      <c r="J76" s="49">
        <f>VLOOKUP($A76,'Data shares'!$C:$FB,67)</f>
        <v>16858250</v>
      </c>
      <c r="K76" s="50">
        <f t="shared" si="5"/>
        <v>8.1494497112346078</v>
      </c>
      <c r="L76" s="50">
        <f>VLOOKUP($A76,'Data shares'!$C:$FB,118)</f>
        <v>0.63</v>
      </c>
      <c r="M76" s="50">
        <f>VLOOKUP($A76,'Data shares'!$C:$FB,119)</f>
        <v>0.6</v>
      </c>
      <c r="N76" s="50">
        <f>VLOOKUP($A76,'Data shares'!$C:$FB,121)*100</f>
        <v>5</v>
      </c>
      <c r="O76" s="50">
        <f>VLOOKUP($A76,'Data shares'!$C:$FB,124)</f>
        <v>0.36</v>
      </c>
      <c r="P76" s="50">
        <f>VLOOKUP($A76,'Data shares'!$C:$FB,125)</f>
        <v>0.55000000000000004</v>
      </c>
      <c r="Q76" s="50">
        <f>VLOOKUP($A76,'Data shares'!$C:$FB,127)*100</f>
        <v>-34.549999999999997</v>
      </c>
    </row>
    <row r="77" spans="1:17" x14ac:dyDescent="0.25">
      <c r="A77" s="97" t="str">
        <f>'Data Vlaue (Cr)'!C72</f>
        <v>HAL</v>
      </c>
      <c r="B77" s="140">
        <f>VLOOKUP($A77,'Data shares'!$C:$FB,7)</f>
        <v>4756.8</v>
      </c>
      <c r="C77" s="140">
        <f>VLOOKUP($A77,'Data shares'!$C:$FB,3)</f>
        <v>4763.5</v>
      </c>
      <c r="D77" s="140">
        <f>VLOOKUP($A77,'Data shares'!$C:$FB,4)</f>
        <v>4815.3999999999996</v>
      </c>
      <c r="E77" s="50">
        <f t="shared" si="3"/>
        <v>-1.0777920837313544</v>
      </c>
      <c r="F77" s="49">
        <f>VLOOKUP($A77,'Data shares'!$C:$FB,98)</f>
        <v>17473200</v>
      </c>
      <c r="G77" s="49">
        <f>VLOOKUP($A77,'Data shares'!$C:$FB,99)</f>
        <v>17622450</v>
      </c>
      <c r="H77" s="50">
        <f t="shared" si="4"/>
        <v>-0.84693104534273056</v>
      </c>
      <c r="I77" s="49">
        <f>VLOOKUP($A77,'Data shares'!$C:$FB,66)</f>
        <v>19848150</v>
      </c>
      <c r="J77" s="49">
        <f>VLOOKUP($A77,'Data shares'!$C:$FB,67)</f>
        <v>21560100</v>
      </c>
      <c r="K77" s="50">
        <f t="shared" si="5"/>
        <v>-8.6252371127787733</v>
      </c>
      <c r="L77" s="50">
        <f>VLOOKUP($A77,'Data shares'!$C:$FB,118)</f>
        <v>0.52</v>
      </c>
      <c r="M77" s="50">
        <f>VLOOKUP($A77,'Data shares'!$C:$FB,119)</f>
        <v>0.51</v>
      </c>
      <c r="N77" s="50">
        <f>VLOOKUP($A77,'Data shares'!$C:$FB,121)*100</f>
        <v>1.96</v>
      </c>
      <c r="O77" s="50">
        <f>VLOOKUP($A77,'Data shares'!$C:$FB,124)</f>
        <v>0.41</v>
      </c>
      <c r="P77" s="50">
        <f>VLOOKUP($A77,'Data shares'!$C:$FB,125)</f>
        <v>0.33</v>
      </c>
      <c r="Q77" s="50">
        <f>VLOOKUP($A77,'Data shares'!$C:$FB,127)*100</f>
        <v>24.240000000000002</v>
      </c>
    </row>
    <row r="78" spans="1:17" x14ac:dyDescent="0.25">
      <c r="A78" s="97" t="str">
        <f>'Data Vlaue (Cr)'!C73</f>
        <v>HAVELLS</v>
      </c>
      <c r="B78" s="140">
        <f>VLOOKUP($A78,'Data shares'!$C:$FB,7)</f>
        <v>1492.6</v>
      </c>
      <c r="C78" s="140">
        <f>VLOOKUP($A78,'Data shares'!$C:$FB,3)</f>
        <v>1492.1</v>
      </c>
      <c r="D78" s="140">
        <f>VLOOKUP($A78,'Data shares'!$C:$FB,4)</f>
        <v>1495.1</v>
      </c>
      <c r="E78" s="50">
        <f t="shared" si="3"/>
        <v>-0.20065547455019733</v>
      </c>
      <c r="F78" s="49">
        <f>VLOOKUP($A78,'Data shares'!$C:$FB,98)</f>
        <v>14216500</v>
      </c>
      <c r="G78" s="49">
        <f>VLOOKUP($A78,'Data shares'!$C:$FB,99)</f>
        <v>14687000</v>
      </c>
      <c r="H78" s="50">
        <f t="shared" si="4"/>
        <v>-3.2035133110914416</v>
      </c>
      <c r="I78" s="49">
        <f>VLOOKUP($A78,'Data shares'!$C:$FB,66)</f>
        <v>11039500</v>
      </c>
      <c r="J78" s="49">
        <f>VLOOKUP($A78,'Data shares'!$C:$FB,67)</f>
        <v>15420000</v>
      </c>
      <c r="K78" s="50">
        <f t="shared" si="5"/>
        <v>-39.680239141265453</v>
      </c>
      <c r="L78" s="50">
        <f>VLOOKUP($A78,'Data shares'!$C:$FB,118)</f>
        <v>0.64</v>
      </c>
      <c r="M78" s="50">
        <f>VLOOKUP($A78,'Data shares'!$C:$FB,119)</f>
        <v>0.62</v>
      </c>
      <c r="N78" s="50">
        <f>VLOOKUP($A78,'Data shares'!$C:$FB,121)*100</f>
        <v>3.2300000000000004</v>
      </c>
      <c r="O78" s="50">
        <f>VLOOKUP($A78,'Data shares'!$C:$FB,124)</f>
        <v>0.82</v>
      </c>
      <c r="P78" s="50">
        <f>VLOOKUP($A78,'Data shares'!$C:$FB,125)</f>
        <v>0.48</v>
      </c>
      <c r="Q78" s="50">
        <f>VLOOKUP($A78,'Data shares'!$C:$FB,127)*100</f>
        <v>70.83</v>
      </c>
    </row>
    <row r="79" spans="1:17" x14ac:dyDescent="0.25">
      <c r="A79" s="97" t="str">
        <f>'Data Vlaue (Cr)'!C74</f>
        <v>HCLTECH</v>
      </c>
      <c r="B79" s="140">
        <f>VLOOKUP($A79,'Data shares'!$C:$FB,7)</f>
        <v>1533.5</v>
      </c>
      <c r="C79" s="140">
        <f>VLOOKUP($A79,'Data shares'!$C:$FB,3)</f>
        <v>1535.4</v>
      </c>
      <c r="D79" s="140">
        <f>VLOOKUP($A79,'Data shares'!$C:$FB,4)</f>
        <v>1522.6</v>
      </c>
      <c r="E79" s="50">
        <f t="shared" si="3"/>
        <v>0.84066727965323684</v>
      </c>
      <c r="F79" s="49">
        <f>VLOOKUP($A79,'Data shares'!$C:$FB,98)</f>
        <v>30503900</v>
      </c>
      <c r="G79" s="49">
        <f>VLOOKUP($A79,'Data shares'!$C:$FB,99)</f>
        <v>31085250</v>
      </c>
      <c r="H79" s="50">
        <f t="shared" si="4"/>
        <v>-1.8701795867815123</v>
      </c>
      <c r="I79" s="49">
        <f>VLOOKUP($A79,'Data shares'!$C:$FB,66)</f>
        <v>27777050</v>
      </c>
      <c r="J79" s="49">
        <f>VLOOKUP($A79,'Data shares'!$C:$FB,67)</f>
        <v>32259150</v>
      </c>
      <c r="K79" s="50">
        <f t="shared" si="5"/>
        <v>-16.135982762748384</v>
      </c>
      <c r="L79" s="50">
        <f>VLOOKUP($A79,'Data shares'!$C:$FB,118)</f>
        <v>0.67</v>
      </c>
      <c r="M79" s="50">
        <f>VLOOKUP($A79,'Data shares'!$C:$FB,119)</f>
        <v>0.63</v>
      </c>
      <c r="N79" s="50">
        <f>VLOOKUP($A79,'Data shares'!$C:$FB,121)*100</f>
        <v>6.35</v>
      </c>
      <c r="O79" s="50">
        <f>VLOOKUP($A79,'Data shares'!$C:$FB,124)</f>
        <v>0.56000000000000005</v>
      </c>
      <c r="P79" s="50">
        <f>VLOOKUP($A79,'Data shares'!$C:$FB,125)</f>
        <v>0.67</v>
      </c>
      <c r="Q79" s="50">
        <f>VLOOKUP($A79,'Data shares'!$C:$FB,127)*100</f>
        <v>-16.420000000000002</v>
      </c>
    </row>
    <row r="80" spans="1:17" x14ac:dyDescent="0.25">
      <c r="A80" s="97" t="str">
        <f>'Data Vlaue (Cr)'!C75</f>
        <v>HDFCAMC</v>
      </c>
      <c r="B80" s="140">
        <f>VLOOKUP($A80,'Data shares'!$C:$FB,7)</f>
        <v>5559</v>
      </c>
      <c r="C80" s="140">
        <f>VLOOKUP($A80,'Data shares'!$C:$FB,3)</f>
        <v>5570</v>
      </c>
      <c r="D80" s="140">
        <f>VLOOKUP($A80,'Data shares'!$C:$FB,4)</f>
        <v>5536</v>
      </c>
      <c r="E80" s="50">
        <f t="shared" si="3"/>
        <v>0.61416184971098264</v>
      </c>
      <c r="F80" s="49">
        <f>VLOOKUP($A80,'Data shares'!$C:$FB,98)</f>
        <v>4739100</v>
      </c>
      <c r="G80" s="49">
        <f>VLOOKUP($A80,'Data shares'!$C:$FB,99)</f>
        <v>5159250</v>
      </c>
      <c r="H80" s="50">
        <f t="shared" si="4"/>
        <v>-8.1436255269661295</v>
      </c>
      <c r="I80" s="49">
        <f>VLOOKUP($A80,'Data shares'!$C:$FB,66)</f>
        <v>4500750</v>
      </c>
      <c r="J80" s="49">
        <f>VLOOKUP($A80,'Data shares'!$C:$FB,67)</f>
        <v>7462200</v>
      </c>
      <c r="K80" s="50">
        <f t="shared" si="5"/>
        <v>-65.7990334944176</v>
      </c>
      <c r="L80" s="50">
        <f>VLOOKUP($A80,'Data shares'!$C:$FB,118)</f>
        <v>0.53</v>
      </c>
      <c r="M80" s="50">
        <f>VLOOKUP($A80,'Data shares'!$C:$FB,119)</f>
        <v>0.44</v>
      </c>
      <c r="N80" s="50">
        <f>VLOOKUP($A80,'Data shares'!$C:$FB,121)*100</f>
        <v>20.45</v>
      </c>
      <c r="O80" s="50">
        <f>VLOOKUP($A80,'Data shares'!$C:$FB,124)</f>
        <v>0.37</v>
      </c>
      <c r="P80" s="50">
        <f>VLOOKUP($A80,'Data shares'!$C:$FB,125)</f>
        <v>0.43</v>
      </c>
      <c r="Q80" s="50">
        <f>VLOOKUP($A80,'Data shares'!$C:$FB,127)*100</f>
        <v>-13.950000000000001</v>
      </c>
    </row>
    <row r="81" spans="1:17" x14ac:dyDescent="0.25">
      <c r="A81" s="97" t="str">
        <f>'Data Vlaue (Cr)'!C76</f>
        <v>HDFCBANK</v>
      </c>
      <c r="B81" s="140">
        <f>VLOOKUP($A81,'Data shares'!$C:$FB,7)</f>
        <v>1002.95</v>
      </c>
      <c r="C81" s="140">
        <f>VLOOKUP($A81,'Data shares'!$C:$FB,3)</f>
        <v>1004.3</v>
      </c>
      <c r="D81" s="140">
        <f>VLOOKUP($A81,'Data shares'!$C:$FB,4)</f>
        <v>994.15</v>
      </c>
      <c r="E81" s="50">
        <f t="shared" si="3"/>
        <v>1.0209726902378895</v>
      </c>
      <c r="F81" s="49">
        <f>VLOOKUP($A81,'Data shares'!$C:$FB,98)</f>
        <v>275965800</v>
      </c>
      <c r="G81" s="49">
        <f>VLOOKUP($A81,'Data shares'!$C:$FB,99)</f>
        <v>282944200</v>
      </c>
      <c r="H81" s="50">
        <f t="shared" si="4"/>
        <v>-2.4663520227663263</v>
      </c>
      <c r="I81" s="49">
        <f>VLOOKUP($A81,'Data shares'!$C:$FB,66)</f>
        <v>259492200</v>
      </c>
      <c r="J81" s="49">
        <f>VLOOKUP($A81,'Data shares'!$C:$FB,67)</f>
        <v>319154000</v>
      </c>
      <c r="K81" s="50">
        <f t="shared" si="5"/>
        <v>-22.991750811777774</v>
      </c>
      <c r="L81" s="50">
        <f>VLOOKUP($A81,'Data shares'!$C:$FB,118)</f>
        <v>0.94</v>
      </c>
      <c r="M81" s="50">
        <f>VLOOKUP($A81,'Data shares'!$C:$FB,119)</f>
        <v>0.87</v>
      </c>
      <c r="N81" s="50">
        <f>VLOOKUP($A81,'Data shares'!$C:$FB,121)*100</f>
        <v>8.0500000000000007</v>
      </c>
      <c r="O81" s="50">
        <f>VLOOKUP($A81,'Data shares'!$C:$FB,124)</f>
        <v>0.66</v>
      </c>
      <c r="P81" s="50">
        <f>VLOOKUP($A81,'Data shares'!$C:$FB,125)</f>
        <v>0.85</v>
      </c>
      <c r="Q81" s="50">
        <f>VLOOKUP($A81,'Data shares'!$C:$FB,127)*100</f>
        <v>-22.35</v>
      </c>
    </row>
    <row r="82" spans="1:17" x14ac:dyDescent="0.25">
      <c r="A82" s="97" t="str">
        <f>'Data Vlaue (Cr)'!C77</f>
        <v>HDFCLIFE</v>
      </c>
      <c r="B82" s="140">
        <f>VLOOKUP($A82,'Data shares'!$C:$FB,7)</f>
        <v>737.25</v>
      </c>
      <c r="C82" s="140">
        <f>VLOOKUP($A82,'Data shares'!$C:$FB,3)</f>
        <v>739.3</v>
      </c>
      <c r="D82" s="140">
        <f>VLOOKUP($A82,'Data shares'!$C:$FB,4)</f>
        <v>735.8</v>
      </c>
      <c r="E82" s="50">
        <f t="shared" si="3"/>
        <v>0.47567273715683617</v>
      </c>
      <c r="F82" s="49">
        <f>VLOOKUP($A82,'Data shares'!$C:$FB,98)</f>
        <v>52929800</v>
      </c>
      <c r="G82" s="49">
        <f>VLOOKUP($A82,'Data shares'!$C:$FB,99)</f>
        <v>54621600</v>
      </c>
      <c r="H82" s="50">
        <f t="shared" si="4"/>
        <v>-3.0973094892862898</v>
      </c>
      <c r="I82" s="49">
        <f>VLOOKUP($A82,'Data shares'!$C:$FB,66)</f>
        <v>52784600</v>
      </c>
      <c r="J82" s="49">
        <f>VLOOKUP($A82,'Data shares'!$C:$FB,67)</f>
        <v>41350100</v>
      </c>
      <c r="K82" s="50">
        <f t="shared" si="5"/>
        <v>21.662568249072649</v>
      </c>
      <c r="L82" s="50">
        <f>VLOOKUP($A82,'Data shares'!$C:$FB,118)</f>
        <v>0.5</v>
      </c>
      <c r="M82" s="50">
        <f>VLOOKUP($A82,'Data shares'!$C:$FB,119)</f>
        <v>0.52</v>
      </c>
      <c r="N82" s="50">
        <f>VLOOKUP($A82,'Data shares'!$C:$FB,121)*100</f>
        <v>-3.85</v>
      </c>
      <c r="O82" s="50">
        <f>VLOOKUP($A82,'Data shares'!$C:$FB,124)</f>
        <v>0.44</v>
      </c>
      <c r="P82" s="50">
        <f>VLOOKUP($A82,'Data shares'!$C:$FB,125)</f>
        <v>0.34</v>
      </c>
      <c r="Q82" s="50">
        <f>VLOOKUP($A82,'Data shares'!$C:$FB,127)*100</f>
        <v>29.409999999999997</v>
      </c>
    </row>
    <row r="83" spans="1:17" x14ac:dyDescent="0.25">
      <c r="A83" s="97" t="str">
        <f>'Data Vlaue (Cr)'!C78</f>
        <v>HEROMOTOCO</v>
      </c>
      <c r="B83" s="140">
        <f>VLOOKUP($A83,'Data shares'!$C:$FB,7)</f>
        <v>5646.5</v>
      </c>
      <c r="C83" s="140">
        <f>VLOOKUP($A83,'Data shares'!$C:$FB,3)</f>
        <v>5650</v>
      </c>
      <c r="D83" s="140">
        <f>VLOOKUP($A83,'Data shares'!$C:$FB,4)</f>
        <v>5535</v>
      </c>
      <c r="E83" s="50">
        <f t="shared" si="3"/>
        <v>2.0776874435411021</v>
      </c>
      <c r="F83" s="49">
        <f>VLOOKUP($A83,'Data shares'!$C:$FB,98)</f>
        <v>8279850</v>
      </c>
      <c r="G83" s="49">
        <f>VLOOKUP($A83,'Data shares'!$C:$FB,99)</f>
        <v>8852100</v>
      </c>
      <c r="H83" s="50">
        <f t="shared" si="4"/>
        <v>-6.4645677296912591</v>
      </c>
      <c r="I83" s="49">
        <f>VLOOKUP($A83,'Data shares'!$C:$FB,66)</f>
        <v>13248600</v>
      </c>
      <c r="J83" s="49">
        <f>VLOOKUP($A83,'Data shares'!$C:$FB,67)</f>
        <v>10878750</v>
      </c>
      <c r="K83" s="50">
        <f t="shared" si="5"/>
        <v>17.887550382681944</v>
      </c>
      <c r="L83" s="50">
        <f>VLOOKUP($A83,'Data shares'!$C:$FB,118)</f>
        <v>0.78</v>
      </c>
      <c r="M83" s="50">
        <f>VLOOKUP($A83,'Data shares'!$C:$FB,119)</f>
        <v>0.66</v>
      </c>
      <c r="N83" s="50">
        <f>VLOOKUP($A83,'Data shares'!$C:$FB,121)*100</f>
        <v>18.18</v>
      </c>
      <c r="O83" s="50">
        <f>VLOOKUP($A83,'Data shares'!$C:$FB,124)</f>
        <v>0.54</v>
      </c>
      <c r="P83" s="50">
        <f>VLOOKUP($A83,'Data shares'!$C:$FB,125)</f>
        <v>0.53</v>
      </c>
      <c r="Q83" s="50">
        <f>VLOOKUP($A83,'Data shares'!$C:$FB,127)*100</f>
        <v>1.8900000000000001</v>
      </c>
    </row>
    <row r="84" spans="1:17" x14ac:dyDescent="0.25">
      <c r="A84" s="97" t="str">
        <f>'Data Vlaue (Cr)'!C79</f>
        <v>HFCL</v>
      </c>
      <c r="B84" s="140">
        <f>VLOOKUP($A84,'Data shares'!$C:$FB,7)</f>
        <v>76.849999999999994</v>
      </c>
      <c r="C84" s="140">
        <f>VLOOKUP($A84,'Data shares'!$C:$FB,3)</f>
        <v>76.86</v>
      </c>
      <c r="D84" s="140">
        <f>VLOOKUP($A84,'Data shares'!$C:$FB,4)</f>
        <v>77.8</v>
      </c>
      <c r="E84" s="50">
        <f t="shared" si="3"/>
        <v>-1.2082262210796886</v>
      </c>
      <c r="F84" s="49">
        <f>VLOOKUP($A84,'Data shares'!$C:$FB,98)</f>
        <v>219577350</v>
      </c>
      <c r="G84" s="49">
        <f>VLOOKUP($A84,'Data shares'!$C:$FB,99)</f>
        <v>213701400</v>
      </c>
      <c r="H84" s="50">
        <f t="shared" si="4"/>
        <v>2.7496076300857175</v>
      </c>
      <c r="I84" s="49">
        <f>VLOOKUP($A84,'Data shares'!$C:$FB,66)</f>
        <v>150297900</v>
      </c>
      <c r="J84" s="49">
        <f>VLOOKUP($A84,'Data shares'!$C:$FB,67)</f>
        <v>180303300</v>
      </c>
      <c r="K84" s="50">
        <f t="shared" si="5"/>
        <v>-19.963951592138013</v>
      </c>
      <c r="L84" s="50">
        <f>VLOOKUP($A84,'Data shares'!$C:$FB,118)</f>
        <v>0.49</v>
      </c>
      <c r="M84" s="50">
        <f>VLOOKUP($A84,'Data shares'!$C:$FB,119)</f>
        <v>0.51</v>
      </c>
      <c r="N84" s="50">
        <f>VLOOKUP($A84,'Data shares'!$C:$FB,121)*100</f>
        <v>-3.92</v>
      </c>
      <c r="O84" s="50">
        <f>VLOOKUP($A84,'Data shares'!$C:$FB,124)</f>
        <v>0.33</v>
      </c>
      <c r="P84" s="50">
        <f>VLOOKUP($A84,'Data shares'!$C:$FB,125)</f>
        <v>0.36</v>
      </c>
      <c r="Q84" s="50">
        <f>VLOOKUP($A84,'Data shares'!$C:$FB,127)*100</f>
        <v>-8.33</v>
      </c>
    </row>
    <row r="85" spans="1:17" x14ac:dyDescent="0.25">
      <c r="A85" s="97" t="str">
        <f>'Data Vlaue (Cr)'!C80</f>
        <v>HINDALCO</v>
      </c>
      <c r="B85" s="140">
        <f>VLOOKUP($A85,'Data shares'!$C:$FB,7)</f>
        <v>840.85</v>
      </c>
      <c r="C85" s="140">
        <f>VLOOKUP($A85,'Data shares'!$C:$FB,3)</f>
        <v>840.8</v>
      </c>
      <c r="D85" s="140">
        <f>VLOOKUP($A85,'Data shares'!$C:$FB,4)</f>
        <v>822.65</v>
      </c>
      <c r="E85" s="50">
        <f t="shared" si="3"/>
        <v>2.2062845681638579</v>
      </c>
      <c r="F85" s="49">
        <f>VLOOKUP($A85,'Data shares'!$C:$FB,98)</f>
        <v>103138000</v>
      </c>
      <c r="G85" s="49">
        <f>VLOOKUP($A85,'Data shares'!$C:$FB,99)</f>
        <v>101897600</v>
      </c>
      <c r="H85" s="50">
        <f t="shared" si="4"/>
        <v>1.2173005056056276</v>
      </c>
      <c r="I85" s="49">
        <f>VLOOKUP($A85,'Data shares'!$C:$FB,66)</f>
        <v>152752600</v>
      </c>
      <c r="J85" s="49">
        <f>VLOOKUP($A85,'Data shares'!$C:$FB,67)</f>
        <v>277872000</v>
      </c>
      <c r="K85" s="50">
        <f t="shared" si="5"/>
        <v>-81.909833285980071</v>
      </c>
      <c r="L85" s="50">
        <f>VLOOKUP($A85,'Data shares'!$C:$FB,118)</f>
        <v>1.06</v>
      </c>
      <c r="M85" s="50">
        <f>VLOOKUP($A85,'Data shares'!$C:$FB,119)</f>
        <v>0.85</v>
      </c>
      <c r="N85" s="50">
        <f>VLOOKUP($A85,'Data shares'!$C:$FB,121)*100</f>
        <v>24.709999999999997</v>
      </c>
      <c r="O85" s="50">
        <f>VLOOKUP($A85,'Data shares'!$C:$FB,124)</f>
        <v>0.61</v>
      </c>
      <c r="P85" s="50">
        <f>VLOOKUP($A85,'Data shares'!$C:$FB,125)</f>
        <v>0.42</v>
      </c>
      <c r="Q85" s="50">
        <f>VLOOKUP($A85,'Data shares'!$C:$FB,127)*100</f>
        <v>45.24</v>
      </c>
    </row>
    <row r="86" spans="1:17" x14ac:dyDescent="0.25">
      <c r="A86" s="97" t="str">
        <f>'Data Vlaue (Cr)'!C81</f>
        <v>HINDPETRO</v>
      </c>
      <c r="B86" s="140">
        <f>VLOOKUP($A86,'Data shares'!$C:$FB,7)</f>
        <v>453.75</v>
      </c>
      <c r="C86" s="140">
        <f>VLOOKUP($A86,'Data shares'!$C:$FB,3)</f>
        <v>453.25</v>
      </c>
      <c r="D86" s="140">
        <f>VLOOKUP($A86,'Data shares'!$C:$FB,4)</f>
        <v>438.8</v>
      </c>
      <c r="E86" s="50">
        <f t="shared" si="3"/>
        <v>3.2930720145852299</v>
      </c>
      <c r="F86" s="49">
        <f>VLOOKUP($A86,'Data shares'!$C:$FB,98)</f>
        <v>90017325</v>
      </c>
      <c r="G86" s="49">
        <f>VLOOKUP($A86,'Data shares'!$C:$FB,99)</f>
        <v>87660225</v>
      </c>
      <c r="H86" s="50">
        <f t="shared" si="4"/>
        <v>2.6889048026057427</v>
      </c>
      <c r="I86" s="49">
        <f>VLOOKUP($A86,'Data shares'!$C:$FB,66)</f>
        <v>110360475</v>
      </c>
      <c r="J86" s="49">
        <f>VLOOKUP($A86,'Data shares'!$C:$FB,67)</f>
        <v>102197700</v>
      </c>
      <c r="K86" s="50">
        <f t="shared" si="5"/>
        <v>7.396465990201655</v>
      </c>
      <c r="L86" s="50">
        <f>VLOOKUP($A86,'Data shares'!$C:$FB,118)</f>
        <v>0.67</v>
      </c>
      <c r="M86" s="50">
        <f>VLOOKUP($A86,'Data shares'!$C:$FB,119)</f>
        <v>0.73</v>
      </c>
      <c r="N86" s="50">
        <f>VLOOKUP($A86,'Data shares'!$C:$FB,121)*100</f>
        <v>-8.2199999999999989</v>
      </c>
      <c r="O86" s="50">
        <f>VLOOKUP($A86,'Data shares'!$C:$FB,124)</f>
        <v>0.51</v>
      </c>
      <c r="P86" s="50">
        <f>VLOOKUP($A86,'Data shares'!$C:$FB,125)</f>
        <v>0.66</v>
      </c>
      <c r="Q86" s="50">
        <f>VLOOKUP($A86,'Data shares'!$C:$FB,127)*100</f>
        <v>-22.73</v>
      </c>
    </row>
    <row r="87" spans="1:17" x14ac:dyDescent="0.25">
      <c r="A87" s="97" t="str">
        <f>'Data Vlaue (Cr)'!C82</f>
        <v>HINDUNILVR</v>
      </c>
      <c r="B87" s="140">
        <f>VLOOKUP($A87,'Data shares'!$C:$FB,7)</f>
        <v>2511.8000000000002</v>
      </c>
      <c r="C87" s="140">
        <f>VLOOKUP($A87,'Data shares'!$C:$FB,3)</f>
        <v>2517.1999999999998</v>
      </c>
      <c r="D87" s="140">
        <f>VLOOKUP($A87,'Data shares'!$C:$FB,4)</f>
        <v>2513.8000000000002</v>
      </c>
      <c r="E87" s="50">
        <f t="shared" si="3"/>
        <v>0.1352534012252222</v>
      </c>
      <c r="F87" s="49">
        <f>VLOOKUP($A87,'Data shares'!$C:$FB,98)</f>
        <v>32531700</v>
      </c>
      <c r="G87" s="49">
        <f>VLOOKUP($A87,'Data shares'!$C:$FB,99)</f>
        <v>33975900</v>
      </c>
      <c r="H87" s="50">
        <f t="shared" si="4"/>
        <v>-4.25066002666596</v>
      </c>
      <c r="I87" s="49">
        <f>VLOOKUP($A87,'Data shares'!$C:$FB,66)</f>
        <v>35661000</v>
      </c>
      <c r="J87" s="49">
        <f>VLOOKUP($A87,'Data shares'!$C:$FB,67)</f>
        <v>88468200</v>
      </c>
      <c r="K87" s="50">
        <f t="shared" si="5"/>
        <v>-148.08109699671911</v>
      </c>
      <c r="L87" s="50">
        <f>VLOOKUP($A87,'Data shares'!$C:$FB,118)</f>
        <v>0.47</v>
      </c>
      <c r="M87" s="50">
        <f>VLOOKUP($A87,'Data shares'!$C:$FB,119)</f>
        <v>0.44</v>
      </c>
      <c r="N87" s="50">
        <f>VLOOKUP($A87,'Data shares'!$C:$FB,121)*100</f>
        <v>6.8199999999999994</v>
      </c>
      <c r="O87" s="50">
        <f>VLOOKUP($A87,'Data shares'!$C:$FB,124)</f>
        <v>0.42</v>
      </c>
      <c r="P87" s="50">
        <f>VLOOKUP($A87,'Data shares'!$C:$FB,125)</f>
        <v>0.56999999999999995</v>
      </c>
      <c r="Q87" s="50">
        <f>VLOOKUP($A87,'Data shares'!$C:$FB,127)*100</f>
        <v>-26.32</v>
      </c>
    </row>
    <row r="88" spans="1:17" x14ac:dyDescent="0.25">
      <c r="A88" s="97" t="str">
        <f>'Data Vlaue (Cr)'!C83</f>
        <v>HINDZINC</v>
      </c>
      <c r="B88" s="140">
        <f>VLOOKUP($A88,'Data shares'!$C:$FB,7)</f>
        <v>482.3</v>
      </c>
      <c r="C88" s="140">
        <f>VLOOKUP($A88,'Data shares'!$C:$FB,3)</f>
        <v>483.15</v>
      </c>
      <c r="D88" s="140">
        <f>VLOOKUP($A88,'Data shares'!$C:$FB,4)</f>
        <v>487.2</v>
      </c>
      <c r="E88" s="50">
        <f t="shared" si="3"/>
        <v>-0.83128078817734219</v>
      </c>
      <c r="F88" s="140">
        <f>VLOOKUP($A88,'Data shares'!$C:$FB,98)</f>
        <v>84689150</v>
      </c>
      <c r="G88" s="140">
        <f>VLOOKUP($A88,'Data shares'!$C:$FB,99)</f>
        <v>87066875</v>
      </c>
      <c r="H88" s="50">
        <f t="shared" si="4"/>
        <v>-2.730918044319381</v>
      </c>
      <c r="I88" s="49">
        <f>VLOOKUP($A88,'Data shares'!$C:$FB,66)</f>
        <v>62031550</v>
      </c>
      <c r="J88" s="49">
        <f>VLOOKUP($A88,'Data shares'!$C:$FB,67)</f>
        <v>130793250</v>
      </c>
      <c r="K88" s="50">
        <f t="shared" si="5"/>
        <v>-110.84955961925826</v>
      </c>
      <c r="L88" s="50">
        <f>VLOOKUP($A88,'Data shares'!$C:$FB,118)</f>
        <v>0.39</v>
      </c>
      <c r="M88" s="50">
        <f>VLOOKUP($A88,'Data shares'!$C:$FB,119)</f>
        <v>0.39</v>
      </c>
      <c r="N88" s="50">
        <f>VLOOKUP($A88,'Data shares'!$C:$FB,121)*100</f>
        <v>0</v>
      </c>
      <c r="O88" s="50">
        <f>VLOOKUP($A88,'Data shares'!$C:$FB,124)</f>
        <v>0.28999999999999998</v>
      </c>
      <c r="P88" s="50">
        <f>VLOOKUP($A88,'Data shares'!$C:$FB,125)</f>
        <v>0.32</v>
      </c>
      <c r="Q88" s="50">
        <f>VLOOKUP($A88,'Data shares'!$C:$FB,127)*100</f>
        <v>-9.379999999999999</v>
      </c>
    </row>
    <row r="89" spans="1:17" x14ac:dyDescent="0.25">
      <c r="A89" s="97" t="str">
        <f>'Data Vlaue (Cr)'!C84</f>
        <v>HUDCO</v>
      </c>
      <c r="B89" s="140">
        <f>VLOOKUP($A89,'Data shares'!$C:$FB,7)</f>
        <v>227.01</v>
      </c>
      <c r="C89" s="140">
        <f>VLOOKUP($A89,'Data shares'!$C:$FB,3)</f>
        <v>227.44</v>
      </c>
      <c r="D89" s="140">
        <f>VLOOKUP($A89,'Data shares'!$C:$FB,4)</f>
        <v>226.96</v>
      </c>
      <c r="E89" s="50">
        <f t="shared" si="3"/>
        <v>0.21149101163200112</v>
      </c>
      <c r="F89" s="49">
        <f>VLOOKUP($A89,'Data shares'!$C:$FB,98)</f>
        <v>55294650</v>
      </c>
      <c r="G89" s="49">
        <f>VLOOKUP($A89,'Data shares'!$C:$FB,99)</f>
        <v>54811800</v>
      </c>
      <c r="H89" s="50">
        <f t="shared" si="4"/>
        <v>0.88092345078979351</v>
      </c>
      <c r="I89" s="49">
        <f>VLOOKUP($A89,'Data shares'!$C:$FB,66)</f>
        <v>44280675</v>
      </c>
      <c r="J89" s="49">
        <f>VLOOKUP($A89,'Data shares'!$C:$FB,67)</f>
        <v>40609350</v>
      </c>
      <c r="K89" s="50">
        <f t="shared" si="5"/>
        <v>8.2910321489001699</v>
      </c>
      <c r="L89" s="50">
        <f>VLOOKUP($A89,'Data shares'!$C:$FB,118)</f>
        <v>0.53</v>
      </c>
      <c r="M89" s="50">
        <f>VLOOKUP($A89,'Data shares'!$C:$FB,119)</f>
        <v>0.53</v>
      </c>
      <c r="N89" s="50">
        <f>VLOOKUP($A89,'Data shares'!$C:$FB,121)*100</f>
        <v>0</v>
      </c>
      <c r="O89" s="50">
        <f>VLOOKUP($A89,'Data shares'!$C:$FB,124)</f>
        <v>0.41</v>
      </c>
      <c r="P89" s="50">
        <f>VLOOKUP($A89,'Data shares'!$C:$FB,125)</f>
        <v>0.41</v>
      </c>
      <c r="Q89" s="50">
        <f>VLOOKUP($A89,'Data shares'!$C:$FB,127)*100</f>
        <v>0</v>
      </c>
    </row>
    <row r="90" spans="1:17" x14ac:dyDescent="0.25">
      <c r="A90" s="97" t="str">
        <f>'Data Vlaue (Cr)'!C85</f>
        <v>ICICIBANK</v>
      </c>
      <c r="B90" s="140">
        <f>VLOOKUP($A90,'Data shares'!$C:$FB,7)</f>
        <v>1377.6</v>
      </c>
      <c r="C90" s="140">
        <f>VLOOKUP($A90,'Data shares'!$C:$FB,3)</f>
        <v>1378</v>
      </c>
      <c r="D90" s="140">
        <f>VLOOKUP($A90,'Data shares'!$C:$FB,4)</f>
        <v>1378</v>
      </c>
      <c r="E90" s="50">
        <f t="shared" si="3"/>
        <v>0</v>
      </c>
      <c r="F90" s="49">
        <f>VLOOKUP($A90,'Data shares'!$C:$FB,98)</f>
        <v>180201700</v>
      </c>
      <c r="G90" s="49">
        <f>VLOOKUP($A90,'Data shares'!$C:$FB,99)</f>
        <v>184269400</v>
      </c>
      <c r="H90" s="50">
        <f t="shared" si="4"/>
        <v>-2.2074744911526274</v>
      </c>
      <c r="I90" s="49">
        <f>VLOOKUP($A90,'Data shares'!$C:$FB,66)</f>
        <v>137174800</v>
      </c>
      <c r="J90" s="49">
        <f>VLOOKUP($A90,'Data shares'!$C:$FB,67)</f>
        <v>204335600</v>
      </c>
      <c r="K90" s="50">
        <f t="shared" si="5"/>
        <v>-48.960013063623933</v>
      </c>
      <c r="L90" s="50">
        <f>VLOOKUP($A90,'Data shares'!$C:$FB,118)</f>
        <v>0.56999999999999995</v>
      </c>
      <c r="M90" s="50">
        <f>VLOOKUP($A90,'Data shares'!$C:$FB,119)</f>
        <v>0.52</v>
      </c>
      <c r="N90" s="50">
        <f>VLOOKUP($A90,'Data shares'!$C:$FB,121)*100</f>
        <v>9.6199999999999992</v>
      </c>
      <c r="O90" s="50">
        <f>VLOOKUP($A90,'Data shares'!$C:$FB,124)</f>
        <v>0.56999999999999995</v>
      </c>
      <c r="P90" s="50">
        <f>VLOOKUP($A90,'Data shares'!$C:$FB,125)</f>
        <v>0.54</v>
      </c>
      <c r="Q90" s="50">
        <f>VLOOKUP($A90,'Data shares'!$C:$FB,127)*100</f>
        <v>5.56</v>
      </c>
    </row>
    <row r="91" spans="1:17" x14ac:dyDescent="0.25">
      <c r="A91" s="97" t="str">
        <f>'Data Vlaue (Cr)'!C86</f>
        <v>ICICIGI</v>
      </c>
      <c r="B91" s="140">
        <f>VLOOKUP($A91,'Data shares'!$C:$FB,7)</f>
        <v>1986.4</v>
      </c>
      <c r="C91" s="140">
        <f>VLOOKUP($A91,'Data shares'!$C:$FB,3)</f>
        <v>1989.3</v>
      </c>
      <c r="D91" s="140">
        <f>VLOOKUP($A91,'Data shares'!$C:$FB,4)</f>
        <v>1992.1</v>
      </c>
      <c r="E91" s="50">
        <f t="shared" si="3"/>
        <v>-0.14055519301239669</v>
      </c>
      <c r="F91" s="49">
        <f>VLOOKUP($A91,'Data shares'!$C:$FB,98)</f>
        <v>9536800</v>
      </c>
      <c r="G91" s="49">
        <f>VLOOKUP($A91,'Data shares'!$C:$FB,99)</f>
        <v>9929400</v>
      </c>
      <c r="H91" s="50">
        <f t="shared" si="4"/>
        <v>-3.9539146373396181</v>
      </c>
      <c r="I91" s="49">
        <f>VLOOKUP($A91,'Data shares'!$C:$FB,66)</f>
        <v>6358300</v>
      </c>
      <c r="J91" s="49">
        <f>VLOOKUP($A91,'Data shares'!$C:$FB,67)</f>
        <v>10192000</v>
      </c>
      <c r="K91" s="50">
        <f t="shared" si="5"/>
        <v>-60.294418319362094</v>
      </c>
      <c r="L91" s="50">
        <f>VLOOKUP($A91,'Data shares'!$C:$FB,118)</f>
        <v>1.2</v>
      </c>
      <c r="M91" s="50">
        <f>VLOOKUP($A91,'Data shares'!$C:$FB,119)</f>
        <v>1.26</v>
      </c>
      <c r="N91" s="50">
        <f>VLOOKUP($A91,'Data shares'!$C:$FB,121)*100</f>
        <v>-4.7600000000000007</v>
      </c>
      <c r="O91" s="50">
        <f>VLOOKUP($A91,'Data shares'!$C:$FB,124)</f>
        <v>0.8</v>
      </c>
      <c r="P91" s="50">
        <f>VLOOKUP($A91,'Data shares'!$C:$FB,125)</f>
        <v>1.3</v>
      </c>
      <c r="Q91" s="50">
        <f>VLOOKUP($A91,'Data shares'!$C:$FB,127)*100</f>
        <v>-38.46</v>
      </c>
    </row>
    <row r="92" spans="1:17" x14ac:dyDescent="0.25">
      <c r="A92" s="97" t="str">
        <f>'Data Vlaue (Cr)'!C87</f>
        <v>ICICIPRULI</v>
      </c>
      <c r="B92" s="140">
        <f>VLOOKUP($A92,'Data shares'!$C:$FB,7)</f>
        <v>600.75</v>
      </c>
      <c r="C92" s="140">
        <f>VLOOKUP($A92,'Data shares'!$C:$FB,3)</f>
        <v>601.6</v>
      </c>
      <c r="D92" s="140">
        <f>VLOOKUP($A92,'Data shares'!$C:$FB,4)</f>
        <v>601.5</v>
      </c>
      <c r="E92" s="50">
        <f t="shared" si="3"/>
        <v>1.6625103906903201E-2</v>
      </c>
      <c r="F92" s="49">
        <f>VLOOKUP($A92,'Data shares'!$C:$FB,98)</f>
        <v>20022550</v>
      </c>
      <c r="G92" s="49">
        <f>VLOOKUP($A92,'Data shares'!$C:$FB,99)</f>
        <v>20065100</v>
      </c>
      <c r="H92" s="50">
        <f t="shared" si="4"/>
        <v>-0.21205974552830537</v>
      </c>
      <c r="I92" s="49">
        <f>VLOOKUP($A92,'Data shares'!$C:$FB,66)</f>
        <v>14803700</v>
      </c>
      <c r="J92" s="49">
        <f>VLOOKUP($A92,'Data shares'!$C:$FB,67)</f>
        <v>14946150</v>
      </c>
      <c r="K92" s="50">
        <f t="shared" si="5"/>
        <v>-0.96225943514121481</v>
      </c>
      <c r="L92" s="50">
        <f>VLOOKUP($A92,'Data shares'!$C:$FB,118)</f>
        <v>0.59</v>
      </c>
      <c r="M92" s="50">
        <f>VLOOKUP($A92,'Data shares'!$C:$FB,119)</f>
        <v>0.6</v>
      </c>
      <c r="N92" s="50">
        <f>VLOOKUP($A92,'Data shares'!$C:$FB,121)*100</f>
        <v>-1.67</v>
      </c>
      <c r="O92" s="50">
        <f>VLOOKUP($A92,'Data shares'!$C:$FB,124)</f>
        <v>0.36</v>
      </c>
      <c r="P92" s="50">
        <f>VLOOKUP($A92,'Data shares'!$C:$FB,125)</f>
        <v>0.62</v>
      </c>
      <c r="Q92" s="50">
        <f>VLOOKUP($A92,'Data shares'!$C:$FB,127)*100</f>
        <v>-41.94</v>
      </c>
    </row>
    <row r="93" spans="1:17" x14ac:dyDescent="0.25">
      <c r="A93" s="97" t="str">
        <f>'Data Vlaue (Cr)'!C88</f>
        <v>IDEA</v>
      </c>
      <c r="B93" s="140">
        <f>VLOOKUP($A93,'Data shares'!$C:$FB,7)</f>
        <v>9.9700000000000006</v>
      </c>
      <c r="C93" s="140">
        <f>VLOOKUP($A93,'Data shares'!$C:$FB,3)</f>
        <v>9.99</v>
      </c>
      <c r="D93" s="140">
        <f>VLOOKUP($A93,'Data shares'!$C:$FB,4)</f>
        <v>9.64</v>
      </c>
      <c r="E93" s="50">
        <f t="shared" si="3"/>
        <v>3.6307053941908674</v>
      </c>
      <c r="F93" s="49">
        <f>VLOOKUP($A93,'Data shares'!$C:$FB,98)</f>
        <v>10701379950</v>
      </c>
      <c r="G93" s="49">
        <f>VLOOKUP($A93,'Data shares'!$C:$FB,99)</f>
        <v>10305479925</v>
      </c>
      <c r="H93" s="50">
        <f t="shared" si="4"/>
        <v>3.841645686384664</v>
      </c>
      <c r="I93" s="49">
        <f>VLOOKUP($A93,'Data shares'!$C:$FB,66)</f>
        <v>9617920000</v>
      </c>
      <c r="J93" s="49">
        <f>VLOOKUP($A93,'Data shares'!$C:$FB,67)</f>
        <v>3780400000</v>
      </c>
      <c r="K93" s="50">
        <f t="shared" si="5"/>
        <v>60.694204152249128</v>
      </c>
      <c r="L93" s="50">
        <f>VLOOKUP($A93,'Data shares'!$C:$FB,118)</f>
        <v>0.78</v>
      </c>
      <c r="M93" s="50">
        <f>VLOOKUP($A93,'Data shares'!$C:$FB,119)</f>
        <v>0.69</v>
      </c>
      <c r="N93" s="50">
        <f>VLOOKUP($A93,'Data shares'!$C:$FB,121)*100</f>
        <v>13.04</v>
      </c>
      <c r="O93" s="50">
        <f>VLOOKUP($A93,'Data shares'!$C:$FB,124)</f>
        <v>0.3</v>
      </c>
      <c r="P93" s="50">
        <f>VLOOKUP($A93,'Data shares'!$C:$FB,125)</f>
        <v>0.38</v>
      </c>
      <c r="Q93" s="50">
        <f>VLOOKUP($A93,'Data shares'!$C:$FB,127)*100</f>
        <v>-21.05</v>
      </c>
    </row>
    <row r="94" spans="1:17" x14ac:dyDescent="0.25">
      <c r="A94" s="97" t="str">
        <f>'Data Vlaue (Cr)'!C89</f>
        <v>IDFCFIRSTB</v>
      </c>
      <c r="B94" s="140">
        <f>VLOOKUP($A94,'Data shares'!$C:$FB,7)</f>
        <v>78.03</v>
      </c>
      <c r="C94" s="140">
        <f>VLOOKUP($A94,'Data shares'!$C:$FB,3)</f>
        <v>78.13</v>
      </c>
      <c r="D94" s="140">
        <f>VLOOKUP($A94,'Data shares'!$C:$FB,4)</f>
        <v>78.239999999999995</v>
      </c>
      <c r="E94" s="50">
        <f t="shared" si="3"/>
        <v>-0.14059304703476411</v>
      </c>
      <c r="F94" s="49">
        <f>VLOOKUP($A94,'Data shares'!$C:$FB,98)</f>
        <v>687518650</v>
      </c>
      <c r="G94" s="49">
        <f>VLOOKUP($A94,'Data shares'!$C:$FB,99)</f>
        <v>686591150</v>
      </c>
      <c r="H94" s="50">
        <f t="shared" si="4"/>
        <v>0.13508767189906248</v>
      </c>
      <c r="I94" s="49">
        <f>VLOOKUP($A94,'Data shares'!$C:$FB,66)</f>
        <v>417133850</v>
      </c>
      <c r="J94" s="49">
        <f>VLOOKUP($A94,'Data shares'!$C:$FB,67)</f>
        <v>488940900</v>
      </c>
      <c r="K94" s="50">
        <f t="shared" si="5"/>
        <v>-17.214390536754571</v>
      </c>
      <c r="L94" s="50">
        <f>VLOOKUP($A94,'Data shares'!$C:$FB,118)</f>
        <v>0.97</v>
      </c>
      <c r="M94" s="50">
        <f>VLOOKUP($A94,'Data shares'!$C:$FB,119)</f>
        <v>0.95</v>
      </c>
      <c r="N94" s="50">
        <f>VLOOKUP($A94,'Data shares'!$C:$FB,121)*100</f>
        <v>2.11</v>
      </c>
      <c r="O94" s="50">
        <f>VLOOKUP($A94,'Data shares'!$C:$FB,124)</f>
        <v>0.56000000000000005</v>
      </c>
      <c r="P94" s="50">
        <f>VLOOKUP($A94,'Data shares'!$C:$FB,125)</f>
        <v>0.49</v>
      </c>
      <c r="Q94" s="50">
        <f>VLOOKUP($A94,'Data shares'!$C:$FB,127)*100</f>
        <v>14.29</v>
      </c>
    </row>
    <row r="95" spans="1:17" x14ac:dyDescent="0.25">
      <c r="A95" s="97" t="str">
        <f>'Data Vlaue (Cr)'!C90</f>
        <v>IEX</v>
      </c>
      <c r="B95" s="140">
        <f>VLOOKUP($A95,'Data shares'!$C:$FB,7)</f>
        <v>147.13999999999999</v>
      </c>
      <c r="C95" s="140">
        <f>VLOOKUP($A95,'Data shares'!$C:$FB,3)</f>
        <v>147.16</v>
      </c>
      <c r="D95" s="140">
        <f>VLOOKUP($A95,'Data shares'!$C:$FB,4)</f>
        <v>147.38</v>
      </c>
      <c r="E95" s="50">
        <f t="shared" si="3"/>
        <v>-0.14927398561541516</v>
      </c>
      <c r="F95" s="49">
        <f>VLOOKUP($A95,'Data shares'!$C:$FB,98)</f>
        <v>139342500</v>
      </c>
      <c r="G95" s="49">
        <f>VLOOKUP($A95,'Data shares'!$C:$FB,99)</f>
        <v>133451250</v>
      </c>
      <c r="H95" s="50">
        <f t="shared" si="4"/>
        <v>4.4145333970270038</v>
      </c>
      <c r="I95" s="49">
        <f>VLOOKUP($A95,'Data shares'!$C:$FB,66)</f>
        <v>119163750</v>
      </c>
      <c r="J95" s="49">
        <f>VLOOKUP($A95,'Data shares'!$C:$FB,67)</f>
        <v>218568750</v>
      </c>
      <c r="K95" s="50">
        <f t="shared" si="5"/>
        <v>-83.41882493627466</v>
      </c>
      <c r="L95" s="50">
        <f>VLOOKUP($A95,'Data shares'!$C:$FB,118)</f>
        <v>0.7</v>
      </c>
      <c r="M95" s="50">
        <f>VLOOKUP($A95,'Data shares'!$C:$FB,119)</f>
        <v>0.77</v>
      </c>
      <c r="N95" s="50">
        <f>VLOOKUP($A95,'Data shares'!$C:$FB,121)*100</f>
        <v>-9.09</v>
      </c>
      <c r="O95" s="50">
        <f>VLOOKUP($A95,'Data shares'!$C:$FB,124)</f>
        <v>0.4</v>
      </c>
      <c r="P95" s="50">
        <f>VLOOKUP($A95,'Data shares'!$C:$FB,125)</f>
        <v>0.43</v>
      </c>
      <c r="Q95" s="50">
        <f>VLOOKUP($A95,'Data shares'!$C:$FB,127)*100</f>
        <v>-6.98</v>
      </c>
    </row>
    <row r="96" spans="1:17" x14ac:dyDescent="0.25">
      <c r="A96" s="97" t="str">
        <f>'Data Vlaue (Cr)'!C91</f>
        <v>IGL</v>
      </c>
      <c r="B96" s="140">
        <f>VLOOKUP($A96,'Data shares'!$C:$FB,7)</f>
        <v>213.47</v>
      </c>
      <c r="C96" s="140">
        <f>VLOOKUP($A96,'Data shares'!$C:$FB,3)</f>
        <v>213.88</v>
      </c>
      <c r="D96" s="140">
        <f>VLOOKUP($A96,'Data shares'!$C:$FB,4)</f>
        <v>211.56</v>
      </c>
      <c r="E96" s="50">
        <f t="shared" si="3"/>
        <v>1.0966156173189607</v>
      </c>
      <c r="F96" s="49">
        <f>VLOOKUP($A96,'Data shares'!$C:$FB,98)</f>
        <v>47949000</v>
      </c>
      <c r="G96" s="49">
        <f>VLOOKUP($A96,'Data shares'!$C:$FB,99)</f>
        <v>49700750</v>
      </c>
      <c r="H96" s="50">
        <f t="shared" si="4"/>
        <v>-3.5245946992751618</v>
      </c>
      <c r="I96" s="49">
        <f>VLOOKUP($A96,'Data shares'!$C:$FB,66)</f>
        <v>34883750</v>
      </c>
      <c r="J96" s="49">
        <f>VLOOKUP($A96,'Data shares'!$C:$FB,67)</f>
        <v>35431000</v>
      </c>
      <c r="K96" s="50">
        <f t="shared" si="5"/>
        <v>-1.5687820260149783</v>
      </c>
      <c r="L96" s="50">
        <f>VLOOKUP($A96,'Data shares'!$C:$FB,118)</f>
        <v>0.53</v>
      </c>
      <c r="M96" s="50">
        <f>VLOOKUP($A96,'Data shares'!$C:$FB,119)</f>
        <v>0.52</v>
      </c>
      <c r="N96" s="50">
        <f>VLOOKUP($A96,'Data shares'!$C:$FB,121)*100</f>
        <v>1.92</v>
      </c>
      <c r="O96" s="50">
        <f>VLOOKUP($A96,'Data shares'!$C:$FB,124)</f>
        <v>0.34</v>
      </c>
      <c r="P96" s="50">
        <f>VLOOKUP($A96,'Data shares'!$C:$FB,125)</f>
        <v>0.4</v>
      </c>
      <c r="Q96" s="50">
        <f>VLOOKUP($A96,'Data shares'!$C:$FB,127)*100</f>
        <v>-15</v>
      </c>
    </row>
    <row r="97" spans="1:17" x14ac:dyDescent="0.25">
      <c r="A97" s="97" t="str">
        <f>'Data Vlaue (Cr)'!C92</f>
        <v>IIFL</v>
      </c>
      <c r="B97" s="140">
        <f>VLOOKUP($A97,'Data shares'!$C:$FB,7)</f>
        <v>505.35</v>
      </c>
      <c r="C97" s="140">
        <f>VLOOKUP($A97,'Data shares'!$C:$FB,3)</f>
        <v>505.75</v>
      </c>
      <c r="D97" s="140">
        <f>VLOOKUP($A97,'Data shares'!$C:$FB,4)</f>
        <v>490.25</v>
      </c>
      <c r="E97" s="50">
        <f t="shared" si="3"/>
        <v>3.1616522182559921</v>
      </c>
      <c r="F97" s="49">
        <f>VLOOKUP($A97,'Data shares'!$C:$FB,98)</f>
        <v>24134550</v>
      </c>
      <c r="G97" s="49">
        <f>VLOOKUP($A97,'Data shares'!$C:$FB,99)</f>
        <v>22892100</v>
      </c>
      <c r="H97" s="50">
        <f t="shared" si="4"/>
        <v>5.4274181923021478</v>
      </c>
      <c r="I97" s="49">
        <f>VLOOKUP($A97,'Data shares'!$C:$FB,66)</f>
        <v>30229650</v>
      </c>
      <c r="J97" s="49">
        <f>VLOOKUP($A97,'Data shares'!$C:$FB,67)</f>
        <v>17272200</v>
      </c>
      <c r="K97" s="50">
        <f t="shared" si="5"/>
        <v>42.863380819824243</v>
      </c>
      <c r="L97" s="50">
        <f>VLOOKUP($A97,'Data shares'!$C:$FB,118)</f>
        <v>0.61</v>
      </c>
      <c r="M97" s="50">
        <f>VLOOKUP($A97,'Data shares'!$C:$FB,119)</f>
        <v>0.68</v>
      </c>
      <c r="N97" s="50">
        <f>VLOOKUP($A97,'Data shares'!$C:$FB,121)*100</f>
        <v>-10.290000000000001</v>
      </c>
      <c r="O97" s="50">
        <f>VLOOKUP($A97,'Data shares'!$C:$FB,124)</f>
        <v>0.34</v>
      </c>
      <c r="P97" s="50">
        <f>VLOOKUP($A97,'Data shares'!$C:$FB,125)</f>
        <v>0.52</v>
      </c>
      <c r="Q97" s="50">
        <f>VLOOKUP($A97,'Data shares'!$C:$FB,127)*100</f>
        <v>-34.619999999999997</v>
      </c>
    </row>
    <row r="98" spans="1:17" x14ac:dyDescent="0.25">
      <c r="A98" s="97" t="str">
        <f>'Data Vlaue (Cr)'!C93</f>
        <v>INDHOTEL</v>
      </c>
      <c r="B98" s="140">
        <f>VLOOKUP($A98,'Data shares'!$C:$FB,7)</f>
        <v>746.55</v>
      </c>
      <c r="C98" s="140">
        <f>VLOOKUP($A98,'Data shares'!$C:$FB,3)</f>
        <v>746.45</v>
      </c>
      <c r="D98" s="140">
        <f>VLOOKUP($A98,'Data shares'!$C:$FB,4)</f>
        <v>735</v>
      </c>
      <c r="E98" s="50">
        <f t="shared" si="3"/>
        <v>1.5578231292517069</v>
      </c>
      <c r="F98" s="49">
        <f>VLOOKUP($A98,'Data shares'!$C:$FB,98)</f>
        <v>43721000</v>
      </c>
      <c r="G98" s="49">
        <f>VLOOKUP($A98,'Data shares'!$C:$FB,99)</f>
        <v>47370000</v>
      </c>
      <c r="H98" s="50">
        <f t="shared" si="4"/>
        <v>-7.7031876715220609</v>
      </c>
      <c r="I98" s="49">
        <f>VLOOKUP($A98,'Data shares'!$C:$FB,66)</f>
        <v>45452000</v>
      </c>
      <c r="J98" s="49">
        <f>VLOOKUP($A98,'Data shares'!$C:$FB,67)</f>
        <v>36010000</v>
      </c>
      <c r="K98" s="50">
        <f t="shared" si="5"/>
        <v>20.773563319545897</v>
      </c>
      <c r="L98" s="50">
        <f>VLOOKUP($A98,'Data shares'!$C:$FB,118)</f>
        <v>0.76</v>
      </c>
      <c r="M98" s="50">
        <f>VLOOKUP($A98,'Data shares'!$C:$FB,119)</f>
        <v>0.6</v>
      </c>
      <c r="N98" s="50">
        <f>VLOOKUP($A98,'Data shares'!$C:$FB,121)*100</f>
        <v>26.669999999999998</v>
      </c>
      <c r="O98" s="50">
        <f>VLOOKUP($A98,'Data shares'!$C:$FB,124)</f>
        <v>0.62</v>
      </c>
      <c r="P98" s="50">
        <f>VLOOKUP($A98,'Data shares'!$C:$FB,125)</f>
        <v>0.5</v>
      </c>
      <c r="Q98" s="50">
        <f>VLOOKUP($A98,'Data shares'!$C:$FB,127)*100</f>
        <v>24</v>
      </c>
    </row>
    <row r="99" spans="1:17" x14ac:dyDescent="0.25">
      <c r="A99" s="97" t="str">
        <f>'Data Vlaue (Cr)'!C94</f>
        <v>INDIANB</v>
      </c>
      <c r="B99" s="140">
        <f>VLOOKUP($A99,'Data shares'!$C:$FB,7)</f>
        <v>825.85</v>
      </c>
      <c r="C99" s="140">
        <f>VLOOKUP($A99,'Data shares'!$C:$FB,3)</f>
        <v>829.9</v>
      </c>
      <c r="D99" s="140">
        <f>VLOOKUP($A99,'Data shares'!$C:$FB,4)</f>
        <v>820.05</v>
      </c>
      <c r="E99" s="50">
        <f t="shared" si="3"/>
        <v>1.2011462715688097</v>
      </c>
      <c r="F99" s="49">
        <f>VLOOKUP($A99,'Data shares'!$C:$FB,98)</f>
        <v>17670000</v>
      </c>
      <c r="G99" s="49">
        <f>VLOOKUP($A99,'Data shares'!$C:$FB,99)</f>
        <v>18205000</v>
      </c>
      <c r="H99" s="50">
        <f t="shared" si="4"/>
        <v>-2.9387530898104917</v>
      </c>
      <c r="I99" s="49">
        <f>VLOOKUP($A99,'Data shares'!$C:$FB,66)</f>
        <v>20727000</v>
      </c>
      <c r="J99" s="49">
        <f>VLOOKUP($A99,'Data shares'!$C:$FB,67)</f>
        <v>23390000</v>
      </c>
      <c r="K99" s="50">
        <f t="shared" si="5"/>
        <v>-12.847976069860568</v>
      </c>
      <c r="L99" s="50">
        <f>VLOOKUP($A99,'Data shares'!$C:$FB,118)</f>
        <v>1.19</v>
      </c>
      <c r="M99" s="50">
        <f>VLOOKUP($A99,'Data shares'!$C:$FB,119)</f>
        <v>1.1000000000000001</v>
      </c>
      <c r="N99" s="50">
        <f>VLOOKUP($A99,'Data shares'!$C:$FB,121)*100</f>
        <v>8.18</v>
      </c>
      <c r="O99" s="50">
        <f>VLOOKUP($A99,'Data shares'!$C:$FB,124)</f>
        <v>0.61</v>
      </c>
      <c r="P99" s="50">
        <f>VLOOKUP($A99,'Data shares'!$C:$FB,125)</f>
        <v>0.64</v>
      </c>
      <c r="Q99" s="50">
        <f>VLOOKUP($A99,'Data shares'!$C:$FB,127)*100</f>
        <v>-4.6899999999999995</v>
      </c>
    </row>
    <row r="100" spans="1:17" x14ac:dyDescent="0.25">
      <c r="A100" s="97" t="str">
        <f>'Data Vlaue (Cr)'!C95</f>
        <v>INDIAVIX</v>
      </c>
      <c r="B100" s="140">
        <f>VLOOKUP($A100,'Data shares'!$C:$FB,7)</f>
        <v>11.86</v>
      </c>
      <c r="C100" s="140">
        <f>VLOOKUP($A100,'Data shares'!$C:$FB,3)</f>
        <v>11.86</v>
      </c>
      <c r="D100" s="140">
        <f>VLOOKUP($A100,'Data shares'!$C:$FB,4)</f>
        <v>11.59</v>
      </c>
      <c r="E100" s="50">
        <f t="shared" si="3"/>
        <v>2.3295944779982705</v>
      </c>
      <c r="F100" s="49">
        <f>VLOOKUP($A100,'Data shares'!$C:$FB,98)</f>
        <v>0</v>
      </c>
      <c r="G100" s="49">
        <f>VLOOKUP($A100,'Data shares'!$C:$FB,99)</f>
        <v>0</v>
      </c>
      <c r="H100" s="50" t="e">
        <f t="shared" si="4"/>
        <v>#DIV/0!</v>
      </c>
      <c r="I100" s="49">
        <f>VLOOKUP($A100,'Data shares'!$C:$FB,66)</f>
        <v>0</v>
      </c>
      <c r="J100" s="49">
        <f>VLOOKUP($A100,'Data shares'!$C:$FB,67)</f>
        <v>0</v>
      </c>
      <c r="K100" s="50" t="e">
        <f t="shared" si="5"/>
        <v>#DIV/0!</v>
      </c>
      <c r="L100" s="50">
        <f>VLOOKUP($A100,'Data shares'!$C:$FB,118)</f>
        <v>0</v>
      </c>
      <c r="M100" s="50">
        <f>VLOOKUP($A100,'Data shares'!$C:$FB,119)</f>
        <v>0</v>
      </c>
      <c r="N100" s="50">
        <f>VLOOKUP($A100,'Data shares'!$C:$FB,121)*100</f>
        <v>0</v>
      </c>
      <c r="O100" s="50">
        <f>VLOOKUP($A100,'Data shares'!$C:$FB,124)</f>
        <v>0</v>
      </c>
      <c r="P100" s="50">
        <f>VLOOKUP($A100,'Data shares'!$C:$FB,125)</f>
        <v>0</v>
      </c>
      <c r="Q100" s="50">
        <f>VLOOKUP($A100,'Data shares'!$C:$FB,127)*100</f>
        <v>0</v>
      </c>
    </row>
    <row r="101" spans="1:17" x14ac:dyDescent="0.25">
      <c r="A101" s="97" t="str">
        <f>'Data Vlaue (Cr)'!C96</f>
        <v>INDIGO</v>
      </c>
      <c r="B101" s="140">
        <f>VLOOKUP($A101,'Data shares'!$C:$FB,7)</f>
        <v>5835</v>
      </c>
      <c r="C101" s="140">
        <f>VLOOKUP($A101,'Data shares'!$C:$FB,3)</f>
        <v>5836.5</v>
      </c>
      <c r="D101" s="140">
        <f>VLOOKUP($A101,'Data shares'!$C:$FB,4)</f>
        <v>5765</v>
      </c>
      <c r="E101" s="50">
        <f t="shared" si="3"/>
        <v>1.2402428447528189</v>
      </c>
      <c r="F101" s="49">
        <f>VLOOKUP($A101,'Data shares'!$C:$FB,98)</f>
        <v>11612400</v>
      </c>
      <c r="G101" s="49">
        <f>VLOOKUP($A101,'Data shares'!$C:$FB,99)</f>
        <v>11754750</v>
      </c>
      <c r="H101" s="50">
        <f t="shared" si="4"/>
        <v>-1.2109998085880176</v>
      </c>
      <c r="I101" s="49">
        <f>VLOOKUP($A101,'Data shares'!$C:$FB,66)</f>
        <v>14798550</v>
      </c>
      <c r="J101" s="49">
        <f>VLOOKUP($A101,'Data shares'!$C:$FB,67)</f>
        <v>15196350</v>
      </c>
      <c r="K101" s="50">
        <f t="shared" si="5"/>
        <v>-2.6881011991039663</v>
      </c>
      <c r="L101" s="50">
        <f>VLOOKUP($A101,'Data shares'!$C:$FB,118)</f>
        <v>0.91</v>
      </c>
      <c r="M101" s="50">
        <f>VLOOKUP($A101,'Data shares'!$C:$FB,119)</f>
        <v>0.77</v>
      </c>
      <c r="N101" s="50">
        <f>VLOOKUP($A101,'Data shares'!$C:$FB,121)*100</f>
        <v>18.18</v>
      </c>
      <c r="O101" s="50">
        <f>VLOOKUP($A101,'Data shares'!$C:$FB,124)</f>
        <v>0.73</v>
      </c>
      <c r="P101" s="50">
        <f>VLOOKUP($A101,'Data shares'!$C:$FB,125)</f>
        <v>0.64</v>
      </c>
      <c r="Q101" s="50">
        <f>VLOOKUP($A101,'Data shares'!$C:$FB,127)*100</f>
        <v>14.06</v>
      </c>
    </row>
    <row r="102" spans="1:17" x14ac:dyDescent="0.25">
      <c r="A102" s="97" t="str">
        <f>'Data Vlaue (Cr)'!C97</f>
        <v>INDUSINDBK</v>
      </c>
      <c r="B102" s="140">
        <f>VLOOKUP($A102,'Data shares'!$C:$FB,7)</f>
        <v>770.05</v>
      </c>
      <c r="C102" s="140">
        <f>VLOOKUP($A102,'Data shares'!$C:$FB,3)</f>
        <v>770</v>
      </c>
      <c r="D102" s="140">
        <f>VLOOKUP($A102,'Data shares'!$C:$FB,4)</f>
        <v>754.4</v>
      </c>
      <c r="E102" s="50">
        <f t="shared" si="3"/>
        <v>2.0678685047720071</v>
      </c>
      <c r="F102" s="49">
        <f>VLOOKUP($A102,'Data shares'!$C:$FB,98)</f>
        <v>92870400</v>
      </c>
      <c r="G102" s="49">
        <f>VLOOKUP($A102,'Data shares'!$C:$FB,99)</f>
        <v>92621200</v>
      </c>
      <c r="H102" s="50">
        <f t="shared" si="4"/>
        <v>0.26905287342422685</v>
      </c>
      <c r="I102" s="49">
        <f>VLOOKUP($A102,'Data shares'!$C:$FB,66)</f>
        <v>81194400</v>
      </c>
      <c r="J102" s="49">
        <f>VLOOKUP($A102,'Data shares'!$C:$FB,67)</f>
        <v>62460300</v>
      </c>
      <c r="K102" s="50">
        <f t="shared" si="5"/>
        <v>23.07314297537761</v>
      </c>
      <c r="L102" s="50">
        <f>VLOOKUP($A102,'Data shares'!$C:$FB,118)</f>
        <v>0.8</v>
      </c>
      <c r="M102" s="50">
        <f>VLOOKUP($A102,'Data shares'!$C:$FB,119)</f>
        <v>0.73</v>
      </c>
      <c r="N102" s="50">
        <f>VLOOKUP($A102,'Data shares'!$C:$FB,121)*100</f>
        <v>9.59</v>
      </c>
      <c r="O102" s="50">
        <f>VLOOKUP($A102,'Data shares'!$C:$FB,124)</f>
        <v>0.6</v>
      </c>
      <c r="P102" s="50">
        <f>VLOOKUP($A102,'Data shares'!$C:$FB,125)</f>
        <v>0.73</v>
      </c>
      <c r="Q102" s="50">
        <f>VLOOKUP($A102,'Data shares'!$C:$FB,127)*100</f>
        <v>-17.810000000000002</v>
      </c>
    </row>
    <row r="103" spans="1:17" x14ac:dyDescent="0.25">
      <c r="A103" s="97" t="str">
        <f>'Data Vlaue (Cr)'!C98</f>
        <v>INDUSTOWER</v>
      </c>
      <c r="B103" s="140">
        <f>VLOOKUP($A103,'Data shares'!$C:$FB,7)</f>
        <v>371.3</v>
      </c>
      <c r="C103" s="140">
        <f>VLOOKUP($A103,'Data shares'!$C:$FB,3)</f>
        <v>372.05</v>
      </c>
      <c r="D103" s="140">
        <f>VLOOKUP($A103,'Data shares'!$C:$FB,4)</f>
        <v>362.2</v>
      </c>
      <c r="E103" s="50">
        <f t="shared" si="3"/>
        <v>2.7194919933738331</v>
      </c>
      <c r="F103" s="49">
        <f>VLOOKUP($A103,'Data shares'!$C:$FB,98)</f>
        <v>154562300</v>
      </c>
      <c r="G103" s="49">
        <f>VLOOKUP($A103,'Data shares'!$C:$FB,99)</f>
        <v>131901300</v>
      </c>
      <c r="H103" s="50">
        <f t="shared" si="4"/>
        <v>17.180270399154519</v>
      </c>
      <c r="I103" s="49">
        <f>VLOOKUP($A103,'Data shares'!$C:$FB,66)</f>
        <v>391372300</v>
      </c>
      <c r="J103" s="49">
        <f>VLOOKUP($A103,'Data shares'!$C:$FB,67)</f>
        <v>95405700</v>
      </c>
      <c r="K103" s="50">
        <f t="shared" si="5"/>
        <v>75.622776573610338</v>
      </c>
      <c r="L103" s="50">
        <f>VLOOKUP($A103,'Data shares'!$C:$FB,118)</f>
        <v>0.78</v>
      </c>
      <c r="M103" s="50">
        <f>VLOOKUP($A103,'Data shares'!$C:$FB,119)</f>
        <v>0.72</v>
      </c>
      <c r="N103" s="50">
        <f>VLOOKUP($A103,'Data shares'!$C:$FB,121)*100</f>
        <v>8.33</v>
      </c>
      <c r="O103" s="50">
        <f>VLOOKUP($A103,'Data shares'!$C:$FB,124)</f>
        <v>0.44</v>
      </c>
      <c r="P103" s="50">
        <f>VLOOKUP($A103,'Data shares'!$C:$FB,125)</f>
        <v>0.39</v>
      </c>
      <c r="Q103" s="50">
        <f>VLOOKUP($A103,'Data shares'!$C:$FB,127)*100</f>
        <v>12.82</v>
      </c>
    </row>
    <row r="104" spans="1:17" x14ac:dyDescent="0.25">
      <c r="A104" s="97" t="str">
        <f>'Data Vlaue (Cr)'!C99</f>
        <v>INFY</v>
      </c>
      <c r="B104" s="140">
        <f>VLOOKUP($A104,'Data shares'!$C:$FB,7)</f>
        <v>1504.5</v>
      </c>
      <c r="C104" s="140">
        <f>VLOOKUP($A104,'Data shares'!$C:$FB,3)</f>
        <v>1505.4</v>
      </c>
      <c r="D104" s="140">
        <f>VLOOKUP($A104,'Data shares'!$C:$FB,4)</f>
        <v>1501.3</v>
      </c>
      <c r="E104" s="50">
        <f t="shared" si="3"/>
        <v>0.27309664957038143</v>
      </c>
      <c r="F104" s="49">
        <f>VLOOKUP($A104,'Data shares'!$C:$FB,98)</f>
        <v>131326800</v>
      </c>
      <c r="G104" s="49">
        <f>VLOOKUP($A104,'Data shares'!$C:$FB,99)</f>
        <v>136416000</v>
      </c>
      <c r="H104" s="50">
        <f t="shared" si="4"/>
        <v>-3.7306474313863478</v>
      </c>
      <c r="I104" s="49">
        <f>VLOOKUP($A104,'Data shares'!$C:$FB,66)</f>
        <v>123122400</v>
      </c>
      <c r="J104" s="49">
        <f>VLOOKUP($A104,'Data shares'!$C:$FB,67)</f>
        <v>154102400</v>
      </c>
      <c r="K104" s="50">
        <f t="shared" si="5"/>
        <v>-25.161952658492687</v>
      </c>
      <c r="L104" s="50">
        <f>VLOOKUP($A104,'Data shares'!$C:$FB,118)</f>
        <v>0.42</v>
      </c>
      <c r="M104" s="50">
        <f>VLOOKUP($A104,'Data shares'!$C:$FB,119)</f>
        <v>0.43</v>
      </c>
      <c r="N104" s="50">
        <f>VLOOKUP($A104,'Data shares'!$C:$FB,121)*100</f>
        <v>-2.33</v>
      </c>
      <c r="O104" s="50">
        <f>VLOOKUP($A104,'Data shares'!$C:$FB,124)</f>
        <v>0.44</v>
      </c>
      <c r="P104" s="50">
        <f>VLOOKUP($A104,'Data shares'!$C:$FB,125)</f>
        <v>0.44</v>
      </c>
      <c r="Q104" s="50">
        <f>VLOOKUP($A104,'Data shares'!$C:$FB,127)*100</f>
        <v>0</v>
      </c>
    </row>
    <row r="105" spans="1:17" x14ac:dyDescent="0.25">
      <c r="A105" s="97" t="str">
        <f>'Data Vlaue (Cr)'!C100</f>
        <v>INOXWIND</v>
      </c>
      <c r="B105" s="140">
        <f>VLOOKUP($A105,'Data shares'!$C:$FB,7)</f>
        <v>153.1</v>
      </c>
      <c r="C105" s="140">
        <f>VLOOKUP($A105,'Data shares'!$C:$FB,3)</f>
        <v>153.22</v>
      </c>
      <c r="D105" s="140">
        <f>VLOOKUP($A105,'Data shares'!$C:$FB,4)</f>
        <v>153.85</v>
      </c>
      <c r="E105" s="50">
        <f t="shared" si="3"/>
        <v>-0.40948976275592813</v>
      </c>
      <c r="F105" s="49">
        <f>VLOOKUP($A105,'Data shares'!$C:$FB,98)</f>
        <v>90372640</v>
      </c>
      <c r="G105" s="49">
        <f>VLOOKUP($A105,'Data shares'!$C:$FB,99)</f>
        <v>93127664</v>
      </c>
      <c r="H105" s="50">
        <f t="shared" si="4"/>
        <v>-2.9583304054528843</v>
      </c>
      <c r="I105" s="49">
        <f>VLOOKUP($A105,'Data shares'!$C:$FB,66)</f>
        <v>60839568</v>
      </c>
      <c r="J105" s="49">
        <f>VLOOKUP($A105,'Data shares'!$C:$FB,67)</f>
        <v>126217400</v>
      </c>
      <c r="K105" s="50">
        <f t="shared" si="5"/>
        <v>-107.459395503926</v>
      </c>
      <c r="L105" s="50">
        <f>VLOOKUP($A105,'Data shares'!$C:$FB,118)</f>
        <v>0.6</v>
      </c>
      <c r="M105" s="50">
        <f>VLOOKUP($A105,'Data shares'!$C:$FB,119)</f>
        <v>0.57999999999999996</v>
      </c>
      <c r="N105" s="50">
        <f>VLOOKUP($A105,'Data shares'!$C:$FB,121)*100</f>
        <v>3.45</v>
      </c>
      <c r="O105" s="50">
        <f>VLOOKUP($A105,'Data shares'!$C:$FB,124)</f>
        <v>0.33</v>
      </c>
      <c r="P105" s="50">
        <f>VLOOKUP($A105,'Data shares'!$C:$FB,125)</f>
        <v>0.43</v>
      </c>
      <c r="Q105" s="50">
        <f>VLOOKUP($A105,'Data shares'!$C:$FB,127)*100</f>
        <v>-23.26</v>
      </c>
    </row>
    <row r="106" spans="1:17" x14ac:dyDescent="0.25">
      <c r="A106" s="97" t="str">
        <f>'Data Vlaue (Cr)'!C101</f>
        <v>IOC</v>
      </c>
      <c r="B106" s="140">
        <f>VLOOKUP($A106,'Data shares'!$C:$FB,7)</f>
        <v>155.19999999999999</v>
      </c>
      <c r="C106" s="140">
        <f>VLOOKUP($A106,'Data shares'!$C:$FB,3)</f>
        <v>155.16</v>
      </c>
      <c r="D106" s="140">
        <f>VLOOKUP($A106,'Data shares'!$C:$FB,4)</f>
        <v>150.37</v>
      </c>
      <c r="E106" s="50">
        <f t="shared" si="3"/>
        <v>3.185475826295133</v>
      </c>
      <c r="F106" s="49">
        <f>VLOOKUP($A106,'Data shares'!$C:$FB,98)</f>
        <v>233951250</v>
      </c>
      <c r="G106" s="49">
        <f>VLOOKUP($A106,'Data shares'!$C:$FB,99)</f>
        <v>221724750</v>
      </c>
      <c r="H106" s="50">
        <f t="shared" si="4"/>
        <v>5.5142693812936985</v>
      </c>
      <c r="I106" s="49">
        <f>VLOOKUP($A106,'Data shares'!$C:$FB,66)</f>
        <v>315100500</v>
      </c>
      <c r="J106" s="49">
        <f>VLOOKUP($A106,'Data shares'!$C:$FB,67)</f>
        <v>187999500</v>
      </c>
      <c r="K106" s="50">
        <f t="shared" si="5"/>
        <v>40.336654495946533</v>
      </c>
      <c r="L106" s="50">
        <f>VLOOKUP($A106,'Data shares'!$C:$FB,118)</f>
        <v>0.69</v>
      </c>
      <c r="M106" s="50">
        <f>VLOOKUP($A106,'Data shares'!$C:$FB,119)</f>
        <v>0.68</v>
      </c>
      <c r="N106" s="50">
        <f>VLOOKUP($A106,'Data shares'!$C:$FB,121)*100</f>
        <v>1.47</v>
      </c>
      <c r="O106" s="50">
        <f>VLOOKUP($A106,'Data shares'!$C:$FB,124)</f>
        <v>0.38</v>
      </c>
      <c r="P106" s="50">
        <f>VLOOKUP($A106,'Data shares'!$C:$FB,125)</f>
        <v>0.52</v>
      </c>
      <c r="Q106" s="50">
        <f>VLOOKUP($A106,'Data shares'!$C:$FB,127)*100</f>
        <v>-26.919999999999998</v>
      </c>
    </row>
    <row r="107" spans="1:17" x14ac:dyDescent="0.25">
      <c r="A107" s="97" t="str">
        <f>'Data Vlaue (Cr)'!C102</f>
        <v>IRCTC</v>
      </c>
      <c r="B107" s="140">
        <f>VLOOKUP($A107,'Data shares'!$C:$FB,7)</f>
        <v>724.1</v>
      </c>
      <c r="C107" s="140">
        <f>VLOOKUP($A107,'Data shares'!$C:$FB,3)</f>
        <v>723.35</v>
      </c>
      <c r="D107" s="140">
        <f>VLOOKUP($A107,'Data shares'!$C:$FB,4)</f>
        <v>716.55</v>
      </c>
      <c r="E107" s="50">
        <f t="shared" si="3"/>
        <v>0.94899169632266678</v>
      </c>
      <c r="F107" s="49">
        <f>VLOOKUP($A107,'Data shares'!$C:$FB,98)</f>
        <v>30556750</v>
      </c>
      <c r="G107" s="49">
        <f>VLOOKUP($A107,'Data shares'!$C:$FB,99)</f>
        <v>30419375</v>
      </c>
      <c r="H107" s="50">
        <f t="shared" si="4"/>
        <v>0.45160362433481949</v>
      </c>
      <c r="I107" s="49">
        <f>VLOOKUP($A107,'Data shares'!$C:$FB,66)</f>
        <v>22083250</v>
      </c>
      <c r="J107" s="49">
        <f>VLOOKUP($A107,'Data shares'!$C:$FB,67)</f>
        <v>36448125</v>
      </c>
      <c r="K107" s="50">
        <f t="shared" si="5"/>
        <v>-65.048736032966161</v>
      </c>
      <c r="L107" s="50">
        <f>VLOOKUP($A107,'Data shares'!$C:$FB,118)</f>
        <v>0.6</v>
      </c>
      <c r="M107" s="50">
        <f>VLOOKUP($A107,'Data shares'!$C:$FB,119)</f>
        <v>0.56000000000000005</v>
      </c>
      <c r="N107" s="50">
        <f>VLOOKUP($A107,'Data shares'!$C:$FB,121)*100</f>
        <v>7.1400000000000006</v>
      </c>
      <c r="O107" s="50">
        <f>VLOOKUP($A107,'Data shares'!$C:$FB,124)</f>
        <v>0.47</v>
      </c>
      <c r="P107" s="50">
        <f>VLOOKUP($A107,'Data shares'!$C:$FB,125)</f>
        <v>0.28999999999999998</v>
      </c>
      <c r="Q107" s="50">
        <f>VLOOKUP($A107,'Data shares'!$C:$FB,127)*100</f>
        <v>62.07</v>
      </c>
    </row>
    <row r="108" spans="1:17" x14ac:dyDescent="0.25">
      <c r="A108" s="97" t="str">
        <f>'Data Vlaue (Cr)'!C103</f>
        <v>IREDA</v>
      </c>
      <c r="B108" s="140">
        <f>VLOOKUP($A108,'Data shares'!$C:$FB,7)</f>
        <v>153.37</v>
      </c>
      <c r="C108" s="140">
        <f>VLOOKUP($A108,'Data shares'!$C:$FB,3)</f>
        <v>153.79</v>
      </c>
      <c r="D108" s="140">
        <f>VLOOKUP($A108,'Data shares'!$C:$FB,4)</f>
        <v>153.86000000000001</v>
      </c>
      <c r="E108" s="50">
        <f t="shared" si="3"/>
        <v>-4.5495905368530869E-2</v>
      </c>
      <c r="F108" s="49">
        <f>VLOOKUP($A108,'Data shares'!$C:$FB,98)</f>
        <v>88030200</v>
      </c>
      <c r="G108" s="49">
        <f>VLOOKUP($A108,'Data shares'!$C:$FB,99)</f>
        <v>98666550</v>
      </c>
      <c r="H108" s="50">
        <f t="shared" si="4"/>
        <v>-10.780097206196022</v>
      </c>
      <c r="I108" s="49">
        <f>VLOOKUP($A108,'Data shares'!$C:$FB,66)</f>
        <v>85052850</v>
      </c>
      <c r="J108" s="49">
        <f>VLOOKUP($A108,'Data shares'!$C:$FB,67)</f>
        <v>84732000</v>
      </c>
      <c r="K108" s="50">
        <f t="shared" si="5"/>
        <v>0.37723603618220908</v>
      </c>
      <c r="L108" s="50">
        <f>VLOOKUP($A108,'Data shares'!$C:$FB,118)</f>
        <v>0.52</v>
      </c>
      <c r="M108" s="50">
        <f>VLOOKUP($A108,'Data shares'!$C:$FB,119)</f>
        <v>0.47</v>
      </c>
      <c r="N108" s="50">
        <f>VLOOKUP($A108,'Data shares'!$C:$FB,121)*100</f>
        <v>10.639999999999999</v>
      </c>
      <c r="O108" s="50">
        <f>VLOOKUP($A108,'Data shares'!$C:$FB,124)</f>
        <v>0.34</v>
      </c>
      <c r="P108" s="50">
        <f>VLOOKUP($A108,'Data shares'!$C:$FB,125)</f>
        <v>0.34</v>
      </c>
      <c r="Q108" s="50">
        <f>VLOOKUP($A108,'Data shares'!$C:$FB,127)*100</f>
        <v>0</v>
      </c>
    </row>
    <row r="109" spans="1:17" x14ac:dyDescent="0.25">
      <c r="A109" s="97" t="str">
        <f>'Data Vlaue (Cr)'!C104</f>
        <v>IRFC</v>
      </c>
      <c r="B109" s="140">
        <f>VLOOKUP($A109,'Data shares'!$C:$FB,7)</f>
        <v>123.45</v>
      </c>
      <c r="C109" s="140">
        <f>VLOOKUP($A109,'Data shares'!$C:$FB,3)</f>
        <v>123.66</v>
      </c>
      <c r="D109" s="140">
        <f>VLOOKUP($A109,'Data shares'!$C:$FB,4)</f>
        <v>123.62</v>
      </c>
      <c r="E109" s="50">
        <f t="shared" si="3"/>
        <v>3.2357223750195792E-2</v>
      </c>
      <c r="F109" s="49">
        <f>VLOOKUP($A109,'Data shares'!$C:$FB,98)</f>
        <v>98935750</v>
      </c>
      <c r="G109" s="49">
        <f>VLOOKUP($A109,'Data shares'!$C:$FB,99)</f>
        <v>101269000</v>
      </c>
      <c r="H109" s="50">
        <f t="shared" si="4"/>
        <v>-2.3040120866207823</v>
      </c>
      <c r="I109" s="49">
        <f>VLOOKUP($A109,'Data shares'!$C:$FB,66)</f>
        <v>56567500</v>
      </c>
      <c r="J109" s="49">
        <f>VLOOKUP($A109,'Data shares'!$C:$FB,67)</f>
        <v>58284500</v>
      </c>
      <c r="K109" s="50">
        <f t="shared" si="5"/>
        <v>-3.0353117956423743</v>
      </c>
      <c r="L109" s="50">
        <f>VLOOKUP($A109,'Data shares'!$C:$FB,118)</f>
        <v>0.47</v>
      </c>
      <c r="M109" s="50">
        <f>VLOOKUP($A109,'Data shares'!$C:$FB,119)</f>
        <v>0.46</v>
      </c>
      <c r="N109" s="50">
        <f>VLOOKUP($A109,'Data shares'!$C:$FB,121)*100</f>
        <v>2.17</v>
      </c>
      <c r="O109" s="50">
        <f>VLOOKUP($A109,'Data shares'!$C:$FB,124)</f>
        <v>0.56999999999999995</v>
      </c>
      <c r="P109" s="50">
        <f>VLOOKUP($A109,'Data shares'!$C:$FB,125)</f>
        <v>0.39</v>
      </c>
      <c r="Q109" s="50">
        <f>VLOOKUP($A109,'Data shares'!$C:$FB,127)*100</f>
        <v>46.150000000000006</v>
      </c>
    </row>
    <row r="110" spans="1:17" x14ac:dyDescent="0.25">
      <c r="A110" s="97" t="str">
        <f>'Data Vlaue (Cr)'!C105</f>
        <v>ITC</v>
      </c>
      <c r="B110" s="140">
        <f>VLOOKUP($A110,'Data shares'!$C:$FB,7)</f>
        <v>420.65</v>
      </c>
      <c r="C110" s="140">
        <f>VLOOKUP($A110,'Data shares'!$C:$FB,3)</f>
        <v>420.7</v>
      </c>
      <c r="D110" s="140">
        <f>VLOOKUP($A110,'Data shares'!$C:$FB,4)</f>
        <v>417.35</v>
      </c>
      <c r="E110" s="50">
        <f t="shared" si="3"/>
        <v>0.8026835988977995</v>
      </c>
      <c r="F110" s="49">
        <f>VLOOKUP($A110,'Data shares'!$C:$FB,98)</f>
        <v>231707200</v>
      </c>
      <c r="G110" s="49">
        <f>VLOOKUP($A110,'Data shares'!$C:$FB,99)</f>
        <v>229435200</v>
      </c>
      <c r="H110" s="50">
        <f t="shared" si="4"/>
        <v>0.99025781571441518</v>
      </c>
      <c r="I110" s="49">
        <f>VLOOKUP($A110,'Data shares'!$C:$FB,66)</f>
        <v>237641600</v>
      </c>
      <c r="J110" s="49">
        <f>VLOOKUP($A110,'Data shares'!$C:$FB,67)</f>
        <v>185897600</v>
      </c>
      <c r="K110" s="50">
        <f t="shared" si="5"/>
        <v>21.773965500989725</v>
      </c>
      <c r="L110" s="50">
        <f>VLOOKUP($A110,'Data shares'!$C:$FB,118)</f>
        <v>0.9</v>
      </c>
      <c r="M110" s="50">
        <f>VLOOKUP($A110,'Data shares'!$C:$FB,119)</f>
        <v>0.82</v>
      </c>
      <c r="N110" s="50">
        <f>VLOOKUP($A110,'Data shares'!$C:$FB,121)*100</f>
        <v>9.76</v>
      </c>
      <c r="O110" s="50">
        <f>VLOOKUP($A110,'Data shares'!$C:$FB,124)</f>
        <v>0.68</v>
      </c>
      <c r="P110" s="50">
        <f>VLOOKUP($A110,'Data shares'!$C:$FB,125)</f>
        <v>0.67</v>
      </c>
      <c r="Q110" s="50">
        <f>VLOOKUP($A110,'Data shares'!$C:$FB,127)*100</f>
        <v>1.49</v>
      </c>
    </row>
    <row r="111" spans="1:17" x14ac:dyDescent="0.25">
      <c r="A111" s="97" t="str">
        <f>'Data Vlaue (Cr)'!C106</f>
        <v>JINDALSTEL</v>
      </c>
      <c r="B111" s="140">
        <f>VLOOKUP($A111,'Data shares'!$C:$FB,7)</f>
        <v>1034.3</v>
      </c>
      <c r="C111" s="140">
        <f>VLOOKUP($A111,'Data shares'!$C:$FB,3)</f>
        <v>1033.8</v>
      </c>
      <c r="D111" s="140">
        <f>VLOOKUP($A111,'Data shares'!$C:$FB,4)</f>
        <v>1007.5</v>
      </c>
      <c r="E111" s="50">
        <f t="shared" si="3"/>
        <v>2.6104218362282836</v>
      </c>
      <c r="F111" s="49">
        <f>VLOOKUP($A111,'Data shares'!$C:$FB,98)</f>
        <v>24306875</v>
      </c>
      <c r="G111" s="49">
        <f>VLOOKUP($A111,'Data shares'!$C:$FB,99)</f>
        <v>25912500</v>
      </c>
      <c r="H111" s="50">
        <f t="shared" si="4"/>
        <v>-6.1963338157260006</v>
      </c>
      <c r="I111" s="49">
        <f>VLOOKUP($A111,'Data shares'!$C:$FB,66)</f>
        <v>28626875</v>
      </c>
      <c r="J111" s="49">
        <f>VLOOKUP($A111,'Data shares'!$C:$FB,67)</f>
        <v>26681250</v>
      </c>
      <c r="K111" s="50">
        <f t="shared" si="5"/>
        <v>6.7964980459795212</v>
      </c>
      <c r="L111" s="50">
        <f>VLOOKUP($A111,'Data shares'!$C:$FB,118)</f>
        <v>0.6</v>
      </c>
      <c r="M111" s="50">
        <f>VLOOKUP($A111,'Data shares'!$C:$FB,119)</f>
        <v>0.49</v>
      </c>
      <c r="N111" s="50">
        <f>VLOOKUP($A111,'Data shares'!$C:$FB,121)*100</f>
        <v>22.45</v>
      </c>
      <c r="O111" s="50">
        <f>VLOOKUP($A111,'Data shares'!$C:$FB,124)</f>
        <v>0.47</v>
      </c>
      <c r="P111" s="50">
        <f>VLOOKUP($A111,'Data shares'!$C:$FB,125)</f>
        <v>0.35</v>
      </c>
      <c r="Q111" s="50">
        <f>VLOOKUP($A111,'Data shares'!$C:$FB,127)*100</f>
        <v>34.29</v>
      </c>
    </row>
    <row r="112" spans="1:17" x14ac:dyDescent="0.25">
      <c r="A112" s="97" t="str">
        <f>'Data Vlaue (Cr)'!C107</f>
        <v>JIOFIN</v>
      </c>
      <c r="B112" s="140">
        <f>VLOOKUP($A112,'Data shares'!$C:$FB,7)</f>
        <v>305.55</v>
      </c>
      <c r="C112" s="140">
        <f>VLOOKUP($A112,'Data shares'!$C:$FB,3)</f>
        <v>305.85000000000002</v>
      </c>
      <c r="D112" s="140">
        <f>VLOOKUP($A112,'Data shares'!$C:$FB,4)</f>
        <v>305.75</v>
      </c>
      <c r="E112" s="50">
        <f t="shared" si="3"/>
        <v>3.2706459525763773E-2</v>
      </c>
      <c r="F112" s="49">
        <f>VLOOKUP($A112,'Data shares'!$C:$FB,98)</f>
        <v>273995900</v>
      </c>
      <c r="G112" s="49">
        <f>VLOOKUP($A112,'Data shares'!$C:$FB,99)</f>
        <v>270383950</v>
      </c>
      <c r="H112" s="50">
        <f t="shared" si="4"/>
        <v>1.3358596174070243</v>
      </c>
      <c r="I112" s="49">
        <f>VLOOKUP($A112,'Data shares'!$C:$FB,66)</f>
        <v>164986450</v>
      </c>
      <c r="J112" s="49">
        <f>VLOOKUP($A112,'Data shares'!$C:$FB,67)</f>
        <v>180129850</v>
      </c>
      <c r="K112" s="50">
        <f t="shared" si="5"/>
        <v>-9.1785719372712133</v>
      </c>
      <c r="L112" s="50">
        <f>VLOOKUP($A112,'Data shares'!$C:$FB,118)</f>
        <v>0.55000000000000004</v>
      </c>
      <c r="M112" s="50">
        <f>VLOOKUP($A112,'Data shares'!$C:$FB,119)</f>
        <v>0.54</v>
      </c>
      <c r="N112" s="50">
        <f>VLOOKUP($A112,'Data shares'!$C:$FB,121)*100</f>
        <v>1.8499999999999999</v>
      </c>
      <c r="O112" s="50">
        <f>VLOOKUP($A112,'Data shares'!$C:$FB,124)</f>
        <v>0.52</v>
      </c>
      <c r="P112" s="50">
        <f>VLOOKUP($A112,'Data shares'!$C:$FB,125)</f>
        <v>0.42</v>
      </c>
      <c r="Q112" s="50">
        <f>VLOOKUP($A112,'Data shares'!$C:$FB,127)*100</f>
        <v>23.810000000000002</v>
      </c>
    </row>
    <row r="113" spans="1:17" x14ac:dyDescent="0.25">
      <c r="A113" s="97" t="str">
        <f>'Data Vlaue (Cr)'!C108</f>
        <v>JSWENERGY</v>
      </c>
      <c r="B113" s="140">
        <f>VLOOKUP($A113,'Data shares'!$C:$FB,7)</f>
        <v>529.35</v>
      </c>
      <c r="C113" s="140">
        <f>VLOOKUP($A113,'Data shares'!$C:$FB,3)</f>
        <v>529.75</v>
      </c>
      <c r="D113" s="140">
        <f>VLOOKUP($A113,'Data shares'!$C:$FB,4)</f>
        <v>530.65</v>
      </c>
      <c r="E113" s="50">
        <f t="shared" si="3"/>
        <v>-0.16960331668707762</v>
      </c>
      <c r="F113" s="49">
        <f>VLOOKUP($A113,'Data shares'!$C:$FB,98)</f>
        <v>57795000</v>
      </c>
      <c r="G113" s="49">
        <f>VLOOKUP($A113,'Data shares'!$C:$FB,99)</f>
        <v>56077000</v>
      </c>
      <c r="H113" s="50">
        <f t="shared" si="4"/>
        <v>3.0636446314888457</v>
      </c>
      <c r="I113" s="49">
        <f>VLOOKUP($A113,'Data shares'!$C:$FB,66)</f>
        <v>45325000</v>
      </c>
      <c r="J113" s="49">
        <f>VLOOKUP($A113,'Data shares'!$C:$FB,67)</f>
        <v>61007000</v>
      </c>
      <c r="K113" s="50">
        <f t="shared" si="5"/>
        <v>-34.59900717043574</v>
      </c>
      <c r="L113" s="50">
        <f>VLOOKUP($A113,'Data shares'!$C:$FB,118)</f>
        <v>0.37</v>
      </c>
      <c r="M113" s="50">
        <f>VLOOKUP($A113,'Data shares'!$C:$FB,119)</f>
        <v>0.34</v>
      </c>
      <c r="N113" s="50">
        <f>VLOOKUP($A113,'Data shares'!$C:$FB,121)*100</f>
        <v>8.82</v>
      </c>
      <c r="O113" s="50">
        <f>VLOOKUP($A113,'Data shares'!$C:$FB,124)</f>
        <v>0.41</v>
      </c>
      <c r="P113" s="50">
        <f>VLOOKUP($A113,'Data shares'!$C:$FB,125)</f>
        <v>0.31</v>
      </c>
      <c r="Q113" s="50">
        <f>VLOOKUP($A113,'Data shares'!$C:$FB,127)*100</f>
        <v>32.26</v>
      </c>
    </row>
    <row r="114" spans="1:17" x14ac:dyDescent="0.25">
      <c r="A114" s="97" t="str">
        <f>'Data Vlaue (Cr)'!C109</f>
        <v>JSWSTEEL</v>
      </c>
      <c r="B114" s="140">
        <f>VLOOKUP($A114,'Data shares'!$C:$FB,7)</f>
        <v>1150.5999999999999</v>
      </c>
      <c r="C114" s="140">
        <f>VLOOKUP($A114,'Data shares'!$C:$FB,3)</f>
        <v>1149.2</v>
      </c>
      <c r="D114" s="140">
        <f>VLOOKUP($A114,'Data shares'!$C:$FB,4)</f>
        <v>1142.4000000000001</v>
      </c>
      <c r="E114" s="50">
        <f t="shared" si="3"/>
        <v>0.59523809523809124</v>
      </c>
      <c r="F114" s="49">
        <f>VLOOKUP($A114,'Data shares'!$C:$FB,98)</f>
        <v>62569125</v>
      </c>
      <c r="G114" s="49">
        <f>VLOOKUP($A114,'Data shares'!$C:$FB,99)</f>
        <v>62344350</v>
      </c>
      <c r="H114" s="50">
        <f t="shared" si="4"/>
        <v>0.3605378835451809</v>
      </c>
      <c r="I114" s="49">
        <f>VLOOKUP($A114,'Data shares'!$C:$FB,66)</f>
        <v>38535075</v>
      </c>
      <c r="J114" s="49">
        <f>VLOOKUP($A114,'Data shares'!$C:$FB,67)</f>
        <v>47673900</v>
      </c>
      <c r="K114" s="50">
        <f t="shared" si="5"/>
        <v>-23.715601954842437</v>
      </c>
      <c r="L114" s="50">
        <f>VLOOKUP($A114,'Data shares'!$C:$FB,118)</f>
        <v>0.59</v>
      </c>
      <c r="M114" s="50">
        <f>VLOOKUP($A114,'Data shares'!$C:$FB,119)</f>
        <v>0.56000000000000005</v>
      </c>
      <c r="N114" s="50">
        <f>VLOOKUP($A114,'Data shares'!$C:$FB,121)*100</f>
        <v>5.36</v>
      </c>
      <c r="O114" s="50">
        <f>VLOOKUP($A114,'Data shares'!$C:$FB,124)</f>
        <v>0.52</v>
      </c>
      <c r="P114" s="50">
        <f>VLOOKUP($A114,'Data shares'!$C:$FB,125)</f>
        <v>0.51</v>
      </c>
      <c r="Q114" s="50">
        <f>VLOOKUP($A114,'Data shares'!$C:$FB,127)*100</f>
        <v>1.96</v>
      </c>
    </row>
    <row r="115" spans="1:17" x14ac:dyDescent="0.25">
      <c r="A115" s="97" t="str">
        <f>'Data Vlaue (Cr)'!C110</f>
        <v>JUBLFOOD</v>
      </c>
      <c r="B115" s="140">
        <f>VLOOKUP($A115,'Data shares'!$C:$FB,7)</f>
        <v>595.70000000000005</v>
      </c>
      <c r="C115" s="140">
        <f>VLOOKUP($A115,'Data shares'!$C:$FB,3)</f>
        <v>595.4</v>
      </c>
      <c r="D115" s="140">
        <f>VLOOKUP($A115,'Data shares'!$C:$FB,4)</f>
        <v>590.29999999999995</v>
      </c>
      <c r="E115" s="50">
        <f t="shared" si="3"/>
        <v>0.86396747416568243</v>
      </c>
      <c r="F115" s="49">
        <f>VLOOKUP($A115,'Data shares'!$C:$FB,98)</f>
        <v>35867500</v>
      </c>
      <c r="G115" s="49">
        <f>VLOOKUP($A115,'Data shares'!$C:$FB,99)</f>
        <v>38460000</v>
      </c>
      <c r="H115" s="50">
        <f t="shared" si="4"/>
        <v>-6.7407696307852314</v>
      </c>
      <c r="I115" s="49">
        <f>VLOOKUP($A115,'Data shares'!$C:$FB,66)</f>
        <v>29695000</v>
      </c>
      <c r="J115" s="49">
        <f>VLOOKUP($A115,'Data shares'!$C:$FB,67)</f>
        <v>29577500</v>
      </c>
      <c r="K115" s="50">
        <f t="shared" si="5"/>
        <v>0.3956895100185216</v>
      </c>
      <c r="L115" s="50">
        <f>VLOOKUP($A115,'Data shares'!$C:$FB,118)</f>
        <v>0.59</v>
      </c>
      <c r="M115" s="50">
        <f>VLOOKUP($A115,'Data shares'!$C:$FB,119)</f>
        <v>0.53</v>
      </c>
      <c r="N115" s="50">
        <f>VLOOKUP($A115,'Data shares'!$C:$FB,121)*100</f>
        <v>11.32</v>
      </c>
      <c r="O115" s="50">
        <f>VLOOKUP($A115,'Data shares'!$C:$FB,124)</f>
        <v>0.44</v>
      </c>
      <c r="P115" s="50">
        <f>VLOOKUP($A115,'Data shares'!$C:$FB,125)</f>
        <v>0.5</v>
      </c>
      <c r="Q115" s="50">
        <f>VLOOKUP($A115,'Data shares'!$C:$FB,127)*100</f>
        <v>-12</v>
      </c>
    </row>
    <row r="116" spans="1:17" x14ac:dyDescent="0.25">
      <c r="A116" s="97" t="str">
        <f>'Data Vlaue (Cr)'!C111</f>
        <v>KALYANKJIL</v>
      </c>
      <c r="B116" s="140">
        <f>VLOOKUP($A116,'Data shares'!$C:$FB,7)</f>
        <v>505.85</v>
      </c>
      <c r="C116" s="140">
        <f>VLOOKUP($A116,'Data shares'!$C:$FB,3)</f>
        <v>506.7</v>
      </c>
      <c r="D116" s="140">
        <f>VLOOKUP($A116,'Data shares'!$C:$FB,4)</f>
        <v>494.8</v>
      </c>
      <c r="E116" s="50">
        <f t="shared" si="3"/>
        <v>2.4050121261115556</v>
      </c>
      <c r="F116" s="49">
        <f>VLOOKUP($A116,'Data shares'!$C:$FB,98)</f>
        <v>47905925</v>
      </c>
      <c r="G116" s="49">
        <f>VLOOKUP($A116,'Data shares'!$C:$FB,99)</f>
        <v>50791725</v>
      </c>
      <c r="H116" s="50">
        <f t="shared" si="4"/>
        <v>-5.6816341638327899</v>
      </c>
      <c r="I116" s="49">
        <f>VLOOKUP($A116,'Data shares'!$C:$FB,66)</f>
        <v>54572875</v>
      </c>
      <c r="J116" s="49">
        <f>VLOOKUP($A116,'Data shares'!$C:$FB,67)</f>
        <v>38851375</v>
      </c>
      <c r="K116" s="50">
        <f t="shared" si="5"/>
        <v>28.808267843686082</v>
      </c>
      <c r="L116" s="50">
        <f>VLOOKUP($A116,'Data shares'!$C:$FB,118)</f>
        <v>0.75</v>
      </c>
      <c r="M116" s="50">
        <f>VLOOKUP($A116,'Data shares'!$C:$FB,119)</f>
        <v>0.61</v>
      </c>
      <c r="N116" s="50">
        <f>VLOOKUP($A116,'Data shares'!$C:$FB,121)*100</f>
        <v>22.95</v>
      </c>
      <c r="O116" s="50">
        <f>VLOOKUP($A116,'Data shares'!$C:$FB,124)</f>
        <v>0.43</v>
      </c>
      <c r="P116" s="50">
        <f>VLOOKUP($A116,'Data shares'!$C:$FB,125)</f>
        <v>0.38</v>
      </c>
      <c r="Q116" s="50">
        <f>VLOOKUP($A116,'Data shares'!$C:$FB,127)*100</f>
        <v>13.16</v>
      </c>
    </row>
    <row r="117" spans="1:17" x14ac:dyDescent="0.25">
      <c r="A117" s="97" t="str">
        <f>'Data Vlaue (Cr)'!C112</f>
        <v>KAYNES</v>
      </c>
      <c r="B117" s="140">
        <f>VLOOKUP($A117,'Data shares'!$C:$FB,7)</f>
        <v>6737.5</v>
      </c>
      <c r="C117" s="140">
        <f>VLOOKUP($A117,'Data shares'!$C:$FB,3)</f>
        <v>6733.5</v>
      </c>
      <c r="D117" s="140">
        <f>VLOOKUP($A117,'Data shares'!$C:$FB,4)</f>
        <v>6690</v>
      </c>
      <c r="E117" s="50">
        <f t="shared" si="3"/>
        <v>0.65022421524663676</v>
      </c>
      <c r="F117" s="49">
        <f>VLOOKUP($A117,'Data shares'!$C:$FB,98)</f>
        <v>3647900</v>
      </c>
      <c r="G117" s="49">
        <f>VLOOKUP($A117,'Data shares'!$C:$FB,99)</f>
        <v>4099400</v>
      </c>
      <c r="H117" s="50">
        <f t="shared" si="4"/>
        <v>-11.013806898570524</v>
      </c>
      <c r="I117" s="49">
        <f>VLOOKUP($A117,'Data shares'!$C:$FB,66)</f>
        <v>4020500</v>
      </c>
      <c r="J117" s="49">
        <f>VLOOKUP($A117,'Data shares'!$C:$FB,67)</f>
        <v>5673300</v>
      </c>
      <c r="K117" s="50">
        <f t="shared" si="5"/>
        <v>-41.109314761845539</v>
      </c>
      <c r="L117" s="50">
        <f>VLOOKUP($A117,'Data shares'!$C:$FB,118)</f>
        <v>0.41</v>
      </c>
      <c r="M117" s="50">
        <f>VLOOKUP($A117,'Data shares'!$C:$FB,119)</f>
        <v>0.41</v>
      </c>
      <c r="N117" s="50">
        <f>VLOOKUP($A117,'Data shares'!$C:$FB,121)*100</f>
        <v>0</v>
      </c>
      <c r="O117" s="50">
        <f>VLOOKUP($A117,'Data shares'!$C:$FB,124)</f>
        <v>0.34</v>
      </c>
      <c r="P117" s="50">
        <f>VLOOKUP($A117,'Data shares'!$C:$FB,125)</f>
        <v>0.36</v>
      </c>
      <c r="Q117" s="50">
        <f>VLOOKUP($A117,'Data shares'!$C:$FB,127)*100</f>
        <v>-5.56</v>
      </c>
    </row>
    <row r="118" spans="1:17" x14ac:dyDescent="0.25">
      <c r="A118" s="97" t="str">
        <f>'Data Vlaue (Cr)'!C113</f>
        <v>KEI</v>
      </c>
      <c r="B118" s="140">
        <f>VLOOKUP($A118,'Data shares'!$C:$FB,7)</f>
        <v>4084.8</v>
      </c>
      <c r="C118" s="140">
        <f>VLOOKUP($A118,'Data shares'!$C:$FB,3)</f>
        <v>4095.7</v>
      </c>
      <c r="D118" s="140">
        <f>VLOOKUP($A118,'Data shares'!$C:$FB,4)</f>
        <v>4138.8999999999996</v>
      </c>
      <c r="E118" s="50">
        <f t="shared" si="3"/>
        <v>-1.0437555872333186</v>
      </c>
      <c r="F118" s="49">
        <f>VLOOKUP($A118,'Data shares'!$C:$FB,98)</f>
        <v>3070550</v>
      </c>
      <c r="G118" s="49">
        <f>VLOOKUP($A118,'Data shares'!$C:$FB,99)</f>
        <v>3556875</v>
      </c>
      <c r="H118" s="50">
        <f t="shared" si="4"/>
        <v>-13.67281672816728</v>
      </c>
      <c r="I118" s="49">
        <f>VLOOKUP($A118,'Data shares'!$C:$FB,66)</f>
        <v>3881850</v>
      </c>
      <c r="J118" s="49">
        <f>VLOOKUP($A118,'Data shares'!$C:$FB,67)</f>
        <v>4506425</v>
      </c>
      <c r="K118" s="50">
        <f t="shared" si="5"/>
        <v>-16.089622216211342</v>
      </c>
      <c r="L118" s="50">
        <f>VLOOKUP($A118,'Data shares'!$C:$FB,118)</f>
        <v>0.37</v>
      </c>
      <c r="M118" s="50">
        <f>VLOOKUP($A118,'Data shares'!$C:$FB,119)</f>
        <v>0.39</v>
      </c>
      <c r="N118" s="50">
        <f>VLOOKUP($A118,'Data shares'!$C:$FB,121)*100</f>
        <v>-5.13</v>
      </c>
      <c r="O118" s="50">
        <f>VLOOKUP($A118,'Data shares'!$C:$FB,124)</f>
        <v>0.26</v>
      </c>
      <c r="P118" s="50">
        <f>VLOOKUP($A118,'Data shares'!$C:$FB,125)</f>
        <v>0.48</v>
      </c>
      <c r="Q118" s="50">
        <f>VLOOKUP($A118,'Data shares'!$C:$FB,127)*100</f>
        <v>-45.83</v>
      </c>
    </row>
    <row r="119" spans="1:17" x14ac:dyDescent="0.25">
      <c r="A119" s="97" t="str">
        <f>'Data Vlaue (Cr)'!C114</f>
        <v>KFINTECH</v>
      </c>
      <c r="B119" s="140">
        <f>VLOOKUP($A119,'Data shares'!$C:$FB,7)</f>
        <v>1168.9000000000001</v>
      </c>
      <c r="C119" s="140">
        <f>VLOOKUP($A119,'Data shares'!$C:$FB,3)</f>
        <v>1167.4000000000001</v>
      </c>
      <c r="D119" s="140">
        <f>VLOOKUP($A119,'Data shares'!$C:$FB,4)</f>
        <v>1151.3</v>
      </c>
      <c r="E119" s="50">
        <f t="shared" si="3"/>
        <v>1.3984191783201716</v>
      </c>
      <c r="F119" s="49">
        <f>VLOOKUP($A119,'Data shares'!$C:$FB,98)</f>
        <v>7952400</v>
      </c>
      <c r="G119" s="49">
        <f>VLOOKUP($A119,'Data shares'!$C:$FB,99)</f>
        <v>7149600</v>
      </c>
      <c r="H119" s="50">
        <f t="shared" si="4"/>
        <v>11.228600201409868</v>
      </c>
      <c r="I119" s="49">
        <f>VLOOKUP($A119,'Data shares'!$C:$FB,66)</f>
        <v>18743400</v>
      </c>
      <c r="J119" s="49">
        <f>VLOOKUP($A119,'Data shares'!$C:$FB,67)</f>
        <v>8805600</v>
      </c>
      <c r="K119" s="50">
        <f t="shared" si="5"/>
        <v>53.020263132622681</v>
      </c>
      <c r="L119" s="50">
        <f>VLOOKUP($A119,'Data shares'!$C:$FB,118)</f>
        <v>0.63</v>
      </c>
      <c r="M119" s="50">
        <f>VLOOKUP($A119,'Data shares'!$C:$FB,119)</f>
        <v>0.72</v>
      </c>
      <c r="N119" s="50">
        <f>VLOOKUP($A119,'Data shares'!$C:$FB,121)*100</f>
        <v>-12.5</v>
      </c>
      <c r="O119" s="50">
        <f>VLOOKUP($A119,'Data shares'!$C:$FB,124)</f>
        <v>0.37</v>
      </c>
      <c r="P119" s="50">
        <f>VLOOKUP($A119,'Data shares'!$C:$FB,125)</f>
        <v>0.38</v>
      </c>
      <c r="Q119" s="50">
        <f>VLOOKUP($A119,'Data shares'!$C:$FB,127)*100</f>
        <v>-2.63</v>
      </c>
    </row>
    <row r="120" spans="1:17" x14ac:dyDescent="0.25">
      <c r="A120" s="97" t="str">
        <f>'Data Vlaue (Cr)'!C115</f>
        <v>KOTAKBANK</v>
      </c>
      <c r="B120" s="140">
        <f>VLOOKUP($A120,'Data shares'!$C:$FB,7)</f>
        <v>2148.6</v>
      </c>
      <c r="C120" s="140">
        <f>VLOOKUP($A120,'Data shares'!$C:$FB,3)</f>
        <v>2151.1</v>
      </c>
      <c r="D120" s="140">
        <f>VLOOKUP($A120,'Data shares'!$C:$FB,4)</f>
        <v>2189.1</v>
      </c>
      <c r="E120" s="50">
        <f t="shared" si="3"/>
        <v>-1.735873189895391</v>
      </c>
      <c r="F120" s="49">
        <f>VLOOKUP($A120,'Data shares'!$C:$FB,98)</f>
        <v>52754800</v>
      </c>
      <c r="G120" s="49">
        <f>VLOOKUP($A120,'Data shares'!$C:$FB,99)</f>
        <v>53194000</v>
      </c>
      <c r="H120" s="50">
        <f t="shared" si="4"/>
        <v>-0.82565702898823168</v>
      </c>
      <c r="I120" s="49">
        <f>VLOOKUP($A120,'Data shares'!$C:$FB,66)</f>
        <v>111008000</v>
      </c>
      <c r="J120" s="49">
        <f>VLOOKUP($A120,'Data shares'!$C:$FB,67)</f>
        <v>88624800</v>
      </c>
      <c r="K120" s="50">
        <f t="shared" si="5"/>
        <v>20.163591813202654</v>
      </c>
      <c r="L120" s="50">
        <f>VLOOKUP($A120,'Data shares'!$C:$FB,118)</f>
        <v>0.83</v>
      </c>
      <c r="M120" s="50">
        <f>VLOOKUP($A120,'Data shares'!$C:$FB,119)</f>
        <v>1.04</v>
      </c>
      <c r="N120" s="50">
        <f>VLOOKUP($A120,'Data shares'!$C:$FB,121)*100</f>
        <v>-20.190000000000001</v>
      </c>
      <c r="O120" s="50">
        <f>VLOOKUP($A120,'Data shares'!$C:$FB,124)</f>
        <v>0.7</v>
      </c>
      <c r="P120" s="50">
        <f>VLOOKUP($A120,'Data shares'!$C:$FB,125)</f>
        <v>0.74</v>
      </c>
      <c r="Q120" s="50">
        <f>VLOOKUP($A120,'Data shares'!$C:$FB,127)*100</f>
        <v>-5.41</v>
      </c>
    </row>
    <row r="121" spans="1:17" x14ac:dyDescent="0.25">
      <c r="A121" s="97" t="str">
        <f>'Data Vlaue (Cr)'!C116</f>
        <v>KPITTECH</v>
      </c>
      <c r="B121" s="140">
        <f>VLOOKUP($A121,'Data shares'!$C:$FB,7)</f>
        <v>1207</v>
      </c>
      <c r="C121" s="140">
        <f>VLOOKUP($A121,'Data shares'!$C:$FB,3)</f>
        <v>1209.5999999999999</v>
      </c>
      <c r="D121" s="140">
        <f>VLOOKUP($A121,'Data shares'!$C:$FB,4)</f>
        <v>1177.9000000000001</v>
      </c>
      <c r="E121" s="50">
        <f t="shared" si="3"/>
        <v>2.6912301553612203</v>
      </c>
      <c r="F121" s="49">
        <f>VLOOKUP($A121,'Data shares'!$C:$FB,98)</f>
        <v>7615200</v>
      </c>
      <c r="G121" s="49">
        <f>VLOOKUP($A121,'Data shares'!$C:$FB,99)</f>
        <v>8513200</v>
      </c>
      <c r="H121" s="50">
        <f t="shared" si="4"/>
        <v>-10.548324954188789</v>
      </c>
      <c r="I121" s="49">
        <f>VLOOKUP($A121,'Data shares'!$C:$FB,66)</f>
        <v>15799200</v>
      </c>
      <c r="J121" s="49">
        <f>VLOOKUP($A121,'Data shares'!$C:$FB,67)</f>
        <v>11565200</v>
      </c>
      <c r="K121" s="50">
        <f t="shared" si="5"/>
        <v>26.798825256975036</v>
      </c>
      <c r="L121" s="50">
        <f>VLOOKUP($A121,'Data shares'!$C:$FB,118)</f>
        <v>0.78</v>
      </c>
      <c r="M121" s="50">
        <f>VLOOKUP($A121,'Data shares'!$C:$FB,119)</f>
        <v>0.53</v>
      </c>
      <c r="N121" s="50">
        <f>VLOOKUP($A121,'Data shares'!$C:$FB,121)*100</f>
        <v>47.17</v>
      </c>
      <c r="O121" s="50">
        <f>VLOOKUP($A121,'Data shares'!$C:$FB,124)</f>
        <v>0.35</v>
      </c>
      <c r="P121" s="50">
        <f>VLOOKUP($A121,'Data shares'!$C:$FB,125)</f>
        <v>0.46</v>
      </c>
      <c r="Q121" s="50">
        <f>VLOOKUP($A121,'Data shares'!$C:$FB,127)*100</f>
        <v>-23.91</v>
      </c>
    </row>
    <row r="122" spans="1:17" x14ac:dyDescent="0.25">
      <c r="A122" s="97" t="str">
        <f>'Data Vlaue (Cr)'!C117</f>
        <v>LAURUSLABS</v>
      </c>
      <c r="B122" s="140">
        <f>VLOOKUP($A122,'Data shares'!$C:$FB,7)</f>
        <v>940.15</v>
      </c>
      <c r="C122" s="140">
        <f>VLOOKUP($A122,'Data shares'!$C:$FB,3)</f>
        <v>939.5</v>
      </c>
      <c r="D122" s="140">
        <f>VLOOKUP($A122,'Data shares'!$C:$FB,4)</f>
        <v>926.05</v>
      </c>
      <c r="E122" s="50">
        <f t="shared" si="3"/>
        <v>1.4524053776793959</v>
      </c>
      <c r="F122" s="49">
        <f>VLOOKUP($A122,'Data shares'!$C:$FB,98)</f>
        <v>55833100</v>
      </c>
      <c r="G122" s="49">
        <f>VLOOKUP($A122,'Data shares'!$C:$FB,99)</f>
        <v>61449900</v>
      </c>
      <c r="H122" s="50">
        <f t="shared" si="4"/>
        <v>-9.1404542562314983</v>
      </c>
      <c r="I122" s="49">
        <f>VLOOKUP($A122,'Data shares'!$C:$FB,66)</f>
        <v>158851400</v>
      </c>
      <c r="J122" s="49">
        <f>VLOOKUP($A122,'Data shares'!$C:$FB,67)</f>
        <v>311270000</v>
      </c>
      <c r="K122" s="50">
        <f t="shared" si="5"/>
        <v>-95.950429143211835</v>
      </c>
      <c r="L122" s="50">
        <f>VLOOKUP($A122,'Data shares'!$C:$FB,118)</f>
        <v>0.71</v>
      </c>
      <c r="M122" s="50">
        <f>VLOOKUP($A122,'Data shares'!$C:$FB,119)</f>
        <v>0.62</v>
      </c>
      <c r="N122" s="50">
        <f>VLOOKUP($A122,'Data shares'!$C:$FB,121)*100</f>
        <v>14.52</v>
      </c>
      <c r="O122" s="50">
        <f>VLOOKUP($A122,'Data shares'!$C:$FB,124)</f>
        <v>0.39</v>
      </c>
      <c r="P122" s="50">
        <f>VLOOKUP($A122,'Data shares'!$C:$FB,125)</f>
        <v>0.46</v>
      </c>
      <c r="Q122" s="50">
        <f>VLOOKUP($A122,'Data shares'!$C:$FB,127)*100</f>
        <v>-15.22</v>
      </c>
    </row>
    <row r="123" spans="1:17" x14ac:dyDescent="0.25">
      <c r="A123" s="97" t="str">
        <f>'Data Vlaue (Cr)'!C118</f>
        <v>LICHSGFIN</v>
      </c>
      <c r="B123" s="140">
        <f>VLOOKUP($A123,'Data shares'!$C:$FB,7)</f>
        <v>584.35</v>
      </c>
      <c r="C123" s="140">
        <f>VLOOKUP($A123,'Data shares'!$C:$FB,3)</f>
        <v>585.1</v>
      </c>
      <c r="D123" s="140">
        <f>VLOOKUP($A123,'Data shares'!$C:$FB,4)</f>
        <v>579.70000000000005</v>
      </c>
      <c r="E123" s="50">
        <f t="shared" si="3"/>
        <v>0.93151630153527287</v>
      </c>
      <c r="F123" s="49">
        <f>VLOOKUP($A123,'Data shares'!$C:$FB,98)</f>
        <v>47886000</v>
      </c>
      <c r="G123" s="49">
        <f>VLOOKUP($A123,'Data shares'!$C:$FB,99)</f>
        <v>47778000</v>
      </c>
      <c r="H123" s="50">
        <f t="shared" si="4"/>
        <v>0.22604546025367325</v>
      </c>
      <c r="I123" s="49">
        <f>VLOOKUP($A123,'Data shares'!$C:$FB,66)</f>
        <v>44575000</v>
      </c>
      <c r="J123" s="49">
        <f>VLOOKUP($A123,'Data shares'!$C:$FB,67)</f>
        <v>31470000</v>
      </c>
      <c r="K123" s="50">
        <f t="shared" si="5"/>
        <v>29.399887829500841</v>
      </c>
      <c r="L123" s="50">
        <f>VLOOKUP($A123,'Data shares'!$C:$FB,118)</f>
        <v>0.8</v>
      </c>
      <c r="M123" s="50">
        <f>VLOOKUP($A123,'Data shares'!$C:$FB,119)</f>
        <v>0.71</v>
      </c>
      <c r="N123" s="50">
        <f>VLOOKUP($A123,'Data shares'!$C:$FB,121)*100</f>
        <v>12.68</v>
      </c>
      <c r="O123" s="50">
        <f>VLOOKUP($A123,'Data shares'!$C:$FB,124)</f>
        <v>0.56000000000000005</v>
      </c>
      <c r="P123" s="50">
        <f>VLOOKUP($A123,'Data shares'!$C:$FB,125)</f>
        <v>0.39</v>
      </c>
      <c r="Q123" s="50">
        <f>VLOOKUP($A123,'Data shares'!$C:$FB,127)*100</f>
        <v>43.59</v>
      </c>
    </row>
    <row r="124" spans="1:17" x14ac:dyDescent="0.25">
      <c r="A124" s="97" t="str">
        <f>'Data Vlaue (Cr)'!C119</f>
        <v>LICI</v>
      </c>
      <c r="B124" s="140">
        <f>VLOOKUP($A124,'Data shares'!$C:$FB,7)</f>
        <v>897.65</v>
      </c>
      <c r="C124" s="140">
        <f>VLOOKUP($A124,'Data shares'!$C:$FB,3)</f>
        <v>898.75</v>
      </c>
      <c r="D124" s="140">
        <f>VLOOKUP($A124,'Data shares'!$C:$FB,4)</f>
        <v>890.6</v>
      </c>
      <c r="E124" s="50">
        <f t="shared" si="3"/>
        <v>0.91511340669211505</v>
      </c>
      <c r="F124" s="49">
        <f>VLOOKUP($A124,'Data shares'!$C:$FB,98)</f>
        <v>14509600</v>
      </c>
      <c r="G124" s="49">
        <f>VLOOKUP($A124,'Data shares'!$C:$FB,99)</f>
        <v>15412600</v>
      </c>
      <c r="H124" s="50">
        <f t="shared" si="4"/>
        <v>-5.8588427650104462</v>
      </c>
      <c r="I124" s="49">
        <f>VLOOKUP($A124,'Data shares'!$C:$FB,66)</f>
        <v>14116900</v>
      </c>
      <c r="J124" s="49">
        <f>VLOOKUP($A124,'Data shares'!$C:$FB,67)</f>
        <v>13690600</v>
      </c>
      <c r="K124" s="50">
        <f t="shared" si="5"/>
        <v>3.0197847969455052</v>
      </c>
      <c r="L124" s="50">
        <f>VLOOKUP($A124,'Data shares'!$C:$FB,118)</f>
        <v>0.54</v>
      </c>
      <c r="M124" s="50">
        <f>VLOOKUP($A124,'Data shares'!$C:$FB,119)</f>
        <v>0.5</v>
      </c>
      <c r="N124" s="50">
        <f>VLOOKUP($A124,'Data shares'!$C:$FB,121)*100</f>
        <v>8</v>
      </c>
      <c r="O124" s="50">
        <f>VLOOKUP($A124,'Data shares'!$C:$FB,124)</f>
        <v>0.79</v>
      </c>
      <c r="P124" s="50">
        <f>VLOOKUP($A124,'Data shares'!$C:$FB,125)</f>
        <v>0.54</v>
      </c>
      <c r="Q124" s="50">
        <f>VLOOKUP($A124,'Data shares'!$C:$FB,127)*100</f>
        <v>46.300000000000004</v>
      </c>
    </row>
    <row r="125" spans="1:17" x14ac:dyDescent="0.25">
      <c r="A125" s="97" t="str">
        <f>'Data Vlaue (Cr)'!C120</f>
        <v>LODHA</v>
      </c>
      <c r="B125" s="140">
        <f>VLOOKUP($A125,'Data shares'!$C:$FB,7)</f>
        <v>1177</v>
      </c>
      <c r="C125" s="140">
        <f>VLOOKUP($A125,'Data shares'!$C:$FB,3)</f>
        <v>1176.5999999999999</v>
      </c>
      <c r="D125" s="140">
        <f>VLOOKUP($A125,'Data shares'!$C:$FB,4)</f>
        <v>1171.4000000000001</v>
      </c>
      <c r="E125" s="50">
        <f t="shared" si="3"/>
        <v>0.44391326617720828</v>
      </c>
      <c r="F125" s="49">
        <f>VLOOKUP($A125,'Data shares'!$C:$FB,98)</f>
        <v>16667550</v>
      </c>
      <c r="G125" s="49">
        <f>VLOOKUP($A125,'Data shares'!$C:$FB,99)</f>
        <v>16699950</v>
      </c>
      <c r="H125" s="50">
        <f t="shared" si="4"/>
        <v>-0.19401255692382313</v>
      </c>
      <c r="I125" s="49">
        <f>VLOOKUP($A125,'Data shares'!$C:$FB,66)</f>
        <v>17414550</v>
      </c>
      <c r="J125" s="49">
        <f>VLOOKUP($A125,'Data shares'!$C:$FB,67)</f>
        <v>13793850</v>
      </c>
      <c r="K125" s="50">
        <f t="shared" si="5"/>
        <v>20.791234915630895</v>
      </c>
      <c r="L125" s="50">
        <f>VLOOKUP($A125,'Data shares'!$C:$FB,118)</f>
        <v>0.57999999999999996</v>
      </c>
      <c r="M125" s="50">
        <f>VLOOKUP($A125,'Data shares'!$C:$FB,119)</f>
        <v>0.55000000000000004</v>
      </c>
      <c r="N125" s="50">
        <f>VLOOKUP($A125,'Data shares'!$C:$FB,121)*100</f>
        <v>5.45</v>
      </c>
      <c r="O125" s="50">
        <f>VLOOKUP($A125,'Data shares'!$C:$FB,124)</f>
        <v>0.76</v>
      </c>
      <c r="P125" s="50">
        <f>VLOOKUP($A125,'Data shares'!$C:$FB,125)</f>
        <v>0.34</v>
      </c>
      <c r="Q125" s="50">
        <f>VLOOKUP($A125,'Data shares'!$C:$FB,127)*100</f>
        <v>123.53</v>
      </c>
    </row>
    <row r="126" spans="1:17" x14ac:dyDescent="0.25">
      <c r="A126" s="97" t="str">
        <f>'Data Vlaue (Cr)'!C121</f>
        <v>LT</v>
      </c>
      <c r="B126" s="140">
        <f>VLOOKUP($A126,'Data shares'!$C:$FB,7)</f>
        <v>3923.8</v>
      </c>
      <c r="C126" s="140">
        <f>VLOOKUP($A126,'Data shares'!$C:$FB,3)</f>
        <v>3926.8</v>
      </c>
      <c r="D126" s="140">
        <f>VLOOKUP($A126,'Data shares'!$C:$FB,4)</f>
        <v>3908.5</v>
      </c>
      <c r="E126" s="50">
        <f t="shared" si="3"/>
        <v>0.46821031086094878</v>
      </c>
      <c r="F126" s="49">
        <f>VLOOKUP($A126,'Data shares'!$C:$FB,98)</f>
        <v>31638775</v>
      </c>
      <c r="G126" s="49">
        <f>VLOOKUP($A126,'Data shares'!$C:$FB,99)</f>
        <v>31313450</v>
      </c>
      <c r="H126" s="50">
        <f t="shared" si="4"/>
        <v>1.0389305554003152</v>
      </c>
      <c r="I126" s="49">
        <f>VLOOKUP($A126,'Data shares'!$C:$FB,66)</f>
        <v>20199725</v>
      </c>
      <c r="J126" s="49">
        <f>VLOOKUP($A126,'Data shares'!$C:$FB,67)</f>
        <v>22292900</v>
      </c>
      <c r="K126" s="50">
        <f t="shared" si="5"/>
        <v>-10.362393547436909</v>
      </c>
      <c r="L126" s="50">
        <f>VLOOKUP($A126,'Data shares'!$C:$FB,118)</f>
        <v>0.65</v>
      </c>
      <c r="M126" s="50">
        <f>VLOOKUP($A126,'Data shares'!$C:$FB,119)</f>
        <v>0.65</v>
      </c>
      <c r="N126" s="50">
        <f>VLOOKUP($A126,'Data shares'!$C:$FB,121)*100</f>
        <v>0</v>
      </c>
      <c r="O126" s="50">
        <f>VLOOKUP($A126,'Data shares'!$C:$FB,124)</f>
        <v>0.61</v>
      </c>
      <c r="P126" s="50">
        <f>VLOOKUP($A126,'Data shares'!$C:$FB,125)</f>
        <v>0.67</v>
      </c>
      <c r="Q126" s="50">
        <f>VLOOKUP($A126,'Data shares'!$C:$FB,127)*100</f>
        <v>-8.9599999999999991</v>
      </c>
    </row>
    <row r="127" spans="1:17" x14ac:dyDescent="0.25">
      <c r="A127" s="97" t="str">
        <f>'Data Vlaue (Cr)'!C122</f>
        <v>LTF</v>
      </c>
      <c r="B127" s="140">
        <f>VLOOKUP($A127,'Data shares'!$C:$FB,7)</f>
        <v>267.14999999999998</v>
      </c>
      <c r="C127" s="140">
        <f>VLOOKUP($A127,'Data shares'!$C:$FB,3)</f>
        <v>267.45999999999998</v>
      </c>
      <c r="D127" s="140">
        <f>VLOOKUP($A127,'Data shares'!$C:$FB,4)</f>
        <v>267.43</v>
      </c>
      <c r="E127" s="50">
        <f t="shared" si="3"/>
        <v>1.1217888793318892E-2</v>
      </c>
      <c r="F127" s="49">
        <f>VLOOKUP($A127,'Data shares'!$C:$FB,98)</f>
        <v>104883772</v>
      </c>
      <c r="G127" s="49">
        <f>VLOOKUP($A127,'Data shares'!$C:$FB,99)</f>
        <v>107926856</v>
      </c>
      <c r="H127" s="50">
        <f t="shared" si="4"/>
        <v>-2.819579957003473</v>
      </c>
      <c r="I127" s="49">
        <f>VLOOKUP($A127,'Data shares'!$C:$FB,66)</f>
        <v>93465514</v>
      </c>
      <c r="J127" s="49">
        <f>VLOOKUP($A127,'Data shares'!$C:$FB,67)</f>
        <v>106989836</v>
      </c>
      <c r="K127" s="50">
        <f t="shared" si="5"/>
        <v>-14.469852484842699</v>
      </c>
      <c r="L127" s="50">
        <f>VLOOKUP($A127,'Data shares'!$C:$FB,118)</f>
        <v>0.93</v>
      </c>
      <c r="M127" s="50">
        <f>VLOOKUP($A127,'Data shares'!$C:$FB,119)</f>
        <v>0.91</v>
      </c>
      <c r="N127" s="50">
        <f>VLOOKUP($A127,'Data shares'!$C:$FB,121)*100</f>
        <v>2.1999999999999997</v>
      </c>
      <c r="O127" s="50">
        <f>VLOOKUP($A127,'Data shares'!$C:$FB,124)</f>
        <v>0.8</v>
      </c>
      <c r="P127" s="50">
        <f>VLOOKUP($A127,'Data shares'!$C:$FB,125)</f>
        <v>0.53</v>
      </c>
      <c r="Q127" s="50">
        <f>VLOOKUP($A127,'Data shares'!$C:$FB,127)*100</f>
        <v>50.94</v>
      </c>
    </row>
    <row r="128" spans="1:17" x14ac:dyDescent="0.25">
      <c r="A128" s="97" t="str">
        <f>'Data Vlaue (Cr)'!C123</f>
        <v>LTIM</v>
      </c>
      <c r="B128" s="140">
        <f>VLOOKUP($A128,'Data shares'!$C:$FB,7)</f>
        <v>5640</v>
      </c>
      <c r="C128" s="140">
        <f>VLOOKUP($A128,'Data shares'!$C:$FB,3)</f>
        <v>5639.5</v>
      </c>
      <c r="D128" s="140">
        <f>VLOOKUP($A128,'Data shares'!$C:$FB,4)</f>
        <v>5547.5</v>
      </c>
      <c r="E128" s="50">
        <f t="shared" si="3"/>
        <v>1.658404686795854</v>
      </c>
      <c r="F128" s="49">
        <f>VLOOKUP($A128,'Data shares'!$C:$FB,98)</f>
        <v>5024550</v>
      </c>
      <c r="G128" s="49">
        <f>VLOOKUP($A128,'Data shares'!$C:$FB,99)</f>
        <v>5670900</v>
      </c>
      <c r="H128" s="50">
        <f t="shared" si="4"/>
        <v>-11.397661746812675</v>
      </c>
      <c r="I128" s="49">
        <f>VLOOKUP($A128,'Data shares'!$C:$FB,66)</f>
        <v>5385750</v>
      </c>
      <c r="J128" s="49">
        <f>VLOOKUP($A128,'Data shares'!$C:$FB,67)</f>
        <v>7712550</v>
      </c>
      <c r="K128" s="50">
        <f t="shared" si="5"/>
        <v>-43.202896532516363</v>
      </c>
      <c r="L128" s="50">
        <f>VLOOKUP($A128,'Data shares'!$C:$FB,118)</f>
        <v>0.71</v>
      </c>
      <c r="M128" s="50">
        <f>VLOOKUP($A128,'Data shares'!$C:$FB,119)</f>
        <v>0.59</v>
      </c>
      <c r="N128" s="50">
        <f>VLOOKUP($A128,'Data shares'!$C:$FB,121)*100</f>
        <v>20.34</v>
      </c>
      <c r="O128" s="50">
        <f>VLOOKUP($A128,'Data shares'!$C:$FB,124)</f>
        <v>0.64</v>
      </c>
      <c r="P128" s="50">
        <f>VLOOKUP($A128,'Data shares'!$C:$FB,125)</f>
        <v>0.54</v>
      </c>
      <c r="Q128" s="50">
        <f>VLOOKUP($A128,'Data shares'!$C:$FB,127)*100</f>
        <v>18.52</v>
      </c>
    </row>
    <row r="129" spans="1:17" x14ac:dyDescent="0.25">
      <c r="A129" s="97" t="str">
        <f>'Data Vlaue (Cr)'!C124</f>
        <v>LUPIN</v>
      </c>
      <c r="B129" s="140">
        <f>VLOOKUP($A129,'Data shares'!$C:$FB,7)</f>
        <v>1922.9</v>
      </c>
      <c r="C129" s="140">
        <f>VLOOKUP($A129,'Data shares'!$C:$FB,3)</f>
        <v>1924.7</v>
      </c>
      <c r="D129" s="140">
        <f>VLOOKUP($A129,'Data shares'!$C:$FB,4)</f>
        <v>1930.7</v>
      </c>
      <c r="E129" s="50">
        <f t="shared" si="3"/>
        <v>-0.31076811519138137</v>
      </c>
      <c r="F129" s="49">
        <f>VLOOKUP($A129,'Data shares'!$C:$FB,98)</f>
        <v>17421175</v>
      </c>
      <c r="G129" s="49">
        <f>VLOOKUP($A129,'Data shares'!$C:$FB,99)</f>
        <v>17597975</v>
      </c>
      <c r="H129" s="50">
        <f t="shared" si="4"/>
        <v>-1.0046610476489481</v>
      </c>
      <c r="I129" s="49">
        <f>VLOOKUP($A129,'Data shares'!$C:$FB,66)</f>
        <v>10845575</v>
      </c>
      <c r="J129" s="49">
        <f>VLOOKUP($A129,'Data shares'!$C:$FB,67)</f>
        <v>16333175</v>
      </c>
      <c r="K129" s="50">
        <f t="shared" si="5"/>
        <v>-50.597593949606178</v>
      </c>
      <c r="L129" s="50">
        <f>VLOOKUP($A129,'Data shares'!$C:$FB,118)</f>
        <v>0.62</v>
      </c>
      <c r="M129" s="50">
        <f>VLOOKUP($A129,'Data shares'!$C:$FB,119)</f>
        <v>0.61</v>
      </c>
      <c r="N129" s="50">
        <f>VLOOKUP($A129,'Data shares'!$C:$FB,121)*100</f>
        <v>1.6400000000000001</v>
      </c>
      <c r="O129" s="50">
        <f>VLOOKUP($A129,'Data shares'!$C:$FB,124)</f>
        <v>0.54</v>
      </c>
      <c r="P129" s="50">
        <f>VLOOKUP($A129,'Data shares'!$C:$FB,125)</f>
        <v>0.44</v>
      </c>
      <c r="Q129" s="50">
        <f>VLOOKUP($A129,'Data shares'!$C:$FB,127)*100</f>
        <v>22.73</v>
      </c>
    </row>
    <row r="130" spans="1:17" x14ac:dyDescent="0.25">
      <c r="A130" s="97" t="str">
        <f>'Data Vlaue (Cr)'!C125</f>
        <v>M&amp;M</v>
      </c>
      <c r="B130" s="140">
        <f>VLOOKUP($A130,'Data shares'!$C:$FB,7)</f>
        <v>3611.6</v>
      </c>
      <c r="C130" s="140">
        <f>VLOOKUP($A130,'Data shares'!$C:$FB,3)</f>
        <v>3615.6</v>
      </c>
      <c r="D130" s="140">
        <f>VLOOKUP($A130,'Data shares'!$C:$FB,4)</f>
        <v>3620.1</v>
      </c>
      <c r="E130" s="50">
        <f t="shared" si="3"/>
        <v>-0.12430595839893925</v>
      </c>
      <c r="F130" s="49">
        <f>VLOOKUP($A130,'Data shares'!$C:$FB,98)</f>
        <v>27237800</v>
      </c>
      <c r="G130" s="49">
        <f>VLOOKUP($A130,'Data shares'!$C:$FB,99)</f>
        <v>27650800</v>
      </c>
      <c r="H130" s="50">
        <f t="shared" si="4"/>
        <v>-1.4936276708088012</v>
      </c>
      <c r="I130" s="49">
        <f>VLOOKUP($A130,'Data shares'!$C:$FB,66)</f>
        <v>20325000</v>
      </c>
      <c r="J130" s="49">
        <f>VLOOKUP($A130,'Data shares'!$C:$FB,67)</f>
        <v>21923600</v>
      </c>
      <c r="K130" s="50">
        <f t="shared" si="5"/>
        <v>-7.8651906519065191</v>
      </c>
      <c r="L130" s="50">
        <f>VLOOKUP($A130,'Data shares'!$C:$FB,118)</f>
        <v>0.76</v>
      </c>
      <c r="M130" s="50">
        <f>VLOOKUP($A130,'Data shares'!$C:$FB,119)</f>
        <v>0.74</v>
      </c>
      <c r="N130" s="50">
        <f>VLOOKUP($A130,'Data shares'!$C:$FB,121)*100</f>
        <v>2.7</v>
      </c>
      <c r="O130" s="50">
        <f>VLOOKUP($A130,'Data shares'!$C:$FB,124)</f>
        <v>0.79</v>
      </c>
      <c r="P130" s="50">
        <f>VLOOKUP($A130,'Data shares'!$C:$FB,125)</f>
        <v>0.66</v>
      </c>
      <c r="Q130" s="50">
        <f>VLOOKUP($A130,'Data shares'!$C:$FB,127)*100</f>
        <v>19.7</v>
      </c>
    </row>
    <row r="131" spans="1:17" x14ac:dyDescent="0.25">
      <c r="A131" s="97" t="str">
        <f>'Data Vlaue (Cr)'!C126</f>
        <v>MANAPPURAM</v>
      </c>
      <c r="B131" s="140">
        <f>VLOOKUP($A131,'Data shares'!$C:$FB,7)</f>
        <v>276.39999999999998</v>
      </c>
      <c r="C131" s="140">
        <f>VLOOKUP($A131,'Data shares'!$C:$FB,3)</f>
        <v>276.05</v>
      </c>
      <c r="D131" s="140">
        <f>VLOOKUP($A131,'Data shares'!$C:$FB,4)</f>
        <v>279.8</v>
      </c>
      <c r="E131" s="50">
        <f t="shared" si="3"/>
        <v>-1.3402430307362401</v>
      </c>
      <c r="F131" s="49">
        <f>VLOOKUP($A131,'Data shares'!$C:$FB,98)</f>
        <v>53889000</v>
      </c>
      <c r="G131" s="49">
        <f>VLOOKUP($A131,'Data shares'!$C:$FB,99)</f>
        <v>54762000</v>
      </c>
      <c r="H131" s="50">
        <f t="shared" si="4"/>
        <v>-1.5941711405719297</v>
      </c>
      <c r="I131" s="49">
        <f>VLOOKUP($A131,'Data shares'!$C:$FB,66)</f>
        <v>44292000</v>
      </c>
      <c r="J131" s="49">
        <f>VLOOKUP($A131,'Data shares'!$C:$FB,67)</f>
        <v>50943000</v>
      </c>
      <c r="K131" s="50">
        <f t="shared" si="5"/>
        <v>-15.016255757247357</v>
      </c>
      <c r="L131" s="50">
        <f>VLOOKUP($A131,'Data shares'!$C:$FB,118)</f>
        <v>0.55000000000000004</v>
      </c>
      <c r="M131" s="50">
        <f>VLOOKUP($A131,'Data shares'!$C:$FB,119)</f>
        <v>0.57999999999999996</v>
      </c>
      <c r="N131" s="50">
        <f>VLOOKUP($A131,'Data shares'!$C:$FB,121)*100</f>
        <v>-5.17</v>
      </c>
      <c r="O131" s="50">
        <f>VLOOKUP($A131,'Data shares'!$C:$FB,124)</f>
        <v>0.69</v>
      </c>
      <c r="P131" s="50">
        <f>VLOOKUP($A131,'Data shares'!$C:$FB,125)</f>
        <v>0.67</v>
      </c>
      <c r="Q131" s="50">
        <f>VLOOKUP($A131,'Data shares'!$C:$FB,127)*100</f>
        <v>2.9899999999999998</v>
      </c>
    </row>
    <row r="132" spans="1:17" x14ac:dyDescent="0.25">
      <c r="A132" s="97" t="str">
        <f>'Data Vlaue (Cr)'!C127</f>
        <v>MANKIND</v>
      </c>
      <c r="B132" s="140">
        <f>VLOOKUP($A132,'Data shares'!$C:$FB,7)</f>
        <v>2416.6999999999998</v>
      </c>
      <c r="C132" s="140">
        <f>VLOOKUP($A132,'Data shares'!$C:$FB,3)</f>
        <v>2417.3000000000002</v>
      </c>
      <c r="D132" s="140">
        <f>VLOOKUP($A132,'Data shares'!$C:$FB,4)</f>
        <v>2427.1999999999998</v>
      </c>
      <c r="E132" s="50">
        <f t="shared" si="3"/>
        <v>-0.40787738958469172</v>
      </c>
      <c r="F132" s="49">
        <f>VLOOKUP($A132,'Data shares'!$C:$FB,98)</f>
        <v>2885400</v>
      </c>
      <c r="G132" s="49">
        <f>VLOOKUP($A132,'Data shares'!$C:$FB,99)</f>
        <v>3105675</v>
      </c>
      <c r="H132" s="50">
        <f t="shared" si="4"/>
        <v>-7.0926610157212204</v>
      </c>
      <c r="I132" s="49">
        <f>VLOOKUP($A132,'Data shares'!$C:$FB,66)</f>
        <v>2191500</v>
      </c>
      <c r="J132" s="49">
        <f>VLOOKUP($A132,'Data shares'!$C:$FB,67)</f>
        <v>2994750</v>
      </c>
      <c r="K132" s="50">
        <f t="shared" si="5"/>
        <v>-36.652977412731005</v>
      </c>
      <c r="L132" s="50">
        <f>VLOOKUP($A132,'Data shares'!$C:$FB,118)</f>
        <v>0.46</v>
      </c>
      <c r="M132" s="50">
        <f>VLOOKUP($A132,'Data shares'!$C:$FB,119)</f>
        <v>0.42</v>
      </c>
      <c r="N132" s="50">
        <f>VLOOKUP($A132,'Data shares'!$C:$FB,121)*100</f>
        <v>9.5200000000000014</v>
      </c>
      <c r="O132" s="50">
        <f>VLOOKUP($A132,'Data shares'!$C:$FB,124)</f>
        <v>0.26</v>
      </c>
      <c r="P132" s="50">
        <f>VLOOKUP($A132,'Data shares'!$C:$FB,125)</f>
        <v>0.41</v>
      </c>
      <c r="Q132" s="50">
        <f>VLOOKUP($A132,'Data shares'!$C:$FB,127)*100</f>
        <v>-36.590000000000003</v>
      </c>
    </row>
    <row r="133" spans="1:17" x14ac:dyDescent="0.25">
      <c r="A133" s="97" t="str">
        <f>'Data Vlaue (Cr)'!C128</f>
        <v>MARICO</v>
      </c>
      <c r="B133" s="140">
        <f>VLOOKUP($A133,'Data shares'!$C:$FB,7)</f>
        <v>723.6</v>
      </c>
      <c r="C133" s="140">
        <f>VLOOKUP($A133,'Data shares'!$C:$FB,3)</f>
        <v>722.9</v>
      </c>
      <c r="D133" s="140">
        <f>VLOOKUP($A133,'Data shares'!$C:$FB,4)</f>
        <v>725.3</v>
      </c>
      <c r="E133" s="50">
        <f t="shared" si="3"/>
        <v>-0.33089755963049461</v>
      </c>
      <c r="F133" s="49">
        <f>VLOOKUP($A133,'Data shares'!$C:$FB,98)</f>
        <v>32876400</v>
      </c>
      <c r="G133" s="49">
        <f>VLOOKUP($A133,'Data shares'!$C:$FB,99)</f>
        <v>33256800</v>
      </c>
      <c r="H133" s="50">
        <f t="shared" si="4"/>
        <v>-1.143826225012629</v>
      </c>
      <c r="I133" s="49">
        <f>VLOOKUP($A133,'Data shares'!$C:$FB,66)</f>
        <v>20095200</v>
      </c>
      <c r="J133" s="49">
        <f>VLOOKUP($A133,'Data shares'!$C:$FB,67)</f>
        <v>36786000</v>
      </c>
      <c r="K133" s="50">
        <f t="shared" si="5"/>
        <v>-83.058640869461371</v>
      </c>
      <c r="L133" s="50">
        <f>VLOOKUP($A133,'Data shares'!$C:$FB,118)</f>
        <v>0.76</v>
      </c>
      <c r="M133" s="50">
        <f>VLOOKUP($A133,'Data shares'!$C:$FB,119)</f>
        <v>0.76</v>
      </c>
      <c r="N133" s="50">
        <f>VLOOKUP($A133,'Data shares'!$C:$FB,121)*100</f>
        <v>0</v>
      </c>
      <c r="O133" s="50">
        <f>VLOOKUP($A133,'Data shares'!$C:$FB,124)</f>
        <v>0.57999999999999996</v>
      </c>
      <c r="P133" s="50">
        <f>VLOOKUP($A133,'Data shares'!$C:$FB,125)</f>
        <v>0.88</v>
      </c>
      <c r="Q133" s="50">
        <f>VLOOKUP($A133,'Data shares'!$C:$FB,127)*100</f>
        <v>-34.089999999999996</v>
      </c>
    </row>
    <row r="134" spans="1:17" x14ac:dyDescent="0.25">
      <c r="A134" s="97" t="str">
        <f>'Data Vlaue (Cr)'!C129</f>
        <v>MARUTI</v>
      </c>
      <c r="B134" s="140">
        <f>VLOOKUP($A134,'Data shares'!$C:$FB,7)</f>
        <v>16388</v>
      </c>
      <c r="C134" s="140">
        <f>VLOOKUP($A134,'Data shares'!$C:$FB,3)</f>
        <v>16404</v>
      </c>
      <c r="D134" s="140">
        <f>VLOOKUP($A134,'Data shares'!$C:$FB,4)</f>
        <v>16261</v>
      </c>
      <c r="E134" s="50">
        <f t="shared" si="3"/>
        <v>0.87940471065740111</v>
      </c>
      <c r="F134" s="49">
        <f>VLOOKUP($A134,'Data shares'!$C:$FB,98)</f>
        <v>6879000</v>
      </c>
      <c r="G134" s="49">
        <f>VLOOKUP($A134,'Data shares'!$C:$FB,99)</f>
        <v>7569800</v>
      </c>
      <c r="H134" s="50">
        <f t="shared" si="4"/>
        <v>-9.125736479167216</v>
      </c>
      <c r="I134" s="49">
        <f>VLOOKUP($A134,'Data shares'!$C:$FB,66)</f>
        <v>9608550</v>
      </c>
      <c r="J134" s="49">
        <f>VLOOKUP($A134,'Data shares'!$C:$FB,67)</f>
        <v>9156550</v>
      </c>
      <c r="K134" s="50">
        <f t="shared" si="5"/>
        <v>4.7041437053457598</v>
      </c>
      <c r="L134" s="50">
        <f>VLOOKUP($A134,'Data shares'!$C:$FB,118)</f>
        <v>0.7</v>
      </c>
      <c r="M134" s="50">
        <f>VLOOKUP($A134,'Data shares'!$C:$FB,119)</f>
        <v>0.56999999999999995</v>
      </c>
      <c r="N134" s="50">
        <f>VLOOKUP($A134,'Data shares'!$C:$FB,121)*100</f>
        <v>22.81</v>
      </c>
      <c r="O134" s="50">
        <f>VLOOKUP($A134,'Data shares'!$C:$FB,124)</f>
        <v>0.53</v>
      </c>
      <c r="P134" s="50">
        <f>VLOOKUP($A134,'Data shares'!$C:$FB,125)</f>
        <v>0.6</v>
      </c>
      <c r="Q134" s="50">
        <f>VLOOKUP($A134,'Data shares'!$C:$FB,127)*100</f>
        <v>-11.67</v>
      </c>
    </row>
    <row r="135" spans="1:17" x14ac:dyDescent="0.25">
      <c r="A135" s="97" t="str">
        <f>'Data Vlaue (Cr)'!C130</f>
        <v>MAXHEALTH</v>
      </c>
      <c r="B135" s="140">
        <f>VLOOKUP($A135,'Data shares'!$C:$FB,7)</f>
        <v>1186.4000000000001</v>
      </c>
      <c r="C135" s="140">
        <f>VLOOKUP($A135,'Data shares'!$C:$FB,3)</f>
        <v>1187.9000000000001</v>
      </c>
      <c r="D135" s="140">
        <f>VLOOKUP($A135,'Data shares'!$C:$FB,4)</f>
        <v>1185.0999999999999</v>
      </c>
      <c r="E135" s="50">
        <f t="shared" si="3"/>
        <v>0.23626698168932428</v>
      </c>
      <c r="F135" s="49">
        <f>VLOOKUP($A135,'Data shares'!$C:$FB,98)</f>
        <v>21515550</v>
      </c>
      <c r="G135" s="49">
        <f>VLOOKUP($A135,'Data shares'!$C:$FB,99)</f>
        <v>21863625</v>
      </c>
      <c r="H135" s="50">
        <f t="shared" si="4"/>
        <v>-1.592027854484332</v>
      </c>
      <c r="I135" s="49">
        <f>VLOOKUP($A135,'Data shares'!$C:$FB,66)</f>
        <v>15586200</v>
      </c>
      <c r="J135" s="49">
        <f>VLOOKUP($A135,'Data shares'!$C:$FB,67)</f>
        <v>22744050</v>
      </c>
      <c r="K135" s="50">
        <f t="shared" si="5"/>
        <v>-45.924279170035035</v>
      </c>
      <c r="L135" s="50">
        <f>VLOOKUP($A135,'Data shares'!$C:$FB,118)</f>
        <v>0.68</v>
      </c>
      <c r="M135" s="50">
        <f>VLOOKUP($A135,'Data shares'!$C:$FB,119)</f>
        <v>0.77</v>
      </c>
      <c r="N135" s="50">
        <f>VLOOKUP($A135,'Data shares'!$C:$FB,121)*100</f>
        <v>-11.690000000000001</v>
      </c>
      <c r="O135" s="50">
        <f>VLOOKUP($A135,'Data shares'!$C:$FB,124)</f>
        <v>0.76</v>
      </c>
      <c r="P135" s="50">
        <f>VLOOKUP($A135,'Data shares'!$C:$FB,125)</f>
        <v>0.99</v>
      </c>
      <c r="Q135" s="50">
        <f>VLOOKUP($A135,'Data shares'!$C:$FB,127)*100</f>
        <v>-23.23</v>
      </c>
    </row>
    <row r="136" spans="1:17" x14ac:dyDescent="0.25">
      <c r="A136" s="97" t="str">
        <f>'Data Vlaue (Cr)'!C131</f>
        <v>MAZDOCK</v>
      </c>
      <c r="B136" s="140">
        <f>VLOOKUP($A136,'Data shares'!$C:$FB,7)</f>
        <v>2810.4</v>
      </c>
      <c r="C136" s="140">
        <f>VLOOKUP($A136,'Data shares'!$C:$FB,3)</f>
        <v>2810.2</v>
      </c>
      <c r="D136" s="140">
        <f>VLOOKUP($A136,'Data shares'!$C:$FB,4)</f>
        <v>2801.9</v>
      </c>
      <c r="E136" s="50">
        <f t="shared" ref="E136:E172" si="6">(C136-D136)/D136*100</f>
        <v>0.29622755987007843</v>
      </c>
      <c r="F136" s="49">
        <f>VLOOKUP($A136,'Data shares'!$C:$FB,98)</f>
        <v>8843800</v>
      </c>
      <c r="G136" s="49">
        <f>VLOOKUP($A136,'Data shares'!$C:$FB,99)</f>
        <v>8304800</v>
      </c>
      <c r="H136" s="50">
        <f t="shared" ref="H136:H172" si="7">(F136-G136)/G136*100</f>
        <v>6.4902225219150376</v>
      </c>
      <c r="I136" s="49">
        <f>VLOOKUP($A136,'Data shares'!$C:$FB,66)</f>
        <v>11007675</v>
      </c>
      <c r="J136" s="49">
        <f>VLOOKUP($A136,'Data shares'!$C:$FB,67)</f>
        <v>10757600</v>
      </c>
      <c r="K136" s="50">
        <f t="shared" ref="K136:K172" si="8">(I136-J136)/I136*100</f>
        <v>2.2718239773612501</v>
      </c>
      <c r="L136" s="50">
        <f>VLOOKUP($A136,'Data shares'!$C:$FB,118)</f>
        <v>0.56999999999999995</v>
      </c>
      <c r="M136" s="50">
        <f>VLOOKUP($A136,'Data shares'!$C:$FB,119)</f>
        <v>0.53</v>
      </c>
      <c r="N136" s="50">
        <f>VLOOKUP($A136,'Data shares'!$C:$FB,121)*100</f>
        <v>7.55</v>
      </c>
      <c r="O136" s="50">
        <f>VLOOKUP($A136,'Data shares'!$C:$FB,124)</f>
        <v>0.46</v>
      </c>
      <c r="P136" s="50">
        <f>VLOOKUP($A136,'Data shares'!$C:$FB,125)</f>
        <v>0.31</v>
      </c>
      <c r="Q136" s="50">
        <f>VLOOKUP($A136,'Data shares'!$C:$FB,127)*100</f>
        <v>48.39</v>
      </c>
    </row>
    <row r="137" spans="1:17" x14ac:dyDescent="0.25">
      <c r="A137" s="97" t="str">
        <f>'Data Vlaue (Cr)'!C132</f>
        <v>MCX</v>
      </c>
      <c r="B137" s="140">
        <f>VLOOKUP($A137,'Data shares'!$C:$FB,7)</f>
        <v>9305.5</v>
      </c>
      <c r="C137" s="140">
        <f>VLOOKUP($A137,'Data shares'!$C:$FB,3)</f>
        <v>9310.5</v>
      </c>
      <c r="D137" s="140">
        <f>VLOOKUP($A137,'Data shares'!$C:$FB,4)</f>
        <v>9004</v>
      </c>
      <c r="E137" s="50">
        <f t="shared" si="6"/>
        <v>3.4040426477121279</v>
      </c>
      <c r="F137" s="49">
        <f>VLOOKUP($A137,'Data shares'!$C:$FB,98)</f>
        <v>9098125</v>
      </c>
      <c r="G137" s="49">
        <f>VLOOKUP($A137,'Data shares'!$C:$FB,99)</f>
        <v>9376500</v>
      </c>
      <c r="H137" s="50">
        <f t="shared" si="7"/>
        <v>-2.9688583160027728</v>
      </c>
      <c r="I137" s="49">
        <f>VLOOKUP($A137,'Data shares'!$C:$FB,66)</f>
        <v>26485750</v>
      </c>
      <c r="J137" s="49">
        <f>VLOOKUP($A137,'Data shares'!$C:$FB,67)</f>
        <v>18658875</v>
      </c>
      <c r="K137" s="50">
        <f t="shared" si="8"/>
        <v>29.551268134751709</v>
      </c>
      <c r="L137" s="50">
        <f>VLOOKUP($A137,'Data shares'!$C:$FB,118)</f>
        <v>0.63</v>
      </c>
      <c r="M137" s="50">
        <f>VLOOKUP($A137,'Data shares'!$C:$FB,119)</f>
        <v>0.56999999999999995</v>
      </c>
      <c r="N137" s="50">
        <f>VLOOKUP($A137,'Data shares'!$C:$FB,121)*100</f>
        <v>10.530000000000001</v>
      </c>
      <c r="O137" s="50">
        <f>VLOOKUP($A137,'Data shares'!$C:$FB,124)</f>
        <v>0.4</v>
      </c>
      <c r="P137" s="50">
        <f>VLOOKUP($A137,'Data shares'!$C:$FB,125)</f>
        <v>0.62</v>
      </c>
      <c r="Q137" s="50">
        <f>VLOOKUP($A137,'Data shares'!$C:$FB,127)*100</f>
        <v>-35.480000000000004</v>
      </c>
    </row>
    <row r="138" spans="1:17" x14ac:dyDescent="0.25">
      <c r="A138" s="97" t="str">
        <f>'Data Vlaue (Cr)'!C133</f>
        <v>MFSL</v>
      </c>
      <c r="B138" s="140">
        <f>VLOOKUP($A138,'Data shares'!$C:$FB,7)</f>
        <v>1513.6</v>
      </c>
      <c r="C138" s="140">
        <f>VLOOKUP($A138,'Data shares'!$C:$FB,3)</f>
        <v>1512.2</v>
      </c>
      <c r="D138" s="140">
        <f>VLOOKUP($A138,'Data shares'!$C:$FB,4)</f>
        <v>1517</v>
      </c>
      <c r="E138" s="50">
        <f t="shared" si="6"/>
        <v>-0.31641397495055734</v>
      </c>
      <c r="F138" s="49">
        <f>VLOOKUP($A138,'Data shares'!$C:$FB,98)</f>
        <v>8850400</v>
      </c>
      <c r="G138" s="49">
        <f>VLOOKUP($A138,'Data shares'!$C:$FB,99)</f>
        <v>8888800</v>
      </c>
      <c r="H138" s="50">
        <f t="shared" si="7"/>
        <v>-0.43200432004320044</v>
      </c>
      <c r="I138" s="49">
        <f>VLOOKUP($A138,'Data shares'!$C:$FB,66)</f>
        <v>7854400</v>
      </c>
      <c r="J138" s="49">
        <f>VLOOKUP($A138,'Data shares'!$C:$FB,67)</f>
        <v>8483200</v>
      </c>
      <c r="K138" s="50">
        <f t="shared" si="8"/>
        <v>-8.0057038093298019</v>
      </c>
      <c r="L138" s="50">
        <f>VLOOKUP($A138,'Data shares'!$C:$FB,118)</f>
        <v>0.71</v>
      </c>
      <c r="M138" s="50">
        <f>VLOOKUP($A138,'Data shares'!$C:$FB,119)</f>
        <v>0.76</v>
      </c>
      <c r="N138" s="50">
        <f>VLOOKUP($A138,'Data shares'!$C:$FB,121)*100</f>
        <v>-6.58</v>
      </c>
      <c r="O138" s="50">
        <f>VLOOKUP($A138,'Data shares'!$C:$FB,124)</f>
        <v>0.45</v>
      </c>
      <c r="P138" s="50">
        <f>VLOOKUP($A138,'Data shares'!$C:$FB,125)</f>
        <v>0.47</v>
      </c>
      <c r="Q138" s="50">
        <f>VLOOKUP($A138,'Data shares'!$C:$FB,127)*100</f>
        <v>-4.26</v>
      </c>
    </row>
    <row r="139" spans="1:17" x14ac:dyDescent="0.25">
      <c r="A139" s="97" t="str">
        <f>'Data Vlaue (Cr)'!C134</f>
        <v>MIDCPNIFTY</v>
      </c>
      <c r="B139" s="140">
        <f>VLOOKUP($A139,'Data shares'!$C:$FB,7)</f>
        <v>13345.3</v>
      </c>
      <c r="C139" s="140">
        <f>VLOOKUP($A139,'Data shares'!$C:$FB,3)</f>
        <v>13367.75</v>
      </c>
      <c r="D139" s="140">
        <f>VLOOKUP($A139,'Data shares'!$C:$FB,4)</f>
        <v>13168.35</v>
      </c>
      <c r="E139" s="50">
        <f t="shared" si="6"/>
        <v>1.5142367874486906</v>
      </c>
      <c r="F139" s="49">
        <f>VLOOKUP($A139,'Data shares'!$C:$FB,98)</f>
        <v>31021760</v>
      </c>
      <c r="G139" s="49">
        <f>VLOOKUP($A139,'Data shares'!$C:$FB,99)</f>
        <v>28332080</v>
      </c>
      <c r="H139" s="50">
        <f t="shared" si="7"/>
        <v>9.4934081789970932</v>
      </c>
      <c r="I139" s="49">
        <f>VLOOKUP($A139,'Data shares'!$C:$FB,66)</f>
        <v>315279160</v>
      </c>
      <c r="J139" s="49">
        <f>VLOOKUP($A139,'Data shares'!$C:$FB,67)</f>
        <v>280954940</v>
      </c>
      <c r="K139" s="50">
        <f t="shared" si="8"/>
        <v>10.886929538888648</v>
      </c>
      <c r="L139" s="50">
        <f>VLOOKUP($A139,'Data shares'!$C:$FB,118)</f>
        <v>1.19</v>
      </c>
      <c r="M139" s="50">
        <f>VLOOKUP($A139,'Data shares'!$C:$FB,119)</f>
        <v>0.89</v>
      </c>
      <c r="N139" s="50">
        <f>VLOOKUP($A139,'Data shares'!$C:$FB,121)*100</f>
        <v>33.71</v>
      </c>
      <c r="O139" s="50">
        <f>VLOOKUP($A139,'Data shares'!$C:$FB,124)</f>
        <v>0.84</v>
      </c>
      <c r="P139" s="50">
        <f>VLOOKUP($A139,'Data shares'!$C:$FB,125)</f>
        <v>1</v>
      </c>
      <c r="Q139" s="50">
        <f>VLOOKUP($A139,'Data shares'!$C:$FB,127)*100</f>
        <v>-16</v>
      </c>
    </row>
    <row r="140" spans="1:17" x14ac:dyDescent="0.25">
      <c r="A140" s="97" t="str">
        <f>'Data Vlaue (Cr)'!C135</f>
        <v>MOTHERSON</v>
      </c>
      <c r="B140" s="140">
        <f>VLOOKUP($A140,'Data shares'!$C:$FB,7)</f>
        <v>106.93</v>
      </c>
      <c r="C140" s="140">
        <f>VLOOKUP($A140,'Data shares'!$C:$FB,3)</f>
        <v>107.08</v>
      </c>
      <c r="D140" s="140">
        <f>VLOOKUP($A140,'Data shares'!$C:$FB,4)</f>
        <v>106.13</v>
      </c>
      <c r="E140" s="50">
        <f t="shared" si="6"/>
        <v>0.89512861584849046</v>
      </c>
      <c r="F140" s="49">
        <f>VLOOKUP($A140,'Data shares'!$C:$FB,98)</f>
        <v>305144550</v>
      </c>
      <c r="G140" s="49">
        <f>VLOOKUP($A140,'Data shares'!$C:$FB,99)</f>
        <v>311079300</v>
      </c>
      <c r="H140" s="50">
        <f t="shared" si="7"/>
        <v>-1.9077932861492231</v>
      </c>
      <c r="I140" s="49">
        <f>VLOOKUP($A140,'Data shares'!$C:$FB,66)</f>
        <v>176738700</v>
      </c>
      <c r="J140" s="49">
        <f>VLOOKUP($A140,'Data shares'!$C:$FB,67)</f>
        <v>216480000</v>
      </c>
      <c r="K140" s="50">
        <f t="shared" si="8"/>
        <v>-22.485907161249912</v>
      </c>
      <c r="L140" s="50">
        <f>VLOOKUP($A140,'Data shares'!$C:$FB,118)</f>
        <v>0.52</v>
      </c>
      <c r="M140" s="50">
        <f>VLOOKUP($A140,'Data shares'!$C:$FB,119)</f>
        <v>0.49</v>
      </c>
      <c r="N140" s="50">
        <f>VLOOKUP($A140,'Data shares'!$C:$FB,121)*100</f>
        <v>6.12</v>
      </c>
      <c r="O140" s="50">
        <f>VLOOKUP($A140,'Data shares'!$C:$FB,124)</f>
        <v>0.55000000000000004</v>
      </c>
      <c r="P140" s="50">
        <f>VLOOKUP($A140,'Data shares'!$C:$FB,125)</f>
        <v>0.41</v>
      </c>
      <c r="Q140" s="50">
        <f>VLOOKUP($A140,'Data shares'!$C:$FB,127)*100</f>
        <v>34.150000000000006</v>
      </c>
    </row>
    <row r="141" spans="1:17" x14ac:dyDescent="0.25">
      <c r="A141" s="97" t="str">
        <f>'Data Vlaue (Cr)'!C136</f>
        <v>MPHASIS</v>
      </c>
      <c r="B141" s="140">
        <f>VLOOKUP($A141,'Data shares'!$C:$FB,7)</f>
        <v>2888.7</v>
      </c>
      <c r="C141" s="140">
        <f>VLOOKUP($A141,'Data shares'!$C:$FB,3)</f>
        <v>2889.3</v>
      </c>
      <c r="D141" s="140">
        <f>VLOOKUP($A141,'Data shares'!$C:$FB,4)</f>
        <v>2815.3</v>
      </c>
      <c r="E141" s="50">
        <f t="shared" si="6"/>
        <v>2.6284942990089863</v>
      </c>
      <c r="F141" s="49">
        <f>VLOOKUP($A141,'Data shares'!$C:$FB,98)</f>
        <v>5913050</v>
      </c>
      <c r="G141" s="49">
        <f>VLOOKUP($A141,'Data shares'!$C:$FB,99)</f>
        <v>6088225</v>
      </c>
      <c r="H141" s="50">
        <f t="shared" si="7"/>
        <v>-2.8772753963593658</v>
      </c>
      <c r="I141" s="49">
        <f>VLOOKUP($A141,'Data shares'!$C:$FB,66)</f>
        <v>8586325</v>
      </c>
      <c r="J141" s="49">
        <f>VLOOKUP($A141,'Data shares'!$C:$FB,67)</f>
        <v>6865100</v>
      </c>
      <c r="K141" s="50">
        <f t="shared" si="8"/>
        <v>20.046119847548283</v>
      </c>
      <c r="L141" s="50">
        <f>VLOOKUP($A141,'Data shares'!$C:$FB,118)</f>
        <v>0.9</v>
      </c>
      <c r="M141" s="50">
        <f>VLOOKUP($A141,'Data shares'!$C:$FB,119)</f>
        <v>0.65</v>
      </c>
      <c r="N141" s="50">
        <f>VLOOKUP($A141,'Data shares'!$C:$FB,121)*100</f>
        <v>38.46</v>
      </c>
      <c r="O141" s="50">
        <f>VLOOKUP($A141,'Data shares'!$C:$FB,124)</f>
        <v>0.37</v>
      </c>
      <c r="P141" s="50">
        <f>VLOOKUP($A141,'Data shares'!$C:$FB,125)</f>
        <v>0.38</v>
      </c>
      <c r="Q141" s="50">
        <f>VLOOKUP($A141,'Data shares'!$C:$FB,127)*100</f>
        <v>-2.63</v>
      </c>
    </row>
    <row r="142" spans="1:17" x14ac:dyDescent="0.25">
      <c r="A142" s="97" t="str">
        <f>'Data Vlaue (Cr)'!C137</f>
        <v>MUTHOOTFIN</v>
      </c>
      <c r="B142" s="140">
        <f>VLOOKUP($A142,'Data shares'!$C:$FB,7)</f>
        <v>3145.9</v>
      </c>
      <c r="C142" s="140">
        <f>VLOOKUP($A142,'Data shares'!$C:$FB,3)</f>
        <v>3153.7</v>
      </c>
      <c r="D142" s="140">
        <f>VLOOKUP($A142,'Data shares'!$C:$FB,4)</f>
        <v>3167.7</v>
      </c>
      <c r="E142" s="50">
        <f t="shared" si="6"/>
        <v>-0.44196104429081046</v>
      </c>
      <c r="F142" s="49">
        <f>VLOOKUP($A142,'Data shares'!$C:$FB,98)</f>
        <v>7855375</v>
      </c>
      <c r="G142" s="49">
        <f>VLOOKUP($A142,'Data shares'!$C:$FB,99)</f>
        <v>8594025</v>
      </c>
      <c r="H142" s="50">
        <f t="shared" si="7"/>
        <v>-8.594924962401203</v>
      </c>
      <c r="I142" s="49">
        <f>VLOOKUP($A142,'Data shares'!$C:$FB,66)</f>
        <v>8708425</v>
      </c>
      <c r="J142" s="49">
        <f>VLOOKUP($A142,'Data shares'!$C:$FB,67)</f>
        <v>18735750</v>
      </c>
      <c r="K142" s="50">
        <f t="shared" si="8"/>
        <v>-115.14510373575015</v>
      </c>
      <c r="L142" s="50">
        <f>VLOOKUP($A142,'Data shares'!$C:$FB,118)</f>
        <v>0.63</v>
      </c>
      <c r="M142" s="50">
        <f>VLOOKUP($A142,'Data shares'!$C:$FB,119)</f>
        <v>0.63</v>
      </c>
      <c r="N142" s="50">
        <f>VLOOKUP($A142,'Data shares'!$C:$FB,121)*100</f>
        <v>0</v>
      </c>
      <c r="O142" s="50">
        <f>VLOOKUP($A142,'Data shares'!$C:$FB,124)</f>
        <v>0.77</v>
      </c>
      <c r="P142" s="50">
        <f>VLOOKUP($A142,'Data shares'!$C:$FB,125)</f>
        <v>0.75</v>
      </c>
      <c r="Q142" s="50">
        <f>VLOOKUP($A142,'Data shares'!$C:$FB,127)*100</f>
        <v>2.67</v>
      </c>
    </row>
    <row r="143" spans="1:17" x14ac:dyDescent="0.25">
      <c r="A143" s="97" t="str">
        <f>'Data Vlaue (Cr)'!C138</f>
        <v>NATIONALUM</v>
      </c>
      <c r="B143" s="140">
        <f>VLOOKUP($A143,'Data shares'!$C:$FB,7)</f>
        <v>237.87</v>
      </c>
      <c r="C143" s="140">
        <f>VLOOKUP($A143,'Data shares'!$C:$FB,3)</f>
        <v>238.17</v>
      </c>
      <c r="D143" s="140">
        <f>VLOOKUP($A143,'Data shares'!$C:$FB,4)</f>
        <v>236.05</v>
      </c>
      <c r="E143" s="50">
        <f t="shared" si="6"/>
        <v>0.89811480618512007</v>
      </c>
      <c r="F143" s="49">
        <f>VLOOKUP($A143,'Data shares'!$C:$FB,98)</f>
        <v>146460000</v>
      </c>
      <c r="G143" s="49">
        <f>VLOOKUP($A143,'Data shares'!$C:$FB,99)</f>
        <v>147592500</v>
      </c>
      <c r="H143" s="50">
        <f t="shared" si="7"/>
        <v>-0.76731541236851464</v>
      </c>
      <c r="I143" s="49">
        <f>VLOOKUP($A143,'Data shares'!$C:$FB,66)</f>
        <v>166166250</v>
      </c>
      <c r="J143" s="49">
        <f>VLOOKUP($A143,'Data shares'!$C:$FB,67)</f>
        <v>383175000</v>
      </c>
      <c r="K143" s="50">
        <f t="shared" si="8"/>
        <v>-130.59736859921915</v>
      </c>
      <c r="L143" s="50">
        <f>VLOOKUP($A143,'Data shares'!$C:$FB,118)</f>
        <v>0.9</v>
      </c>
      <c r="M143" s="50">
        <f>VLOOKUP($A143,'Data shares'!$C:$FB,119)</f>
        <v>0.83</v>
      </c>
      <c r="N143" s="50">
        <f>VLOOKUP($A143,'Data shares'!$C:$FB,121)*100</f>
        <v>8.43</v>
      </c>
      <c r="O143" s="50">
        <f>VLOOKUP($A143,'Data shares'!$C:$FB,124)</f>
        <v>0.51</v>
      </c>
      <c r="P143" s="50">
        <f>VLOOKUP($A143,'Data shares'!$C:$FB,125)</f>
        <v>0.47</v>
      </c>
      <c r="Q143" s="50">
        <f>VLOOKUP($A143,'Data shares'!$C:$FB,127)*100</f>
        <v>8.51</v>
      </c>
    </row>
    <row r="144" spans="1:17" x14ac:dyDescent="0.25">
      <c r="A144" s="97" t="str">
        <f>'Data Vlaue (Cr)'!C139</f>
        <v>NAUKRI</v>
      </c>
      <c r="B144" s="140">
        <f>VLOOKUP($A144,'Data shares'!$C:$FB,7)</f>
        <v>1364.7</v>
      </c>
      <c r="C144" s="140">
        <f>VLOOKUP($A144,'Data shares'!$C:$FB,3)</f>
        <v>1366.7</v>
      </c>
      <c r="D144" s="140">
        <f>VLOOKUP($A144,'Data shares'!$C:$FB,4)</f>
        <v>1376.6</v>
      </c>
      <c r="E144" s="50">
        <f t="shared" si="6"/>
        <v>-0.71916315560074562</v>
      </c>
      <c r="F144" s="49">
        <f>VLOOKUP($A144,'Data shares'!$C:$FB,98)</f>
        <v>12603750</v>
      </c>
      <c r="G144" s="49">
        <f>VLOOKUP($A144,'Data shares'!$C:$FB,99)</f>
        <v>12966000</v>
      </c>
      <c r="H144" s="50">
        <f t="shared" si="7"/>
        <v>-2.7938454419250349</v>
      </c>
      <c r="I144" s="49">
        <f>VLOOKUP($A144,'Data shares'!$C:$FB,66)</f>
        <v>11063625</v>
      </c>
      <c r="J144" s="49">
        <f>VLOOKUP($A144,'Data shares'!$C:$FB,67)</f>
        <v>35147250</v>
      </c>
      <c r="K144" s="50">
        <f t="shared" si="8"/>
        <v>-217.68294749686473</v>
      </c>
      <c r="L144" s="50">
        <f>VLOOKUP($A144,'Data shares'!$C:$FB,118)</f>
        <v>0.63</v>
      </c>
      <c r="M144" s="50">
        <f>VLOOKUP($A144,'Data shares'!$C:$FB,119)</f>
        <v>0.61</v>
      </c>
      <c r="N144" s="50">
        <f>VLOOKUP($A144,'Data shares'!$C:$FB,121)*100</f>
        <v>3.2800000000000002</v>
      </c>
      <c r="O144" s="50">
        <f>VLOOKUP($A144,'Data shares'!$C:$FB,124)</f>
        <v>0.39</v>
      </c>
      <c r="P144" s="50">
        <f>VLOOKUP($A144,'Data shares'!$C:$FB,125)</f>
        <v>0.28000000000000003</v>
      </c>
      <c r="Q144" s="50">
        <f>VLOOKUP($A144,'Data shares'!$C:$FB,127)*100</f>
        <v>39.290000000000006</v>
      </c>
    </row>
    <row r="145" spans="1:17" x14ac:dyDescent="0.25">
      <c r="A145" s="97" t="str">
        <f>'Data Vlaue (Cr)'!C140</f>
        <v>NBCC</v>
      </c>
      <c r="B145" s="140">
        <f>VLOOKUP($A145,'Data shares'!$C:$FB,7)</f>
        <v>111.5</v>
      </c>
      <c r="C145" s="140">
        <f>VLOOKUP($A145,'Data shares'!$C:$FB,3)</f>
        <v>111.67</v>
      </c>
      <c r="D145" s="140">
        <f>VLOOKUP($A145,'Data shares'!$C:$FB,4)</f>
        <v>111.62</v>
      </c>
      <c r="E145" s="50">
        <f t="shared" si="6"/>
        <v>4.4794839634471562E-2</v>
      </c>
      <c r="F145" s="49">
        <f>VLOOKUP($A145,'Data shares'!$C:$FB,98)</f>
        <v>107880500</v>
      </c>
      <c r="G145" s="49">
        <f>VLOOKUP($A145,'Data shares'!$C:$FB,99)</f>
        <v>108056000</v>
      </c>
      <c r="H145" s="50">
        <f t="shared" si="7"/>
        <v>-0.16241578440808468</v>
      </c>
      <c r="I145" s="49">
        <f>VLOOKUP($A145,'Data shares'!$C:$FB,66)</f>
        <v>57323500</v>
      </c>
      <c r="J145" s="49">
        <f>VLOOKUP($A145,'Data shares'!$C:$FB,67)</f>
        <v>66313000</v>
      </c>
      <c r="K145" s="50">
        <f t="shared" si="8"/>
        <v>-15.682050119061117</v>
      </c>
      <c r="L145" s="50">
        <f>VLOOKUP($A145,'Data shares'!$C:$FB,118)</f>
        <v>0.56999999999999995</v>
      </c>
      <c r="M145" s="50">
        <f>VLOOKUP($A145,'Data shares'!$C:$FB,119)</f>
        <v>0.54</v>
      </c>
      <c r="N145" s="50">
        <f>VLOOKUP($A145,'Data shares'!$C:$FB,121)*100</f>
        <v>5.56</v>
      </c>
      <c r="O145" s="50">
        <f>VLOOKUP($A145,'Data shares'!$C:$FB,124)</f>
        <v>0.48</v>
      </c>
      <c r="P145" s="50">
        <f>VLOOKUP($A145,'Data shares'!$C:$FB,125)</f>
        <v>0.43</v>
      </c>
      <c r="Q145" s="50">
        <f>VLOOKUP($A145,'Data shares'!$C:$FB,127)*100</f>
        <v>11.63</v>
      </c>
    </row>
    <row r="146" spans="1:17" x14ac:dyDescent="0.25">
      <c r="A146" s="97" t="str">
        <f>'Data Vlaue (Cr)'!C141</f>
        <v>NCC</v>
      </c>
      <c r="B146" s="140">
        <f>VLOOKUP($A146,'Data shares'!$C:$FB,7)</f>
        <v>213.55</v>
      </c>
      <c r="C146" s="140">
        <f>VLOOKUP($A146,'Data shares'!$C:$FB,3)</f>
        <v>213.92</v>
      </c>
      <c r="D146" s="140">
        <f>VLOOKUP($A146,'Data shares'!$C:$FB,4)</f>
        <v>209.51</v>
      </c>
      <c r="E146" s="50">
        <f t="shared" si="6"/>
        <v>2.1049114600735033</v>
      </c>
      <c r="F146" s="49">
        <f>VLOOKUP($A146,'Data shares'!$C:$FB,98)</f>
        <v>31498200</v>
      </c>
      <c r="G146" s="49">
        <f>VLOOKUP($A146,'Data shares'!$C:$FB,99)</f>
        <v>33420600</v>
      </c>
      <c r="H146" s="50">
        <f t="shared" si="7"/>
        <v>-5.7521408951365327</v>
      </c>
      <c r="I146" s="49">
        <f>VLOOKUP($A146,'Data shares'!$C:$FB,66)</f>
        <v>41733900</v>
      </c>
      <c r="J146" s="49">
        <f>VLOOKUP($A146,'Data shares'!$C:$FB,67)</f>
        <v>22056300</v>
      </c>
      <c r="K146" s="50">
        <f t="shared" si="8"/>
        <v>47.150158504237559</v>
      </c>
      <c r="L146" s="50">
        <f>VLOOKUP($A146,'Data shares'!$C:$FB,118)</f>
        <v>0.59</v>
      </c>
      <c r="M146" s="50">
        <f>VLOOKUP($A146,'Data shares'!$C:$FB,119)</f>
        <v>0.48</v>
      </c>
      <c r="N146" s="50">
        <f>VLOOKUP($A146,'Data shares'!$C:$FB,121)*100</f>
        <v>22.919999999999998</v>
      </c>
      <c r="O146" s="50">
        <f>VLOOKUP($A146,'Data shares'!$C:$FB,124)</f>
        <v>0.33</v>
      </c>
      <c r="P146" s="50">
        <f>VLOOKUP($A146,'Data shares'!$C:$FB,125)</f>
        <v>0.48</v>
      </c>
      <c r="Q146" s="50">
        <f>VLOOKUP($A146,'Data shares'!$C:$FB,127)*100</f>
        <v>-31.25</v>
      </c>
    </row>
    <row r="147" spans="1:17" x14ac:dyDescent="0.25">
      <c r="A147" s="97" t="str">
        <f>'Data Vlaue (Cr)'!C142</f>
        <v>NESTLEIND</v>
      </c>
      <c r="B147" s="140">
        <f>VLOOKUP($A147,'Data shares'!$C:$FB,7)</f>
        <v>1283</v>
      </c>
      <c r="C147" s="140">
        <f>VLOOKUP($A147,'Data shares'!$C:$FB,3)</f>
        <v>1284.5999999999999</v>
      </c>
      <c r="D147" s="140">
        <f>VLOOKUP($A147,'Data shares'!$C:$FB,4)</f>
        <v>1282.7</v>
      </c>
      <c r="E147" s="50">
        <f t="shared" si="6"/>
        <v>0.14812504872533433</v>
      </c>
      <c r="F147" s="49">
        <f>VLOOKUP($A147,'Data shares'!$C:$FB,98)</f>
        <v>34714500</v>
      </c>
      <c r="G147" s="49">
        <f>VLOOKUP($A147,'Data shares'!$C:$FB,99)</f>
        <v>35551000</v>
      </c>
      <c r="H147" s="50">
        <f t="shared" si="7"/>
        <v>-2.3529577227082221</v>
      </c>
      <c r="I147" s="49">
        <f>VLOOKUP($A147,'Data shares'!$C:$FB,66)</f>
        <v>27215500</v>
      </c>
      <c r="J147" s="49">
        <f>VLOOKUP($A147,'Data shares'!$C:$FB,67)</f>
        <v>33563000</v>
      </c>
      <c r="K147" s="50">
        <f t="shared" si="8"/>
        <v>-23.323106318090794</v>
      </c>
      <c r="L147" s="50">
        <f>VLOOKUP($A147,'Data shares'!$C:$FB,118)</f>
        <v>0.84</v>
      </c>
      <c r="M147" s="50">
        <f>VLOOKUP($A147,'Data shares'!$C:$FB,119)</f>
        <v>0.97</v>
      </c>
      <c r="N147" s="50">
        <f>VLOOKUP($A147,'Data shares'!$C:$FB,121)*100</f>
        <v>-13.4</v>
      </c>
      <c r="O147" s="50">
        <f>VLOOKUP($A147,'Data shares'!$C:$FB,124)</f>
        <v>0.67</v>
      </c>
      <c r="P147" s="50">
        <f>VLOOKUP($A147,'Data shares'!$C:$FB,125)</f>
        <v>0.84</v>
      </c>
      <c r="Q147" s="50">
        <f>VLOOKUP($A147,'Data shares'!$C:$FB,127)*100</f>
        <v>-20.239999999999998</v>
      </c>
    </row>
    <row r="148" spans="1:17" x14ac:dyDescent="0.25">
      <c r="A148" s="97" t="str">
        <f>'Data Vlaue (Cr)'!C143</f>
        <v>NHPC</v>
      </c>
      <c r="B148" s="140">
        <f>VLOOKUP($A148,'Data shares'!$C:$FB,7)</f>
        <v>85.02</v>
      </c>
      <c r="C148" s="140">
        <f>VLOOKUP($A148,'Data shares'!$C:$FB,3)</f>
        <v>85.1</v>
      </c>
      <c r="D148" s="140">
        <f>VLOOKUP($A148,'Data shares'!$C:$FB,4)</f>
        <v>84.89</v>
      </c>
      <c r="E148" s="50">
        <f t="shared" si="6"/>
        <v>0.24737896100835641</v>
      </c>
      <c r="F148" s="49">
        <f>VLOOKUP($A148,'Data shares'!$C:$FB,98)</f>
        <v>93964800</v>
      </c>
      <c r="G148" s="49">
        <f>VLOOKUP($A148,'Data shares'!$C:$FB,99)</f>
        <v>93913600</v>
      </c>
      <c r="H148" s="50">
        <f t="shared" si="7"/>
        <v>5.4518195447730684E-2</v>
      </c>
      <c r="I148" s="49">
        <f>VLOOKUP($A148,'Data shares'!$C:$FB,66)</f>
        <v>48243200</v>
      </c>
      <c r="J148" s="49">
        <f>VLOOKUP($A148,'Data shares'!$C:$FB,67)</f>
        <v>85971200</v>
      </c>
      <c r="K148" s="50">
        <f t="shared" si="8"/>
        <v>-78.203767577606797</v>
      </c>
      <c r="L148" s="50">
        <f>VLOOKUP($A148,'Data shares'!$C:$FB,118)</f>
        <v>0.41</v>
      </c>
      <c r="M148" s="50">
        <f>VLOOKUP($A148,'Data shares'!$C:$FB,119)</f>
        <v>0.41</v>
      </c>
      <c r="N148" s="50">
        <f>VLOOKUP($A148,'Data shares'!$C:$FB,121)*100</f>
        <v>0</v>
      </c>
      <c r="O148" s="50">
        <f>VLOOKUP($A148,'Data shares'!$C:$FB,124)</f>
        <v>0.37</v>
      </c>
      <c r="P148" s="50">
        <f>VLOOKUP($A148,'Data shares'!$C:$FB,125)</f>
        <v>0.5</v>
      </c>
      <c r="Q148" s="50">
        <f>VLOOKUP($A148,'Data shares'!$C:$FB,127)*100</f>
        <v>-26</v>
      </c>
    </row>
    <row r="149" spans="1:17" x14ac:dyDescent="0.25">
      <c r="A149" s="97" t="str">
        <f>'Data Vlaue (Cr)'!C144</f>
        <v>NIFTY</v>
      </c>
      <c r="B149" s="140">
        <f>VLOOKUP($A149,'Data shares'!$C:$FB,7)</f>
        <v>25966.05</v>
      </c>
      <c r="C149" s="140">
        <f>VLOOKUP($A149,'Data shares'!$C:$FB,3)</f>
        <v>26013.5</v>
      </c>
      <c r="D149" s="140">
        <f>VLOOKUP($A149,'Data shares'!$C:$FB,4)</f>
        <v>25814.799999999999</v>
      </c>
      <c r="E149" s="50">
        <f t="shared" si="6"/>
        <v>0.76971349768350217</v>
      </c>
      <c r="F149" s="49">
        <f>VLOOKUP($A149,'Data shares'!$C:$FB,98)</f>
        <v>624042625</v>
      </c>
      <c r="G149" s="49">
        <f>VLOOKUP($A149,'Data shares'!$C:$FB,99)</f>
        <v>598496825</v>
      </c>
      <c r="H149" s="50">
        <f t="shared" si="7"/>
        <v>4.2683267367374924</v>
      </c>
      <c r="I149" s="49">
        <f>VLOOKUP($A149,'Data shares'!$C:$FB,66)</f>
        <v>9833357025</v>
      </c>
      <c r="J149" s="49">
        <f>VLOOKUP($A149,'Data shares'!$C:$FB,67)</f>
        <v>9111358500</v>
      </c>
      <c r="K149" s="50">
        <f t="shared" si="8"/>
        <v>7.3423401912939292</v>
      </c>
      <c r="L149" s="50">
        <f>VLOOKUP($A149,'Data shares'!$C:$FB,118)</f>
        <v>1.07</v>
      </c>
      <c r="M149" s="50">
        <f>VLOOKUP($A149,'Data shares'!$C:$FB,119)</f>
        <v>0.76</v>
      </c>
      <c r="N149" s="50">
        <f>VLOOKUP($A149,'Data shares'!$C:$FB,121)*100</f>
        <v>40.79</v>
      </c>
      <c r="O149" s="50">
        <f>VLOOKUP($A149,'Data shares'!$C:$FB,124)</f>
        <v>0.96</v>
      </c>
      <c r="P149" s="50">
        <f>VLOOKUP($A149,'Data shares'!$C:$FB,125)</f>
        <v>1.08</v>
      </c>
      <c r="Q149" s="50">
        <f>VLOOKUP($A149,'Data shares'!$C:$FB,127)*100</f>
        <v>-11.110000000000001</v>
      </c>
    </row>
    <row r="150" spans="1:17" x14ac:dyDescent="0.25">
      <c r="A150" s="97" t="str">
        <f>'Data Vlaue (Cr)'!C145</f>
        <v>NIFTYNXT50</v>
      </c>
      <c r="B150" s="140">
        <f>VLOOKUP($A150,'Data shares'!$C:$FB,7)</f>
        <v>69612.2</v>
      </c>
      <c r="C150" s="140">
        <f>VLOOKUP($A150,'Data shares'!$C:$FB,3)</f>
        <v>69571</v>
      </c>
      <c r="D150" s="140">
        <f>VLOOKUP($A150,'Data shares'!$C:$FB,4)</f>
        <v>69273.2</v>
      </c>
      <c r="E150" s="50">
        <f t="shared" si="6"/>
        <v>0.42989207947662722</v>
      </c>
      <c r="F150" s="49">
        <f>VLOOKUP($A150,'Data shares'!$C:$FB,98)</f>
        <v>63025</v>
      </c>
      <c r="G150" s="49">
        <f>VLOOKUP($A150,'Data shares'!$C:$FB,99)</f>
        <v>48775</v>
      </c>
      <c r="H150" s="50">
        <f t="shared" si="7"/>
        <v>29.215786776012305</v>
      </c>
      <c r="I150" s="49">
        <f>VLOOKUP($A150,'Data shares'!$C:$FB,66)</f>
        <v>80000</v>
      </c>
      <c r="J150" s="49">
        <f>VLOOKUP($A150,'Data shares'!$C:$FB,67)</f>
        <v>55950</v>
      </c>
      <c r="K150" s="50">
        <f t="shared" si="8"/>
        <v>30.062499999999996</v>
      </c>
      <c r="L150" s="50">
        <f>VLOOKUP($A150,'Data shares'!$C:$FB,118)</f>
        <v>1.64</v>
      </c>
      <c r="M150" s="50">
        <f>VLOOKUP($A150,'Data shares'!$C:$FB,119)</f>
        <v>1.42</v>
      </c>
      <c r="N150" s="50">
        <f>VLOOKUP($A150,'Data shares'!$C:$FB,121)*100</f>
        <v>15.49</v>
      </c>
      <c r="O150" s="50">
        <f>VLOOKUP($A150,'Data shares'!$C:$FB,124)</f>
        <v>0.67</v>
      </c>
      <c r="P150" s="50">
        <f>VLOOKUP($A150,'Data shares'!$C:$FB,125)</f>
        <v>0.9</v>
      </c>
      <c r="Q150" s="50">
        <f>VLOOKUP($A150,'Data shares'!$C:$FB,127)*100</f>
        <v>-25.56</v>
      </c>
    </row>
    <row r="151" spans="1:17" x14ac:dyDescent="0.25">
      <c r="A151" s="97" t="str">
        <f>'Data Vlaue (Cr)'!C146</f>
        <v>NMDC</v>
      </c>
      <c r="B151" s="140">
        <f>VLOOKUP($A151,'Data shares'!$C:$FB,7)</f>
        <v>74.37</v>
      </c>
      <c r="C151" s="140">
        <f>VLOOKUP($A151,'Data shares'!$C:$FB,3)</f>
        <v>74.430000000000007</v>
      </c>
      <c r="D151" s="140">
        <f>VLOOKUP($A151,'Data shares'!$C:$FB,4)</f>
        <v>74.28</v>
      </c>
      <c r="E151" s="50">
        <f t="shared" si="6"/>
        <v>0.20193861066236629</v>
      </c>
      <c r="F151" s="49">
        <f>VLOOKUP($A151,'Data shares'!$C:$FB,98)</f>
        <v>566298000</v>
      </c>
      <c r="G151" s="49">
        <f>VLOOKUP($A151,'Data shares'!$C:$FB,99)</f>
        <v>558873000</v>
      </c>
      <c r="H151" s="50">
        <f t="shared" si="7"/>
        <v>1.3285665974201653</v>
      </c>
      <c r="I151" s="49">
        <f>VLOOKUP($A151,'Data shares'!$C:$FB,66)</f>
        <v>336298500</v>
      </c>
      <c r="J151" s="49">
        <f>VLOOKUP($A151,'Data shares'!$C:$FB,67)</f>
        <v>286848000</v>
      </c>
      <c r="K151" s="50">
        <f t="shared" si="8"/>
        <v>14.704347477018183</v>
      </c>
      <c r="L151" s="50">
        <f>VLOOKUP($A151,'Data shares'!$C:$FB,118)</f>
        <v>0.63</v>
      </c>
      <c r="M151" s="50">
        <f>VLOOKUP($A151,'Data shares'!$C:$FB,119)</f>
        <v>0.6</v>
      </c>
      <c r="N151" s="50">
        <f>VLOOKUP($A151,'Data shares'!$C:$FB,121)*100</f>
        <v>5</v>
      </c>
      <c r="O151" s="50">
        <f>VLOOKUP($A151,'Data shares'!$C:$FB,124)</f>
        <v>0.74</v>
      </c>
      <c r="P151" s="50">
        <f>VLOOKUP($A151,'Data shares'!$C:$FB,125)</f>
        <v>0.52</v>
      </c>
      <c r="Q151" s="50">
        <f>VLOOKUP($A151,'Data shares'!$C:$FB,127)*100</f>
        <v>42.309999999999995</v>
      </c>
    </row>
    <row r="152" spans="1:17" x14ac:dyDescent="0.25">
      <c r="A152" s="97" t="str">
        <f>'Data Vlaue (Cr)'!C147</f>
        <v>NTPC</v>
      </c>
      <c r="B152" s="140">
        <f>VLOOKUP($A152,'Data shares'!$C:$FB,7)</f>
        <v>341.75</v>
      </c>
      <c r="C152" s="140">
        <f>VLOOKUP($A152,'Data shares'!$C:$FB,3)</f>
        <v>341.75</v>
      </c>
      <c r="D152" s="140">
        <f>VLOOKUP($A152,'Data shares'!$C:$FB,4)</f>
        <v>340.05</v>
      </c>
      <c r="E152" s="50">
        <f t="shared" si="6"/>
        <v>0.49992648139979079</v>
      </c>
      <c r="F152" s="49">
        <f>VLOOKUP($A152,'Data shares'!$C:$FB,98)</f>
        <v>172006500</v>
      </c>
      <c r="G152" s="49">
        <f>VLOOKUP($A152,'Data shares'!$C:$FB,99)</f>
        <v>170431500</v>
      </c>
      <c r="H152" s="50">
        <f t="shared" si="7"/>
        <v>0.92412494169211679</v>
      </c>
      <c r="I152" s="49">
        <f>VLOOKUP($A152,'Data shares'!$C:$FB,66)</f>
        <v>131401500</v>
      </c>
      <c r="J152" s="49">
        <f>VLOOKUP($A152,'Data shares'!$C:$FB,67)</f>
        <v>133375500</v>
      </c>
      <c r="K152" s="50">
        <f t="shared" si="8"/>
        <v>-1.5022659558680838</v>
      </c>
      <c r="L152" s="50">
        <f>VLOOKUP($A152,'Data shares'!$C:$FB,118)</f>
        <v>0.44</v>
      </c>
      <c r="M152" s="50">
        <f>VLOOKUP($A152,'Data shares'!$C:$FB,119)</f>
        <v>0.39</v>
      </c>
      <c r="N152" s="50">
        <f>VLOOKUP($A152,'Data shares'!$C:$FB,121)*100</f>
        <v>12.82</v>
      </c>
      <c r="O152" s="50">
        <f>VLOOKUP($A152,'Data shares'!$C:$FB,124)</f>
        <v>0.61</v>
      </c>
      <c r="P152" s="50">
        <f>VLOOKUP($A152,'Data shares'!$C:$FB,125)</f>
        <v>0.51</v>
      </c>
      <c r="Q152" s="50">
        <f>VLOOKUP($A152,'Data shares'!$C:$FB,127)*100</f>
        <v>19.61</v>
      </c>
    </row>
    <row r="153" spans="1:17" x14ac:dyDescent="0.25">
      <c r="A153" s="97" t="str">
        <f>'Data Vlaue (Cr)'!C148</f>
        <v>NUVAMA</v>
      </c>
      <c r="B153" s="140">
        <f>VLOOKUP($A153,'Data shares'!$C:$FB,7)</f>
        <v>7420.5</v>
      </c>
      <c r="C153" s="140">
        <f>VLOOKUP($A153,'Data shares'!$C:$FB,3)</f>
        <v>7417</v>
      </c>
      <c r="D153" s="140">
        <f>VLOOKUP($A153,'Data shares'!$C:$FB,4)</f>
        <v>7188</v>
      </c>
      <c r="E153" s="50">
        <f t="shared" si="6"/>
        <v>3.1858653311074017</v>
      </c>
      <c r="F153" s="49">
        <f>VLOOKUP($A153,'Data shares'!$C:$FB,98)</f>
        <v>1108800</v>
      </c>
      <c r="G153" s="49">
        <f>VLOOKUP($A153,'Data shares'!$C:$FB,99)</f>
        <v>1165425</v>
      </c>
      <c r="H153" s="50">
        <f t="shared" si="7"/>
        <v>-4.8587425188236049</v>
      </c>
      <c r="I153" s="49">
        <f>VLOOKUP($A153,'Data shares'!$C:$FB,66)</f>
        <v>3753450</v>
      </c>
      <c r="J153" s="49">
        <f>VLOOKUP($A153,'Data shares'!$C:$FB,67)</f>
        <v>2599275</v>
      </c>
      <c r="K153" s="50">
        <f t="shared" si="8"/>
        <v>30.749710266554768</v>
      </c>
      <c r="L153" s="50">
        <f>VLOOKUP($A153,'Data shares'!$C:$FB,118)</f>
        <v>0.76</v>
      </c>
      <c r="M153" s="50">
        <f>VLOOKUP($A153,'Data shares'!$C:$FB,119)</f>
        <v>0.7</v>
      </c>
      <c r="N153" s="50">
        <f>VLOOKUP($A153,'Data shares'!$C:$FB,121)*100</f>
        <v>8.57</v>
      </c>
      <c r="O153" s="50">
        <f>VLOOKUP($A153,'Data shares'!$C:$FB,124)</f>
        <v>0.46</v>
      </c>
      <c r="P153" s="50">
        <f>VLOOKUP($A153,'Data shares'!$C:$FB,125)</f>
        <v>0.33</v>
      </c>
      <c r="Q153" s="50">
        <f>VLOOKUP($A153,'Data shares'!$C:$FB,127)*100</f>
        <v>39.39</v>
      </c>
    </row>
    <row r="154" spans="1:17" x14ac:dyDescent="0.25">
      <c r="A154" s="97" t="str">
        <f>'Data Vlaue (Cr)'!C149</f>
        <v>NYKAA</v>
      </c>
      <c r="B154" s="140">
        <f>VLOOKUP($A154,'Data shares'!$C:$FB,7)</f>
        <v>255.14</v>
      </c>
      <c r="C154" s="140">
        <f>VLOOKUP($A154,'Data shares'!$C:$FB,3)</f>
        <v>255.8</v>
      </c>
      <c r="D154" s="140">
        <f>VLOOKUP($A154,'Data shares'!$C:$FB,4)</f>
        <v>251.32</v>
      </c>
      <c r="E154" s="50">
        <f t="shared" si="6"/>
        <v>1.7825879356995138</v>
      </c>
      <c r="F154" s="49">
        <f>VLOOKUP($A154,'Data shares'!$C:$FB,98)</f>
        <v>90043750</v>
      </c>
      <c r="G154" s="49">
        <f>VLOOKUP($A154,'Data shares'!$C:$FB,99)</f>
        <v>94671875</v>
      </c>
      <c r="H154" s="50">
        <f t="shared" si="7"/>
        <v>-4.8885954778016174</v>
      </c>
      <c r="I154" s="49">
        <f>VLOOKUP($A154,'Data shares'!$C:$FB,66)</f>
        <v>78521875</v>
      </c>
      <c r="J154" s="49">
        <f>VLOOKUP($A154,'Data shares'!$C:$FB,67)</f>
        <v>82984375</v>
      </c>
      <c r="K154" s="50">
        <f t="shared" si="8"/>
        <v>-5.6831297011183191</v>
      </c>
      <c r="L154" s="50">
        <f>VLOOKUP($A154,'Data shares'!$C:$FB,118)</f>
        <v>0.78</v>
      </c>
      <c r="M154" s="50">
        <f>VLOOKUP($A154,'Data shares'!$C:$FB,119)</f>
        <v>0.74</v>
      </c>
      <c r="N154" s="50">
        <f>VLOOKUP($A154,'Data shares'!$C:$FB,121)*100</f>
        <v>5.41</v>
      </c>
      <c r="O154" s="50">
        <f>VLOOKUP($A154,'Data shares'!$C:$FB,124)</f>
        <v>0.76</v>
      </c>
      <c r="P154" s="50">
        <f>VLOOKUP($A154,'Data shares'!$C:$FB,125)</f>
        <v>0.96</v>
      </c>
      <c r="Q154" s="50">
        <f>VLOOKUP($A154,'Data shares'!$C:$FB,127)*100</f>
        <v>-20.830000000000002</v>
      </c>
    </row>
    <row r="155" spans="1:17" x14ac:dyDescent="0.25">
      <c r="A155" s="97" t="str">
        <f>'Data Vlaue (Cr)'!C150</f>
        <v>OBEROIRLTY</v>
      </c>
      <c r="B155" s="140">
        <f>VLOOKUP($A155,'Data shares'!$C:$FB,7)</f>
        <v>1736</v>
      </c>
      <c r="C155" s="140">
        <f>VLOOKUP($A155,'Data shares'!$C:$FB,3)</f>
        <v>1733.6</v>
      </c>
      <c r="D155" s="140">
        <f>VLOOKUP($A155,'Data shares'!$C:$FB,4)</f>
        <v>1699.1</v>
      </c>
      <c r="E155" s="50">
        <f t="shared" si="6"/>
        <v>2.0304867282679067</v>
      </c>
      <c r="F155" s="49">
        <f>VLOOKUP($A155,'Data shares'!$C:$FB,98)</f>
        <v>8438150</v>
      </c>
      <c r="G155" s="49">
        <f>VLOOKUP($A155,'Data shares'!$C:$FB,99)</f>
        <v>8649200</v>
      </c>
      <c r="H155" s="50">
        <f t="shared" si="7"/>
        <v>-2.440110067983166</v>
      </c>
      <c r="I155" s="49">
        <f>VLOOKUP($A155,'Data shares'!$C:$FB,66)</f>
        <v>15643950</v>
      </c>
      <c r="J155" s="49">
        <f>VLOOKUP($A155,'Data shares'!$C:$FB,67)</f>
        <v>9430400</v>
      </c>
      <c r="K155" s="50">
        <f t="shared" si="8"/>
        <v>39.718549343356379</v>
      </c>
      <c r="L155" s="50">
        <f>VLOOKUP($A155,'Data shares'!$C:$FB,118)</f>
        <v>0.7</v>
      </c>
      <c r="M155" s="50">
        <f>VLOOKUP($A155,'Data shares'!$C:$FB,119)</f>
        <v>0.65</v>
      </c>
      <c r="N155" s="50">
        <f>VLOOKUP($A155,'Data shares'!$C:$FB,121)*100</f>
        <v>7.6899999999999995</v>
      </c>
      <c r="O155" s="50">
        <f>VLOOKUP($A155,'Data shares'!$C:$FB,124)</f>
        <v>0.33</v>
      </c>
      <c r="P155" s="50">
        <f>VLOOKUP($A155,'Data shares'!$C:$FB,125)</f>
        <v>0.35</v>
      </c>
      <c r="Q155" s="50">
        <f>VLOOKUP($A155,'Data shares'!$C:$FB,127)*100</f>
        <v>-5.71</v>
      </c>
    </row>
    <row r="156" spans="1:17" x14ac:dyDescent="0.25">
      <c r="A156" s="97" t="str">
        <f>'Data Vlaue (Cr)'!C151</f>
        <v>OFSS</v>
      </c>
      <c r="B156" s="140">
        <f>VLOOKUP($A156,'Data shares'!$C:$FB,7)</f>
        <v>8695.5</v>
      </c>
      <c r="C156" s="140">
        <f>VLOOKUP($A156,'Data shares'!$C:$FB,3)</f>
        <v>8721</v>
      </c>
      <c r="D156" s="140">
        <f>VLOOKUP($A156,'Data shares'!$C:$FB,4)</f>
        <v>8564.5</v>
      </c>
      <c r="E156" s="50">
        <f t="shared" si="6"/>
        <v>1.8273104092474752</v>
      </c>
      <c r="F156" s="49">
        <f>VLOOKUP($A156,'Data shares'!$C:$FB,98)</f>
        <v>2650650</v>
      </c>
      <c r="G156" s="49">
        <f>VLOOKUP($A156,'Data shares'!$C:$FB,99)</f>
        <v>3006300</v>
      </c>
      <c r="H156" s="50">
        <f t="shared" si="7"/>
        <v>-11.830156670990918</v>
      </c>
      <c r="I156" s="49">
        <f>VLOOKUP($A156,'Data shares'!$C:$FB,66)</f>
        <v>3850200</v>
      </c>
      <c r="J156" s="49">
        <f>VLOOKUP($A156,'Data shares'!$C:$FB,67)</f>
        <v>2938875</v>
      </c>
      <c r="K156" s="50">
        <f t="shared" si="8"/>
        <v>23.669549633785259</v>
      </c>
      <c r="L156" s="50">
        <f>VLOOKUP($A156,'Data shares'!$C:$FB,118)</f>
        <v>0.53</v>
      </c>
      <c r="M156" s="50">
        <f>VLOOKUP($A156,'Data shares'!$C:$FB,119)</f>
        <v>0.48</v>
      </c>
      <c r="N156" s="50">
        <f>VLOOKUP($A156,'Data shares'!$C:$FB,121)*100</f>
        <v>10.42</v>
      </c>
      <c r="O156" s="50">
        <f>VLOOKUP($A156,'Data shares'!$C:$FB,124)</f>
        <v>0.36</v>
      </c>
      <c r="P156" s="50">
        <f>VLOOKUP($A156,'Data shares'!$C:$FB,125)</f>
        <v>0.43</v>
      </c>
      <c r="Q156" s="50">
        <f>VLOOKUP($A156,'Data shares'!$C:$FB,127)*100</f>
        <v>-16.28</v>
      </c>
    </row>
    <row r="157" spans="1:17" x14ac:dyDescent="0.25">
      <c r="A157" s="97" t="str">
        <f>'Data Vlaue (Cr)'!C152</f>
        <v>OIL</v>
      </c>
      <c r="B157" s="140">
        <f>VLOOKUP($A157,'Data shares'!$C:$FB,7)</f>
        <v>422.35</v>
      </c>
      <c r="C157" s="140">
        <f>VLOOKUP($A157,'Data shares'!$C:$FB,3)</f>
        <v>422.5</v>
      </c>
      <c r="D157" s="140">
        <f>VLOOKUP($A157,'Data shares'!$C:$FB,4)</f>
        <v>420.7</v>
      </c>
      <c r="E157" s="50">
        <f t="shared" si="6"/>
        <v>0.42785833135251039</v>
      </c>
      <c r="F157" s="49">
        <f>VLOOKUP($A157,'Data shares'!$C:$FB,98)</f>
        <v>19383000</v>
      </c>
      <c r="G157" s="49">
        <f>VLOOKUP($A157,'Data shares'!$C:$FB,99)</f>
        <v>21086800</v>
      </c>
      <c r="H157" s="50">
        <f t="shared" si="7"/>
        <v>-8.0799362634444307</v>
      </c>
      <c r="I157" s="49">
        <f>VLOOKUP($A157,'Data shares'!$C:$FB,66)</f>
        <v>18734800</v>
      </c>
      <c r="J157" s="49">
        <f>VLOOKUP($A157,'Data shares'!$C:$FB,67)</f>
        <v>31981600</v>
      </c>
      <c r="K157" s="50">
        <f t="shared" si="8"/>
        <v>-70.706919742938283</v>
      </c>
      <c r="L157" s="50">
        <f>VLOOKUP($A157,'Data shares'!$C:$FB,118)</f>
        <v>0.65</v>
      </c>
      <c r="M157" s="50">
        <f>VLOOKUP($A157,'Data shares'!$C:$FB,119)</f>
        <v>0.51</v>
      </c>
      <c r="N157" s="50">
        <f>VLOOKUP($A157,'Data shares'!$C:$FB,121)*100</f>
        <v>27.450000000000003</v>
      </c>
      <c r="O157" s="50">
        <f>VLOOKUP($A157,'Data shares'!$C:$FB,124)</f>
        <v>0.3</v>
      </c>
      <c r="P157" s="50">
        <f>VLOOKUP($A157,'Data shares'!$C:$FB,125)</f>
        <v>0.25</v>
      </c>
      <c r="Q157" s="50">
        <f>VLOOKUP($A157,'Data shares'!$C:$FB,127)*100</f>
        <v>20</v>
      </c>
    </row>
    <row r="158" spans="1:17" x14ac:dyDescent="0.25">
      <c r="A158" s="97" t="str">
        <f>'Data Vlaue (Cr)'!C153</f>
        <v>ONGC</v>
      </c>
      <c r="B158" s="140">
        <f>VLOOKUP($A158,'Data shares'!$C:$FB,7)</f>
        <v>253.27</v>
      </c>
      <c r="C158" s="140">
        <f>VLOOKUP($A158,'Data shares'!$C:$FB,3)</f>
        <v>252.92</v>
      </c>
      <c r="D158" s="140">
        <f>VLOOKUP($A158,'Data shares'!$C:$FB,4)</f>
        <v>254.55</v>
      </c>
      <c r="E158" s="50">
        <f t="shared" si="6"/>
        <v>-0.64034570811236446</v>
      </c>
      <c r="F158" s="49">
        <f>VLOOKUP($A158,'Data shares'!$C:$FB,98)</f>
        <v>214229250</v>
      </c>
      <c r="G158" s="49">
        <f>VLOOKUP($A158,'Data shares'!$C:$FB,99)</f>
        <v>219127500</v>
      </c>
      <c r="H158" s="50">
        <f t="shared" si="7"/>
        <v>-2.2353424376219322</v>
      </c>
      <c r="I158" s="49">
        <f>VLOOKUP($A158,'Data shares'!$C:$FB,66)</f>
        <v>174303000</v>
      </c>
      <c r="J158" s="49">
        <f>VLOOKUP($A158,'Data shares'!$C:$FB,67)</f>
        <v>246939750</v>
      </c>
      <c r="K158" s="50">
        <f t="shared" si="8"/>
        <v>-41.672690659369025</v>
      </c>
      <c r="L158" s="50">
        <f>VLOOKUP($A158,'Data shares'!$C:$FB,118)</f>
        <v>0.69</v>
      </c>
      <c r="M158" s="50">
        <f>VLOOKUP($A158,'Data shares'!$C:$FB,119)</f>
        <v>0.67</v>
      </c>
      <c r="N158" s="50">
        <f>VLOOKUP($A158,'Data shares'!$C:$FB,121)*100</f>
        <v>2.9899999999999998</v>
      </c>
      <c r="O158" s="50">
        <f>VLOOKUP($A158,'Data shares'!$C:$FB,124)</f>
        <v>0.56999999999999995</v>
      </c>
      <c r="P158" s="50">
        <f>VLOOKUP($A158,'Data shares'!$C:$FB,125)</f>
        <v>0.5</v>
      </c>
      <c r="Q158" s="50">
        <f>VLOOKUP($A158,'Data shares'!$C:$FB,127)*100</f>
        <v>14.000000000000002</v>
      </c>
    </row>
    <row r="159" spans="1:17" x14ac:dyDescent="0.25">
      <c r="A159" s="97" t="str">
        <f>'Data Vlaue (Cr)'!C154</f>
        <v>PAGEIND</v>
      </c>
      <c r="B159" s="140">
        <f>VLOOKUP($A159,'Data shares'!$C:$FB,7)</f>
        <v>40985</v>
      </c>
      <c r="C159" s="140">
        <f>VLOOKUP($A159,'Data shares'!$C:$FB,3)</f>
        <v>41105</v>
      </c>
      <c r="D159" s="140">
        <f>VLOOKUP($A159,'Data shares'!$C:$FB,4)</f>
        <v>41160</v>
      </c>
      <c r="E159" s="50">
        <f t="shared" si="6"/>
        <v>-0.13362487852283772</v>
      </c>
      <c r="F159" s="49">
        <f>VLOOKUP($A159,'Data shares'!$C:$FB,98)</f>
        <v>357885</v>
      </c>
      <c r="G159" s="49">
        <f>VLOOKUP($A159,'Data shares'!$C:$FB,99)</f>
        <v>383160</v>
      </c>
      <c r="H159" s="50">
        <f t="shared" si="7"/>
        <v>-6.5964610084559974</v>
      </c>
      <c r="I159" s="49">
        <f>VLOOKUP($A159,'Data shares'!$C:$FB,66)</f>
        <v>422865</v>
      </c>
      <c r="J159" s="49">
        <f>VLOOKUP($A159,'Data shares'!$C:$FB,67)</f>
        <v>473700</v>
      </c>
      <c r="K159" s="50">
        <f t="shared" si="8"/>
        <v>-12.021567166826292</v>
      </c>
      <c r="L159" s="50">
        <f>VLOOKUP($A159,'Data shares'!$C:$FB,118)</f>
        <v>0.46</v>
      </c>
      <c r="M159" s="50">
        <f>VLOOKUP($A159,'Data shares'!$C:$FB,119)</f>
        <v>0.4</v>
      </c>
      <c r="N159" s="50">
        <f>VLOOKUP($A159,'Data shares'!$C:$FB,121)*100</f>
        <v>15</v>
      </c>
      <c r="O159" s="50">
        <f>VLOOKUP($A159,'Data shares'!$C:$FB,124)</f>
        <v>0.75</v>
      </c>
      <c r="P159" s="50">
        <f>VLOOKUP($A159,'Data shares'!$C:$FB,125)</f>
        <v>0.73</v>
      </c>
      <c r="Q159" s="50">
        <f>VLOOKUP($A159,'Data shares'!$C:$FB,127)*100</f>
        <v>2.74</v>
      </c>
    </row>
    <row r="160" spans="1:17" x14ac:dyDescent="0.25">
      <c r="A160" s="97" t="str">
        <f>'Data Vlaue (Cr)'!C155</f>
        <v>PATANJALI</v>
      </c>
      <c r="B160" s="140">
        <f>VLOOKUP($A160,'Data shares'!$C:$FB,7)</f>
        <v>590.5</v>
      </c>
      <c r="C160" s="140">
        <f>VLOOKUP($A160,'Data shares'!$C:$FB,3)</f>
        <v>591</v>
      </c>
      <c r="D160" s="140">
        <f>VLOOKUP($A160,'Data shares'!$C:$FB,4)</f>
        <v>581.54999999999995</v>
      </c>
      <c r="E160" s="50">
        <f t="shared" si="6"/>
        <v>1.6249677585762266</v>
      </c>
      <c r="F160" s="49">
        <f>VLOOKUP($A160,'Data shares'!$C:$FB,98)</f>
        <v>41664600</v>
      </c>
      <c r="G160" s="49">
        <f>VLOOKUP($A160,'Data shares'!$C:$FB,99)</f>
        <v>42201000</v>
      </c>
      <c r="H160" s="50">
        <f t="shared" si="7"/>
        <v>-1.27105992748987</v>
      </c>
      <c r="I160" s="49">
        <f>VLOOKUP($A160,'Data shares'!$C:$FB,66)</f>
        <v>36004500</v>
      </c>
      <c r="J160" s="49">
        <f>VLOOKUP($A160,'Data shares'!$C:$FB,67)</f>
        <v>23911200</v>
      </c>
      <c r="K160" s="50">
        <f t="shared" si="8"/>
        <v>33.588301462317212</v>
      </c>
      <c r="L160" s="50">
        <f>VLOOKUP($A160,'Data shares'!$C:$FB,118)</f>
        <v>0.56999999999999995</v>
      </c>
      <c r="M160" s="50">
        <f>VLOOKUP($A160,'Data shares'!$C:$FB,119)</f>
        <v>0.49</v>
      </c>
      <c r="N160" s="50">
        <f>VLOOKUP($A160,'Data shares'!$C:$FB,121)*100</f>
        <v>16.329999999999998</v>
      </c>
      <c r="O160" s="50">
        <f>VLOOKUP($A160,'Data shares'!$C:$FB,124)</f>
        <v>0.56999999999999995</v>
      </c>
      <c r="P160" s="50">
        <f>VLOOKUP($A160,'Data shares'!$C:$FB,125)</f>
        <v>0.45</v>
      </c>
      <c r="Q160" s="50">
        <f>VLOOKUP($A160,'Data shares'!$C:$FB,127)*100</f>
        <v>26.669999999999998</v>
      </c>
    </row>
    <row r="161" spans="1:17" x14ac:dyDescent="0.25">
      <c r="A161" s="97" t="str">
        <f>'Data Vlaue (Cr)'!C156</f>
        <v>PAYTM</v>
      </c>
      <c r="B161" s="140">
        <f>VLOOKUP($A161,'Data shares'!$C:$FB,7)</f>
        <v>1306.2</v>
      </c>
      <c r="C161" s="140">
        <f>VLOOKUP($A161,'Data shares'!$C:$FB,3)</f>
        <v>1304.0999999999999</v>
      </c>
      <c r="D161" s="140">
        <f>VLOOKUP($A161,'Data shares'!$C:$FB,4)</f>
        <v>1287.7</v>
      </c>
      <c r="E161" s="50">
        <f t="shared" si="6"/>
        <v>1.2735885687660062</v>
      </c>
      <c r="F161" s="49">
        <f>VLOOKUP($A161,'Data shares'!$C:$FB,98)</f>
        <v>36784325</v>
      </c>
      <c r="G161" s="49">
        <f>VLOOKUP($A161,'Data shares'!$C:$FB,99)</f>
        <v>37195400</v>
      </c>
      <c r="H161" s="50">
        <f t="shared" si="7"/>
        <v>-1.1051769842507406</v>
      </c>
      <c r="I161" s="49">
        <f>VLOOKUP($A161,'Data shares'!$C:$FB,66)</f>
        <v>36044825</v>
      </c>
      <c r="J161" s="49">
        <f>VLOOKUP($A161,'Data shares'!$C:$FB,67)</f>
        <v>30454350</v>
      </c>
      <c r="K161" s="50">
        <f t="shared" si="8"/>
        <v>15.509785385280688</v>
      </c>
      <c r="L161" s="50">
        <f>VLOOKUP($A161,'Data shares'!$C:$FB,118)</f>
        <v>0.84</v>
      </c>
      <c r="M161" s="50">
        <f>VLOOKUP($A161,'Data shares'!$C:$FB,119)</f>
        <v>0.88</v>
      </c>
      <c r="N161" s="50">
        <f>VLOOKUP($A161,'Data shares'!$C:$FB,121)*100</f>
        <v>-4.55</v>
      </c>
      <c r="O161" s="50">
        <f>VLOOKUP($A161,'Data shares'!$C:$FB,124)</f>
        <v>0.64</v>
      </c>
      <c r="P161" s="50">
        <f>VLOOKUP($A161,'Data shares'!$C:$FB,125)</f>
        <v>0.63</v>
      </c>
      <c r="Q161" s="50">
        <f>VLOOKUP($A161,'Data shares'!$C:$FB,127)*100</f>
        <v>1.59</v>
      </c>
    </row>
    <row r="162" spans="1:17" x14ac:dyDescent="0.25">
      <c r="A162" s="97" t="str">
        <f>'Data Vlaue (Cr)'!C157</f>
        <v>PERSISTENT</v>
      </c>
      <c r="B162" s="140">
        <f>VLOOKUP($A162,'Data shares'!$C:$FB,7)</f>
        <v>5878.1</v>
      </c>
      <c r="C162" s="140">
        <f>VLOOKUP($A162,'Data shares'!$C:$FB,3)</f>
        <v>5882.4</v>
      </c>
      <c r="D162" s="140">
        <f>VLOOKUP($A162,'Data shares'!$C:$FB,4)</f>
        <v>5831.3</v>
      </c>
      <c r="E162" s="50">
        <f t="shared" si="6"/>
        <v>0.87630545504432045</v>
      </c>
      <c r="F162" s="49">
        <f>VLOOKUP($A162,'Data shares'!$C:$FB,98)</f>
        <v>5535200</v>
      </c>
      <c r="G162" s="49">
        <f>VLOOKUP($A162,'Data shares'!$C:$FB,99)</f>
        <v>6143600</v>
      </c>
      <c r="H162" s="50">
        <f t="shared" si="7"/>
        <v>-9.9029884758122275</v>
      </c>
      <c r="I162" s="49">
        <f>VLOOKUP($A162,'Data shares'!$C:$FB,66)</f>
        <v>6238000</v>
      </c>
      <c r="J162" s="49">
        <f>VLOOKUP($A162,'Data shares'!$C:$FB,67)</f>
        <v>8168000</v>
      </c>
      <c r="K162" s="50">
        <f t="shared" si="8"/>
        <v>-30.939403655017632</v>
      </c>
      <c r="L162" s="50">
        <f>VLOOKUP($A162,'Data shares'!$C:$FB,118)</f>
        <v>0.94</v>
      </c>
      <c r="M162" s="50">
        <f>VLOOKUP($A162,'Data shares'!$C:$FB,119)</f>
        <v>1.02</v>
      </c>
      <c r="N162" s="50">
        <f>VLOOKUP($A162,'Data shares'!$C:$FB,121)*100</f>
        <v>-7.84</v>
      </c>
      <c r="O162" s="50">
        <f>VLOOKUP($A162,'Data shares'!$C:$FB,124)</f>
        <v>0.89</v>
      </c>
      <c r="P162" s="50">
        <f>VLOOKUP($A162,'Data shares'!$C:$FB,125)</f>
        <v>0.63</v>
      </c>
      <c r="Q162" s="50">
        <f>VLOOKUP($A162,'Data shares'!$C:$FB,127)*100</f>
        <v>41.27</v>
      </c>
    </row>
    <row r="163" spans="1:17" x14ac:dyDescent="0.25">
      <c r="A163" s="97" t="str">
        <f>'Data Vlaue (Cr)'!C158</f>
        <v>PETRONET</v>
      </c>
      <c r="B163" s="140">
        <f>VLOOKUP($A163,'Data shares'!$C:$FB,7)</f>
        <v>280.10000000000002</v>
      </c>
      <c r="C163" s="140">
        <f>VLOOKUP($A163,'Data shares'!$C:$FB,3)</f>
        <v>280.3</v>
      </c>
      <c r="D163" s="140">
        <f>VLOOKUP($A163,'Data shares'!$C:$FB,4)</f>
        <v>280.7</v>
      </c>
      <c r="E163" s="50">
        <f t="shared" si="6"/>
        <v>-0.14250089063055835</v>
      </c>
      <c r="F163" s="49">
        <f>VLOOKUP($A163,'Data shares'!$C:$FB,98)</f>
        <v>76120200</v>
      </c>
      <c r="G163" s="49">
        <f>VLOOKUP($A163,'Data shares'!$C:$FB,99)</f>
        <v>74097000</v>
      </c>
      <c r="H163" s="50">
        <f t="shared" si="7"/>
        <v>2.7304749180128751</v>
      </c>
      <c r="I163" s="49">
        <f>VLOOKUP($A163,'Data shares'!$C:$FB,66)</f>
        <v>46787400</v>
      </c>
      <c r="J163" s="49">
        <f>VLOOKUP($A163,'Data shares'!$C:$FB,67)</f>
        <v>55139400</v>
      </c>
      <c r="K163" s="50">
        <f t="shared" si="8"/>
        <v>-17.85095987381218</v>
      </c>
      <c r="L163" s="50">
        <f>VLOOKUP($A163,'Data shares'!$C:$FB,118)</f>
        <v>1.0900000000000001</v>
      </c>
      <c r="M163" s="50">
        <f>VLOOKUP($A163,'Data shares'!$C:$FB,119)</f>
        <v>1.0900000000000001</v>
      </c>
      <c r="N163" s="50">
        <f>VLOOKUP($A163,'Data shares'!$C:$FB,121)*100</f>
        <v>0</v>
      </c>
      <c r="O163" s="50">
        <f>VLOOKUP($A163,'Data shares'!$C:$FB,124)</f>
        <v>0.79</v>
      </c>
      <c r="P163" s="50">
        <f>VLOOKUP($A163,'Data shares'!$C:$FB,125)</f>
        <v>0.48</v>
      </c>
      <c r="Q163" s="50">
        <f>VLOOKUP($A163,'Data shares'!$C:$FB,127)*100</f>
        <v>64.58</v>
      </c>
    </row>
    <row r="164" spans="1:17" x14ac:dyDescent="0.25">
      <c r="A164" s="97" t="str">
        <f>'Data Vlaue (Cr)'!C159</f>
        <v>PFC</v>
      </c>
      <c r="B164" s="140">
        <f>VLOOKUP($A164,'Data shares'!$C:$FB,7)</f>
        <v>396.9</v>
      </c>
      <c r="C164" s="140">
        <f>VLOOKUP($A164,'Data shares'!$C:$FB,3)</f>
        <v>397.2</v>
      </c>
      <c r="D164" s="140">
        <f>VLOOKUP($A164,'Data shares'!$C:$FB,4)</f>
        <v>393.6</v>
      </c>
      <c r="E164" s="50">
        <f t="shared" si="6"/>
        <v>0.91463414634145468</v>
      </c>
      <c r="F164" s="49">
        <f>VLOOKUP($A164,'Data shares'!$C:$FB,98)</f>
        <v>112448700</v>
      </c>
      <c r="G164" s="49">
        <f>VLOOKUP($A164,'Data shares'!$C:$FB,99)</f>
        <v>113348300</v>
      </c>
      <c r="H164" s="50">
        <f t="shared" si="7"/>
        <v>-0.79365989609019283</v>
      </c>
      <c r="I164" s="49">
        <f>VLOOKUP($A164,'Data shares'!$C:$FB,66)</f>
        <v>76833900</v>
      </c>
      <c r="J164" s="49">
        <f>VLOOKUP($A164,'Data shares'!$C:$FB,67)</f>
        <v>64529400</v>
      </c>
      <c r="K164" s="50">
        <f t="shared" si="8"/>
        <v>16.01441551190295</v>
      </c>
      <c r="L164" s="50">
        <f>VLOOKUP($A164,'Data shares'!$C:$FB,118)</f>
        <v>0.83</v>
      </c>
      <c r="M164" s="50">
        <f>VLOOKUP($A164,'Data shares'!$C:$FB,119)</f>
        <v>0.81</v>
      </c>
      <c r="N164" s="50">
        <f>VLOOKUP($A164,'Data shares'!$C:$FB,121)*100</f>
        <v>2.4699999999999998</v>
      </c>
      <c r="O164" s="50">
        <f>VLOOKUP($A164,'Data shares'!$C:$FB,124)</f>
        <v>0.68</v>
      </c>
      <c r="P164" s="50">
        <f>VLOOKUP($A164,'Data shares'!$C:$FB,125)</f>
        <v>0.6</v>
      </c>
      <c r="Q164" s="50">
        <f>VLOOKUP($A164,'Data shares'!$C:$FB,127)*100</f>
        <v>13.33</v>
      </c>
    </row>
    <row r="165" spans="1:17" x14ac:dyDescent="0.25">
      <c r="A165" s="97" t="str">
        <f>'Data Vlaue (Cr)'!C160</f>
        <v>PGEL</v>
      </c>
      <c r="B165" s="140">
        <f>VLOOKUP($A165,'Data shares'!$C:$FB,7)</f>
        <v>571.95000000000005</v>
      </c>
      <c r="C165" s="140">
        <f>VLOOKUP($A165,'Data shares'!$C:$FB,3)</f>
        <v>571.35</v>
      </c>
      <c r="D165" s="140">
        <f>VLOOKUP($A165,'Data shares'!$C:$FB,4)</f>
        <v>575.5</v>
      </c>
      <c r="E165" s="50">
        <f t="shared" si="6"/>
        <v>-0.72111207645525233</v>
      </c>
      <c r="F165" s="49">
        <f>VLOOKUP($A165,'Data shares'!$C:$FB,98)</f>
        <v>17961300</v>
      </c>
      <c r="G165" s="49">
        <f>VLOOKUP($A165,'Data shares'!$C:$FB,99)</f>
        <v>19233200</v>
      </c>
      <c r="H165" s="50">
        <f t="shared" si="7"/>
        <v>-6.6130441112243403</v>
      </c>
      <c r="I165" s="49">
        <f>VLOOKUP($A165,'Data shares'!$C:$FB,66)</f>
        <v>13372800</v>
      </c>
      <c r="J165" s="49">
        <f>VLOOKUP($A165,'Data shares'!$C:$FB,67)</f>
        <v>14213500</v>
      </c>
      <c r="K165" s="50">
        <f t="shared" si="8"/>
        <v>-6.2866415410385263</v>
      </c>
      <c r="L165" s="50">
        <f>VLOOKUP($A165,'Data shares'!$C:$FB,118)</f>
        <v>0.68</v>
      </c>
      <c r="M165" s="50">
        <f>VLOOKUP($A165,'Data shares'!$C:$FB,119)</f>
        <v>0.68</v>
      </c>
      <c r="N165" s="50">
        <f>VLOOKUP($A165,'Data shares'!$C:$FB,121)*100</f>
        <v>0</v>
      </c>
      <c r="O165" s="50">
        <f>VLOOKUP($A165,'Data shares'!$C:$FB,124)</f>
        <v>0.54</v>
      </c>
      <c r="P165" s="50">
        <f>VLOOKUP($A165,'Data shares'!$C:$FB,125)</f>
        <v>0.62</v>
      </c>
      <c r="Q165" s="50">
        <f>VLOOKUP($A165,'Data shares'!$C:$FB,127)*100</f>
        <v>-12.9</v>
      </c>
    </row>
    <row r="166" spans="1:17" x14ac:dyDescent="0.25">
      <c r="A166" s="97" t="str">
        <f>'Data Vlaue (Cr)'!C161</f>
        <v>PHOENIXLTD</v>
      </c>
      <c r="B166" s="140">
        <f>VLOOKUP($A166,'Data shares'!$C:$FB,7)</f>
        <v>1711.1</v>
      </c>
      <c r="C166" s="140">
        <f>VLOOKUP($A166,'Data shares'!$C:$FB,3)</f>
        <v>1708.4</v>
      </c>
      <c r="D166" s="140">
        <f>VLOOKUP($A166,'Data shares'!$C:$FB,4)</f>
        <v>1684.1</v>
      </c>
      <c r="E166" s="50">
        <f t="shared" si="6"/>
        <v>1.442907190784406</v>
      </c>
      <c r="F166" s="49">
        <f>VLOOKUP($A166,'Data shares'!$C:$FB,98)</f>
        <v>6290200</v>
      </c>
      <c r="G166" s="49">
        <f>VLOOKUP($A166,'Data shares'!$C:$FB,99)</f>
        <v>6301050</v>
      </c>
      <c r="H166" s="50">
        <f t="shared" si="7"/>
        <v>-0.17219352330167192</v>
      </c>
      <c r="I166" s="49">
        <f>VLOOKUP($A166,'Data shares'!$C:$FB,66)</f>
        <v>7098350</v>
      </c>
      <c r="J166" s="49">
        <f>VLOOKUP($A166,'Data shares'!$C:$FB,67)</f>
        <v>4734800</v>
      </c>
      <c r="K166" s="50">
        <f t="shared" si="8"/>
        <v>33.297174695527829</v>
      </c>
      <c r="L166" s="50">
        <f>VLOOKUP($A166,'Data shares'!$C:$FB,118)</f>
        <v>0.64</v>
      </c>
      <c r="M166" s="50">
        <f>VLOOKUP($A166,'Data shares'!$C:$FB,119)</f>
        <v>0.64</v>
      </c>
      <c r="N166" s="50">
        <f>VLOOKUP($A166,'Data shares'!$C:$FB,121)*100</f>
        <v>0</v>
      </c>
      <c r="O166" s="50">
        <f>VLOOKUP($A166,'Data shares'!$C:$FB,124)</f>
        <v>0.27</v>
      </c>
      <c r="P166" s="50">
        <f>VLOOKUP($A166,'Data shares'!$C:$FB,125)</f>
        <v>0.51</v>
      </c>
      <c r="Q166" s="50">
        <f>VLOOKUP($A166,'Data shares'!$C:$FB,127)*100</f>
        <v>-47.06</v>
      </c>
    </row>
    <row r="167" spans="1:17" x14ac:dyDescent="0.25">
      <c r="A167" s="97" t="str">
        <f>'Data Vlaue (Cr)'!C162</f>
        <v>PIDILITIND</v>
      </c>
      <c r="B167" s="140">
        <f>VLOOKUP($A167,'Data shares'!$C:$FB,7)</f>
        <v>1504.4</v>
      </c>
      <c r="C167" s="140">
        <f>VLOOKUP($A167,'Data shares'!$C:$FB,3)</f>
        <v>1504.2</v>
      </c>
      <c r="D167" s="140">
        <f>VLOOKUP($A167,'Data shares'!$C:$FB,4)</f>
        <v>1505.4</v>
      </c>
      <c r="E167" s="50">
        <f t="shared" si="6"/>
        <v>-7.9713033080911752E-2</v>
      </c>
      <c r="F167" s="49">
        <f>VLOOKUP($A167,'Data shares'!$C:$FB,98)</f>
        <v>11900000</v>
      </c>
      <c r="G167" s="49">
        <f>VLOOKUP($A167,'Data shares'!$C:$FB,99)</f>
        <v>12521500</v>
      </c>
      <c r="H167" s="50">
        <f t="shared" si="7"/>
        <v>-4.9634628439084771</v>
      </c>
      <c r="I167" s="49">
        <f>VLOOKUP($A167,'Data shares'!$C:$FB,66)</f>
        <v>11492500</v>
      </c>
      <c r="J167" s="49">
        <f>VLOOKUP($A167,'Data shares'!$C:$FB,67)</f>
        <v>12339500</v>
      </c>
      <c r="K167" s="50">
        <f t="shared" si="8"/>
        <v>-7.3700239286491191</v>
      </c>
      <c r="L167" s="50">
        <f>VLOOKUP($A167,'Data shares'!$C:$FB,118)</f>
        <v>0.9</v>
      </c>
      <c r="M167" s="50">
        <f>VLOOKUP($A167,'Data shares'!$C:$FB,119)</f>
        <v>1.03</v>
      </c>
      <c r="N167" s="50">
        <f>VLOOKUP($A167,'Data shares'!$C:$FB,121)*100</f>
        <v>-12.620000000000001</v>
      </c>
      <c r="O167" s="50">
        <f>VLOOKUP($A167,'Data shares'!$C:$FB,124)</f>
        <v>0.83</v>
      </c>
      <c r="P167" s="50">
        <f>VLOOKUP($A167,'Data shares'!$C:$FB,125)</f>
        <v>0.93</v>
      </c>
      <c r="Q167" s="50">
        <f>VLOOKUP($A167,'Data shares'!$C:$FB,127)*100</f>
        <v>-10.75</v>
      </c>
    </row>
    <row r="168" spans="1:17" x14ac:dyDescent="0.25">
      <c r="A168" s="97" t="str">
        <f>'Data Vlaue (Cr)'!C163</f>
        <v>PIIND</v>
      </c>
      <c r="B168" s="140">
        <f>VLOOKUP($A168,'Data shares'!$C:$FB,7)</f>
        <v>3610</v>
      </c>
      <c r="C168" s="140">
        <f>VLOOKUP($A168,'Data shares'!$C:$FB,3)</f>
        <v>3607.3</v>
      </c>
      <c r="D168" s="140">
        <f>VLOOKUP($A168,'Data shares'!$C:$FB,4)</f>
        <v>3580.5</v>
      </c>
      <c r="E168" s="50">
        <f t="shared" si="6"/>
        <v>0.74849881301494714</v>
      </c>
      <c r="F168" s="49">
        <f>VLOOKUP($A168,'Data shares'!$C:$FB,98)</f>
        <v>2711975</v>
      </c>
      <c r="G168" s="49">
        <f>VLOOKUP($A168,'Data shares'!$C:$FB,99)</f>
        <v>2764650</v>
      </c>
      <c r="H168" s="50">
        <f t="shared" si="7"/>
        <v>-1.9053044689201164</v>
      </c>
      <c r="I168" s="49">
        <f>VLOOKUP($A168,'Data shares'!$C:$FB,66)</f>
        <v>3724350</v>
      </c>
      <c r="J168" s="49">
        <f>VLOOKUP($A168,'Data shares'!$C:$FB,67)</f>
        <v>3169425</v>
      </c>
      <c r="K168" s="50">
        <f t="shared" si="8"/>
        <v>14.899915421482943</v>
      </c>
      <c r="L168" s="50">
        <f>VLOOKUP($A168,'Data shares'!$C:$FB,118)</f>
        <v>0.65</v>
      </c>
      <c r="M168" s="50">
        <f>VLOOKUP($A168,'Data shares'!$C:$FB,119)</f>
        <v>0.63</v>
      </c>
      <c r="N168" s="50">
        <f>VLOOKUP($A168,'Data shares'!$C:$FB,121)*100</f>
        <v>3.17</v>
      </c>
      <c r="O168" s="50">
        <f>VLOOKUP($A168,'Data shares'!$C:$FB,124)</f>
        <v>0.27</v>
      </c>
      <c r="P168" s="50">
        <f>VLOOKUP($A168,'Data shares'!$C:$FB,125)</f>
        <v>0.56000000000000005</v>
      </c>
      <c r="Q168" s="50">
        <f>VLOOKUP($A168,'Data shares'!$C:$FB,127)*100</f>
        <v>-51.790000000000006</v>
      </c>
    </row>
    <row r="169" spans="1:17" x14ac:dyDescent="0.25">
      <c r="A169" s="97" t="str">
        <f>'Data Vlaue (Cr)'!C164</f>
        <v>PNB</v>
      </c>
      <c r="B169" s="140">
        <f>VLOOKUP($A169,'Data shares'!$C:$FB,7)</f>
        <v>119.63</v>
      </c>
      <c r="C169" s="140">
        <f>VLOOKUP($A169,'Data shares'!$C:$FB,3)</f>
        <v>119.59</v>
      </c>
      <c r="D169" s="140">
        <f>VLOOKUP($A169,'Data shares'!$C:$FB,4)</f>
        <v>117.07</v>
      </c>
      <c r="E169" s="50">
        <f t="shared" si="6"/>
        <v>2.1525582984539255</v>
      </c>
      <c r="F169" s="49">
        <f>VLOOKUP($A169,'Data shares'!$C:$FB,98)</f>
        <v>518120000</v>
      </c>
      <c r="G169" s="49">
        <f>VLOOKUP($A169,'Data shares'!$C:$FB,99)</f>
        <v>534152000</v>
      </c>
      <c r="H169" s="50">
        <f t="shared" si="7"/>
        <v>-3.0013928619568961</v>
      </c>
      <c r="I169" s="49">
        <f>VLOOKUP($A169,'Data shares'!$C:$FB,66)</f>
        <v>579568000</v>
      </c>
      <c r="J169" s="49">
        <f>VLOOKUP($A169,'Data shares'!$C:$FB,67)</f>
        <v>472528000</v>
      </c>
      <c r="K169" s="50">
        <f t="shared" si="8"/>
        <v>18.468928581288132</v>
      </c>
      <c r="L169" s="50">
        <f>VLOOKUP($A169,'Data shares'!$C:$FB,118)</f>
        <v>0.86</v>
      </c>
      <c r="M169" s="50">
        <f>VLOOKUP($A169,'Data shares'!$C:$FB,119)</f>
        <v>0.76</v>
      </c>
      <c r="N169" s="50">
        <f>VLOOKUP($A169,'Data shares'!$C:$FB,121)*100</f>
        <v>13.16</v>
      </c>
      <c r="O169" s="50">
        <f>VLOOKUP($A169,'Data shares'!$C:$FB,124)</f>
        <v>0.49</v>
      </c>
      <c r="P169" s="50">
        <f>VLOOKUP($A169,'Data shares'!$C:$FB,125)</f>
        <v>0.64</v>
      </c>
      <c r="Q169" s="50">
        <f>VLOOKUP($A169,'Data shares'!$C:$FB,127)*100</f>
        <v>-23.44</v>
      </c>
    </row>
    <row r="170" spans="1:17" x14ac:dyDescent="0.25">
      <c r="A170" s="97" t="str">
        <f>'Data Vlaue (Cr)'!C165</f>
        <v>PNBHOUSING</v>
      </c>
      <c r="B170" s="140">
        <f>VLOOKUP($A170,'Data shares'!$C:$FB,7)</f>
        <v>927.6</v>
      </c>
      <c r="C170" s="140">
        <f>VLOOKUP($A170,'Data shares'!$C:$FB,3)</f>
        <v>928.45</v>
      </c>
      <c r="D170" s="140">
        <f>VLOOKUP($A170,'Data shares'!$C:$FB,4)</f>
        <v>907.75</v>
      </c>
      <c r="E170" s="50">
        <f t="shared" si="6"/>
        <v>2.2803635362159236</v>
      </c>
      <c r="F170" s="49">
        <f>VLOOKUP($A170,'Data shares'!$C:$FB,98)</f>
        <v>29216200</v>
      </c>
      <c r="G170" s="49">
        <f>VLOOKUP($A170,'Data shares'!$C:$FB,99)</f>
        <v>26424450</v>
      </c>
      <c r="H170" s="50">
        <f t="shared" si="7"/>
        <v>10.565025951344305</v>
      </c>
      <c r="I170" s="49">
        <f>VLOOKUP($A170,'Data shares'!$C:$FB,66)</f>
        <v>43537650</v>
      </c>
      <c r="J170" s="49">
        <f>VLOOKUP($A170,'Data shares'!$C:$FB,67)</f>
        <v>40289600</v>
      </c>
      <c r="K170" s="50">
        <f t="shared" si="8"/>
        <v>7.4603245696540812</v>
      </c>
      <c r="L170" s="50">
        <f>VLOOKUP($A170,'Data shares'!$C:$FB,118)</f>
        <v>0.87</v>
      </c>
      <c r="M170" s="50">
        <f>VLOOKUP($A170,'Data shares'!$C:$FB,119)</f>
        <v>1.01</v>
      </c>
      <c r="N170" s="50">
        <f>VLOOKUP($A170,'Data shares'!$C:$FB,121)*100</f>
        <v>-13.86</v>
      </c>
      <c r="O170" s="50">
        <f>VLOOKUP($A170,'Data shares'!$C:$FB,124)</f>
        <v>0.47</v>
      </c>
      <c r="P170" s="50">
        <f>VLOOKUP($A170,'Data shares'!$C:$FB,125)</f>
        <v>0.48</v>
      </c>
      <c r="Q170" s="50">
        <f>VLOOKUP($A170,'Data shares'!$C:$FB,127)*100</f>
        <v>-2.08</v>
      </c>
    </row>
    <row r="171" spans="1:17" x14ac:dyDescent="0.25">
      <c r="A171" s="97" t="str">
        <f>'Data Vlaue (Cr)'!C166</f>
        <v>POLICYBZR</v>
      </c>
      <c r="B171" s="140">
        <f>VLOOKUP($A171,'Data shares'!$C:$FB,7)</f>
        <v>1749.4</v>
      </c>
      <c r="C171" s="140">
        <f>VLOOKUP($A171,'Data shares'!$C:$FB,3)</f>
        <v>1751.8</v>
      </c>
      <c r="D171" s="140">
        <f>VLOOKUP($A171,'Data shares'!$C:$FB,4)</f>
        <v>1687</v>
      </c>
      <c r="E171" s="50">
        <f t="shared" si="6"/>
        <v>3.8411381149970336</v>
      </c>
      <c r="F171" s="49">
        <f>VLOOKUP($A171,'Data shares'!$C:$FB,98)</f>
        <v>11090800</v>
      </c>
      <c r="G171" s="49">
        <f>VLOOKUP($A171,'Data shares'!$C:$FB,99)</f>
        <v>11120200</v>
      </c>
      <c r="H171" s="50">
        <f t="shared" si="7"/>
        <v>-0.2643837341055017</v>
      </c>
      <c r="I171" s="49">
        <f>VLOOKUP($A171,'Data shares'!$C:$FB,66)</f>
        <v>18348050</v>
      </c>
      <c r="J171" s="49">
        <f>VLOOKUP($A171,'Data shares'!$C:$FB,67)</f>
        <v>12828550</v>
      </c>
      <c r="K171" s="50">
        <f t="shared" si="8"/>
        <v>30.082215821299812</v>
      </c>
      <c r="L171" s="50">
        <f>VLOOKUP($A171,'Data shares'!$C:$FB,118)</f>
        <v>0.71</v>
      </c>
      <c r="M171" s="50">
        <f>VLOOKUP($A171,'Data shares'!$C:$FB,119)</f>
        <v>0.83</v>
      </c>
      <c r="N171" s="50">
        <f>VLOOKUP($A171,'Data shares'!$C:$FB,121)*100</f>
        <v>-14.46</v>
      </c>
      <c r="O171" s="50">
        <f>VLOOKUP($A171,'Data shares'!$C:$FB,124)</f>
        <v>0.26</v>
      </c>
      <c r="P171" s="50">
        <f>VLOOKUP($A171,'Data shares'!$C:$FB,125)</f>
        <v>0.38</v>
      </c>
      <c r="Q171" s="50">
        <f>VLOOKUP($A171,'Data shares'!$C:$FB,127)*100</f>
        <v>-31.580000000000002</v>
      </c>
    </row>
    <row r="172" spans="1:17" x14ac:dyDescent="0.25">
      <c r="A172" s="97" t="str">
        <f>'Data Vlaue (Cr)'!C167</f>
        <v>POLYCAB</v>
      </c>
      <c r="B172" s="140">
        <f>VLOOKUP($A172,'Data shares'!$C:$FB,7)</f>
        <v>7666.5</v>
      </c>
      <c r="C172" s="140">
        <f>VLOOKUP($A172,'Data shares'!$C:$FB,3)</f>
        <v>7664</v>
      </c>
      <c r="D172" s="140">
        <f>VLOOKUP($A172,'Data shares'!$C:$FB,4)</f>
        <v>7499.5</v>
      </c>
      <c r="E172" s="50">
        <f t="shared" si="6"/>
        <v>2.1934795653043535</v>
      </c>
      <c r="F172" s="49">
        <f>VLOOKUP($A172,'Data shares'!$C:$FB,98)</f>
        <v>3523000</v>
      </c>
      <c r="G172" s="49">
        <f>VLOOKUP($A172,'Data shares'!$C:$FB,99)</f>
        <v>3799875</v>
      </c>
      <c r="H172" s="50">
        <f t="shared" si="7"/>
        <v>-7.2864238955228799</v>
      </c>
      <c r="I172" s="49">
        <f>VLOOKUP($A172,'Data shares'!$C:$FB,66)</f>
        <v>5283500</v>
      </c>
      <c r="J172" s="49">
        <f>VLOOKUP($A172,'Data shares'!$C:$FB,67)</f>
        <v>6726250</v>
      </c>
      <c r="K172" s="50">
        <f t="shared" si="8"/>
        <v>-27.30670956752153</v>
      </c>
      <c r="L172" s="50">
        <f>VLOOKUP($A172,'Data shares'!$C:$FB,118)</f>
        <v>0.77</v>
      </c>
      <c r="M172" s="50">
        <f>VLOOKUP($A172,'Data shares'!$C:$FB,119)</f>
        <v>0.61</v>
      </c>
      <c r="N172" s="50">
        <f>VLOOKUP($A172,'Data shares'!$C:$FB,121)*100</f>
        <v>26.229999999999997</v>
      </c>
      <c r="O172" s="50">
        <f>VLOOKUP($A172,'Data shares'!$C:$FB,124)</f>
        <v>0.65</v>
      </c>
      <c r="P172" s="50">
        <f>VLOOKUP($A172,'Data shares'!$C:$FB,125)</f>
        <v>0.74</v>
      </c>
      <c r="Q172" s="50">
        <f>VLOOKUP($A172,'Data shares'!$C:$FB,127)*100</f>
        <v>-12.16</v>
      </c>
    </row>
    <row r="173" spans="1:17" x14ac:dyDescent="0.25">
      <c r="A173" s="97" t="str">
        <f>'Data Vlaue (Cr)'!C168</f>
        <v>POWERGRID</v>
      </c>
      <c r="B173" s="140">
        <f>VLOOKUP($A173,'Data shares'!$C:$FB,7)</f>
        <v>291.05</v>
      </c>
      <c r="C173" s="140">
        <f>VLOOKUP($A173,'Data shares'!$C:$FB,3)</f>
        <v>291.7</v>
      </c>
      <c r="D173" s="140">
        <f>VLOOKUP($A173,'Data shares'!$C:$FB,4)</f>
        <v>288.45</v>
      </c>
      <c r="E173" s="50">
        <f t="shared" ref="E173:E182" si="9">(C173-D173)/D173*100</f>
        <v>1.1267117351360723</v>
      </c>
      <c r="F173" s="49">
        <f>VLOOKUP($A173,'Data shares'!$C:$FB,98)</f>
        <v>125529200</v>
      </c>
      <c r="G173" s="49">
        <f>VLOOKUP($A173,'Data shares'!$C:$FB,99)</f>
        <v>124134600</v>
      </c>
      <c r="H173" s="50">
        <f t="shared" ref="H173:H182" si="10">(F173-G173)/G173*100</f>
        <v>1.1234579238987357</v>
      </c>
      <c r="I173" s="49">
        <f>VLOOKUP($A173,'Data shares'!$C:$FB,66)</f>
        <v>96261600</v>
      </c>
      <c r="J173" s="49">
        <f>VLOOKUP($A173,'Data shares'!$C:$FB,67)</f>
        <v>86385400</v>
      </c>
      <c r="K173" s="50">
        <f t="shared" ref="K173:K182" si="11">(I173-J173)/I173*100</f>
        <v>10.259750513184905</v>
      </c>
      <c r="L173" s="50">
        <f>VLOOKUP($A173,'Data shares'!$C:$FB,118)</f>
        <v>0.56000000000000005</v>
      </c>
      <c r="M173" s="50">
        <f>VLOOKUP($A173,'Data shares'!$C:$FB,119)</f>
        <v>0.53</v>
      </c>
      <c r="N173" s="50">
        <f>VLOOKUP($A173,'Data shares'!$C:$FB,121)*100</f>
        <v>5.66</v>
      </c>
      <c r="O173" s="50">
        <f>VLOOKUP($A173,'Data shares'!$C:$FB,124)</f>
        <v>0.51</v>
      </c>
      <c r="P173" s="50">
        <f>VLOOKUP($A173,'Data shares'!$C:$FB,125)</f>
        <v>0.5</v>
      </c>
      <c r="Q173" s="50">
        <f>VLOOKUP($A173,'Data shares'!$C:$FB,127)*100</f>
        <v>2</v>
      </c>
    </row>
    <row r="174" spans="1:17" x14ac:dyDescent="0.25">
      <c r="A174" s="97" t="str">
        <f>'Data Vlaue (Cr)'!C169</f>
        <v>POWERINDIA</v>
      </c>
      <c r="B174" s="140">
        <f>VLOOKUP($A174,'Data shares'!$C:$FB,7)</f>
        <v>16655</v>
      </c>
      <c r="C174" s="140">
        <f>VLOOKUP($A174,'Data shares'!$C:$FB,3)</f>
        <v>16686</v>
      </c>
      <c r="D174" s="140">
        <f>VLOOKUP($A174,'Data shares'!$C:$FB,4)</f>
        <v>16780</v>
      </c>
      <c r="E174" s="50">
        <f t="shared" si="9"/>
        <v>-0.56019070321811681</v>
      </c>
      <c r="F174" s="49">
        <f>VLOOKUP($A174,'Data shares'!$C:$FB,98)</f>
        <v>255050</v>
      </c>
      <c r="G174" s="49">
        <f>VLOOKUP($A174,'Data shares'!$C:$FB,99)</f>
        <v>237900</v>
      </c>
      <c r="H174" s="50">
        <f t="shared" si="10"/>
        <v>7.2089113072719631</v>
      </c>
      <c r="I174" s="49">
        <f>VLOOKUP($A174,'Data shares'!$C:$FB,66)</f>
        <v>505450</v>
      </c>
      <c r="J174" s="49">
        <f>VLOOKUP($A174,'Data shares'!$C:$FB,67)</f>
        <v>283700</v>
      </c>
      <c r="K174" s="50">
        <f t="shared" si="11"/>
        <v>43.871797408250075</v>
      </c>
      <c r="L174" s="50">
        <f>VLOOKUP($A174,'Data shares'!$C:$FB,118)</f>
        <v>0.25</v>
      </c>
      <c r="M174" s="50">
        <f>VLOOKUP($A174,'Data shares'!$C:$FB,119)</f>
        <v>0.21</v>
      </c>
      <c r="N174" s="50">
        <f>VLOOKUP($A174,'Data shares'!$C:$FB,121)*100</f>
        <v>19.05</v>
      </c>
      <c r="O174" s="50">
        <f>VLOOKUP($A174,'Data shares'!$C:$FB,124)</f>
        <v>1.03</v>
      </c>
      <c r="P174" s="50">
        <f>VLOOKUP($A174,'Data shares'!$C:$FB,125)</f>
        <v>0.18</v>
      </c>
      <c r="Q174" s="50">
        <f>VLOOKUP($A174,'Data shares'!$C:$FB,127)*100</f>
        <v>472.21999999999997</v>
      </c>
    </row>
    <row r="175" spans="1:17" x14ac:dyDescent="0.25">
      <c r="A175" s="97" t="str">
        <f>'Data Vlaue (Cr)'!C170</f>
        <v>PPLPHARMA</v>
      </c>
      <c r="B175" s="140">
        <f>VLOOKUP($A175,'Data shares'!$C:$FB,7)</f>
        <v>203.14</v>
      </c>
      <c r="C175" s="140">
        <f>VLOOKUP($A175,'Data shares'!$C:$FB,3)</f>
        <v>203.52</v>
      </c>
      <c r="D175" s="140">
        <f>VLOOKUP($A175,'Data shares'!$C:$FB,4)</f>
        <v>202.61</v>
      </c>
      <c r="E175" s="50">
        <f t="shared" si="9"/>
        <v>0.44913873945017352</v>
      </c>
      <c r="F175" s="49">
        <f>VLOOKUP($A175,'Data shares'!$C:$FB,98)</f>
        <v>43377500</v>
      </c>
      <c r="G175" s="49">
        <f>VLOOKUP($A175,'Data shares'!$C:$FB,99)</f>
        <v>46602500</v>
      </c>
      <c r="H175" s="50">
        <f t="shared" si="10"/>
        <v>-6.9202296014162332</v>
      </c>
      <c r="I175" s="49">
        <f>VLOOKUP($A175,'Data shares'!$C:$FB,66)</f>
        <v>36505000</v>
      </c>
      <c r="J175" s="49">
        <f>VLOOKUP($A175,'Data shares'!$C:$FB,67)</f>
        <v>55900000</v>
      </c>
      <c r="K175" s="50">
        <f t="shared" si="11"/>
        <v>-53.129708259142582</v>
      </c>
      <c r="L175" s="50">
        <f>VLOOKUP($A175,'Data shares'!$C:$FB,118)</f>
        <v>0.84</v>
      </c>
      <c r="M175" s="50">
        <f>VLOOKUP($A175,'Data shares'!$C:$FB,119)</f>
        <v>0.74</v>
      </c>
      <c r="N175" s="50">
        <f>VLOOKUP($A175,'Data shares'!$C:$FB,121)*100</f>
        <v>13.51</v>
      </c>
      <c r="O175" s="50">
        <f>VLOOKUP($A175,'Data shares'!$C:$FB,124)</f>
        <v>0.56000000000000005</v>
      </c>
      <c r="P175" s="50">
        <f>VLOOKUP($A175,'Data shares'!$C:$FB,125)</f>
        <v>0.47</v>
      </c>
      <c r="Q175" s="50">
        <f>VLOOKUP($A175,'Data shares'!$C:$FB,127)*100</f>
        <v>19.149999999999999</v>
      </c>
    </row>
    <row r="176" spans="1:17" x14ac:dyDescent="0.25">
      <c r="A176" s="97" t="str">
        <f>'Data Vlaue (Cr)'!C171</f>
        <v>PRESTIGE</v>
      </c>
      <c r="B176" s="140">
        <f>VLOOKUP($A176,'Data shares'!$C:$FB,7)</f>
        <v>1784.8</v>
      </c>
      <c r="C176" s="140">
        <f>VLOOKUP($A176,'Data shares'!$C:$FB,3)</f>
        <v>1785.2</v>
      </c>
      <c r="D176" s="140">
        <f>VLOOKUP($A176,'Data shares'!$C:$FB,4)</f>
        <v>1752.8</v>
      </c>
      <c r="E176" s="50">
        <f t="shared" si="9"/>
        <v>1.8484710178000967</v>
      </c>
      <c r="F176" s="49">
        <f>VLOOKUP($A176,'Data shares'!$C:$FB,98)</f>
        <v>7175700</v>
      </c>
      <c r="G176" s="49">
        <f>VLOOKUP($A176,'Data shares'!$C:$FB,99)</f>
        <v>7341300</v>
      </c>
      <c r="H176" s="50">
        <f t="shared" si="10"/>
        <v>-2.255731273752605</v>
      </c>
      <c r="I176" s="49">
        <f>VLOOKUP($A176,'Data shares'!$C:$FB,66)</f>
        <v>11803050</v>
      </c>
      <c r="J176" s="49">
        <f>VLOOKUP($A176,'Data shares'!$C:$FB,67)</f>
        <v>9191700</v>
      </c>
      <c r="K176" s="50">
        <f t="shared" si="11"/>
        <v>22.124366159594341</v>
      </c>
      <c r="L176" s="50">
        <f>VLOOKUP($A176,'Data shares'!$C:$FB,118)</f>
        <v>0.87</v>
      </c>
      <c r="M176" s="50">
        <f>VLOOKUP($A176,'Data shares'!$C:$FB,119)</f>
        <v>0.92</v>
      </c>
      <c r="N176" s="50">
        <f>VLOOKUP($A176,'Data shares'!$C:$FB,121)*100</f>
        <v>-5.43</v>
      </c>
      <c r="O176" s="50">
        <f>VLOOKUP($A176,'Data shares'!$C:$FB,124)</f>
        <v>0.28000000000000003</v>
      </c>
      <c r="P176" s="50">
        <f>VLOOKUP($A176,'Data shares'!$C:$FB,125)</f>
        <v>0.37</v>
      </c>
      <c r="Q176" s="50">
        <f>VLOOKUP($A176,'Data shares'!$C:$FB,127)*100</f>
        <v>-24.32</v>
      </c>
    </row>
    <row r="177" spans="1:17" x14ac:dyDescent="0.25">
      <c r="A177" s="97" t="str">
        <f>'Data Vlaue (Cr)'!C172</f>
        <v>RBLBANK</v>
      </c>
      <c r="B177" s="140">
        <f>VLOOKUP($A177,'Data shares'!$C:$FB,7)</f>
        <v>322.05</v>
      </c>
      <c r="C177" s="140">
        <f>VLOOKUP($A177,'Data shares'!$C:$FB,3)</f>
        <v>322.3</v>
      </c>
      <c r="D177" s="140">
        <f>VLOOKUP($A177,'Data shares'!$C:$FB,4)</f>
        <v>316.64999999999998</v>
      </c>
      <c r="E177" s="50">
        <f t="shared" si="9"/>
        <v>1.7843044370756467</v>
      </c>
      <c r="F177" s="49">
        <f>VLOOKUP($A177,'Data shares'!$C:$FB,98)</f>
        <v>114560350</v>
      </c>
      <c r="G177" s="49">
        <f>VLOOKUP($A177,'Data shares'!$C:$FB,99)</f>
        <v>107356275</v>
      </c>
      <c r="H177" s="50">
        <f t="shared" si="10"/>
        <v>6.7104368142430424</v>
      </c>
      <c r="I177" s="49">
        <f>VLOOKUP($A177,'Data shares'!$C:$FB,66)</f>
        <v>121269125</v>
      </c>
      <c r="J177" s="49">
        <f>VLOOKUP($A177,'Data shares'!$C:$FB,67)</f>
        <v>77371575</v>
      </c>
      <c r="K177" s="50">
        <f t="shared" si="11"/>
        <v>36.198455295195707</v>
      </c>
      <c r="L177" s="50">
        <f>VLOOKUP($A177,'Data shares'!$C:$FB,118)</f>
        <v>0.8</v>
      </c>
      <c r="M177" s="50">
        <f>VLOOKUP($A177,'Data shares'!$C:$FB,119)</f>
        <v>0.79</v>
      </c>
      <c r="N177" s="50">
        <f>VLOOKUP($A177,'Data shares'!$C:$FB,121)*100</f>
        <v>1.27</v>
      </c>
      <c r="O177" s="50">
        <f>VLOOKUP($A177,'Data shares'!$C:$FB,124)</f>
        <v>0.35</v>
      </c>
      <c r="P177" s="50">
        <f>VLOOKUP($A177,'Data shares'!$C:$FB,125)</f>
        <v>0.57999999999999996</v>
      </c>
      <c r="Q177" s="50">
        <f>VLOOKUP($A177,'Data shares'!$C:$FB,127)*100</f>
        <v>-39.660000000000004</v>
      </c>
    </row>
    <row r="178" spans="1:17" x14ac:dyDescent="0.25">
      <c r="A178" s="97" t="str">
        <f>'Data Vlaue (Cr)'!C173</f>
        <v>RECLTD</v>
      </c>
      <c r="B178" s="140">
        <f>VLOOKUP($A178,'Data shares'!$C:$FB,7)</f>
        <v>373.7</v>
      </c>
      <c r="C178" s="140">
        <f>VLOOKUP($A178,'Data shares'!$C:$FB,3)</f>
        <v>373.8</v>
      </c>
      <c r="D178" s="140">
        <f>VLOOKUP($A178,'Data shares'!$C:$FB,4)</f>
        <v>367.5</v>
      </c>
      <c r="E178" s="50">
        <f t="shared" si="9"/>
        <v>1.7142857142857175</v>
      </c>
      <c r="F178" s="49">
        <f>VLOOKUP($A178,'Data shares'!$C:$FB,98)</f>
        <v>148541325</v>
      </c>
      <c r="G178" s="49">
        <f>VLOOKUP($A178,'Data shares'!$C:$FB,99)</f>
        <v>149765325</v>
      </c>
      <c r="H178" s="50">
        <f t="shared" si="10"/>
        <v>-0.81727863242042165</v>
      </c>
      <c r="I178" s="49">
        <f>VLOOKUP($A178,'Data shares'!$C:$FB,66)</f>
        <v>124650375</v>
      </c>
      <c r="J178" s="49">
        <f>VLOOKUP($A178,'Data shares'!$C:$FB,67)</f>
        <v>98122725</v>
      </c>
      <c r="K178" s="50">
        <f t="shared" si="11"/>
        <v>21.281644760394826</v>
      </c>
      <c r="L178" s="50">
        <f>VLOOKUP($A178,'Data shares'!$C:$FB,118)</f>
        <v>0.84</v>
      </c>
      <c r="M178" s="50">
        <f>VLOOKUP($A178,'Data shares'!$C:$FB,119)</f>
        <v>0.86</v>
      </c>
      <c r="N178" s="50">
        <f>VLOOKUP($A178,'Data shares'!$C:$FB,121)*100</f>
        <v>-2.33</v>
      </c>
      <c r="O178" s="50">
        <f>VLOOKUP($A178,'Data shares'!$C:$FB,124)</f>
        <v>0.74</v>
      </c>
      <c r="P178" s="50">
        <f>VLOOKUP($A178,'Data shares'!$C:$FB,125)</f>
        <v>0.59</v>
      </c>
      <c r="Q178" s="50">
        <f>VLOOKUP($A178,'Data shares'!$C:$FB,127)*100</f>
        <v>25.419999999999998</v>
      </c>
    </row>
    <row r="179" spans="1:17" x14ac:dyDescent="0.25">
      <c r="A179" s="97" t="str">
        <f>'Data Vlaue (Cr)'!C174</f>
        <v>RELIANCE</v>
      </c>
      <c r="B179" s="140">
        <f>VLOOKUP($A179,'Data shares'!$C:$FB,7)</f>
        <v>1484.1</v>
      </c>
      <c r="C179" s="140">
        <f>VLOOKUP($A179,'Data shares'!$C:$FB,3)</f>
        <v>1482.3</v>
      </c>
      <c r="D179" s="140">
        <f>VLOOKUP($A179,'Data shares'!$C:$FB,4)</f>
        <v>1450.5</v>
      </c>
      <c r="E179" s="50">
        <f t="shared" si="9"/>
        <v>2.1923474663908964</v>
      </c>
      <c r="F179" s="49">
        <f>VLOOKUP($A179,'Data shares'!$C:$FB,98)</f>
        <v>211198000</v>
      </c>
      <c r="G179" s="49">
        <f>VLOOKUP($A179,'Data shares'!$C:$FB,99)</f>
        <v>211013000</v>
      </c>
      <c r="H179" s="50">
        <f t="shared" si="10"/>
        <v>8.76723235061347E-2</v>
      </c>
      <c r="I179" s="49">
        <f>VLOOKUP($A179,'Data shares'!$C:$FB,66)</f>
        <v>328920500</v>
      </c>
      <c r="J179" s="49">
        <f>VLOOKUP($A179,'Data shares'!$C:$FB,67)</f>
        <v>262568000</v>
      </c>
      <c r="K179" s="50">
        <f t="shared" si="11"/>
        <v>20.172807714934155</v>
      </c>
      <c r="L179" s="50">
        <f>VLOOKUP($A179,'Data shares'!$C:$FB,118)</f>
        <v>0.81</v>
      </c>
      <c r="M179" s="50">
        <f>VLOOKUP($A179,'Data shares'!$C:$FB,119)</f>
        <v>0.73</v>
      </c>
      <c r="N179" s="50">
        <f>VLOOKUP($A179,'Data shares'!$C:$FB,121)*100</f>
        <v>10.96</v>
      </c>
      <c r="O179" s="50">
        <f>VLOOKUP($A179,'Data shares'!$C:$FB,124)</f>
        <v>0.56000000000000005</v>
      </c>
      <c r="P179" s="50">
        <f>VLOOKUP($A179,'Data shares'!$C:$FB,125)</f>
        <v>0.67</v>
      </c>
      <c r="Q179" s="50">
        <f>VLOOKUP($A179,'Data shares'!$C:$FB,127)*100</f>
        <v>-16.420000000000002</v>
      </c>
    </row>
    <row r="180" spans="1:17" x14ac:dyDescent="0.25">
      <c r="A180" s="97" t="str">
        <f>'Data Vlaue (Cr)'!C175</f>
        <v>RVNL</v>
      </c>
      <c r="B180" s="140">
        <f>VLOOKUP($A180,'Data shares'!$C:$FB,7)</f>
        <v>330</v>
      </c>
      <c r="C180" s="140">
        <f>VLOOKUP($A180,'Data shares'!$C:$FB,3)</f>
        <v>330.7</v>
      </c>
      <c r="D180" s="140">
        <f>VLOOKUP($A180,'Data shares'!$C:$FB,4)</f>
        <v>329</v>
      </c>
      <c r="E180" s="50">
        <f t="shared" si="9"/>
        <v>0.5167173252279601</v>
      </c>
      <c r="F180" s="49">
        <f>VLOOKUP($A180,'Data shares'!$C:$FB,98)</f>
        <v>65855625</v>
      </c>
      <c r="G180" s="49">
        <f>VLOOKUP($A180,'Data shares'!$C:$FB,99)</f>
        <v>65144750</v>
      </c>
      <c r="H180" s="50">
        <f t="shared" si="10"/>
        <v>1.0912237747477733</v>
      </c>
      <c r="I180" s="49">
        <f>VLOOKUP($A180,'Data shares'!$C:$FB,66)</f>
        <v>44540375</v>
      </c>
      <c r="J180" s="49">
        <f>VLOOKUP($A180,'Data shares'!$C:$FB,67)</f>
        <v>46398000</v>
      </c>
      <c r="K180" s="50">
        <f t="shared" si="11"/>
        <v>-4.1706541536751764</v>
      </c>
      <c r="L180" s="50">
        <f>VLOOKUP($A180,'Data shares'!$C:$FB,118)</f>
        <v>0.42</v>
      </c>
      <c r="M180" s="50">
        <f>VLOOKUP($A180,'Data shares'!$C:$FB,119)</f>
        <v>0.42</v>
      </c>
      <c r="N180" s="50">
        <f>VLOOKUP($A180,'Data shares'!$C:$FB,121)*100</f>
        <v>0</v>
      </c>
      <c r="O180" s="50">
        <f>VLOOKUP($A180,'Data shares'!$C:$FB,124)</f>
        <v>0.28000000000000003</v>
      </c>
      <c r="P180" s="50">
        <f>VLOOKUP($A180,'Data shares'!$C:$FB,125)</f>
        <v>0.3</v>
      </c>
      <c r="Q180" s="50">
        <f>VLOOKUP($A180,'Data shares'!$C:$FB,127)*100</f>
        <v>-6.67</v>
      </c>
    </row>
    <row r="181" spans="1:17" x14ac:dyDescent="0.25">
      <c r="A181" s="97" t="str">
        <f>'Data Vlaue (Cr)'!C176</f>
        <v>SAIL</v>
      </c>
      <c r="B181" s="140">
        <f>VLOOKUP($A181,'Data shares'!$C:$FB,7)</f>
        <v>129.9</v>
      </c>
      <c r="C181" s="140">
        <f>VLOOKUP($A181,'Data shares'!$C:$FB,3)</f>
        <v>130.44999999999999</v>
      </c>
      <c r="D181" s="140">
        <f>VLOOKUP($A181,'Data shares'!$C:$FB,4)</f>
        <v>129.54</v>
      </c>
      <c r="E181" s="50">
        <f t="shared" si="9"/>
        <v>0.702485718696925</v>
      </c>
      <c r="F181" s="49">
        <f>VLOOKUP($A181,'Data shares'!$C:$FB,98)</f>
        <v>294003800</v>
      </c>
      <c r="G181" s="49">
        <f>VLOOKUP($A181,'Data shares'!$C:$FB,99)</f>
        <v>314994000</v>
      </c>
      <c r="H181" s="50">
        <f t="shared" si="10"/>
        <v>-6.6636824828409438</v>
      </c>
      <c r="I181" s="49">
        <f>VLOOKUP($A181,'Data shares'!$C:$FB,66)</f>
        <v>35052600</v>
      </c>
      <c r="J181" s="49">
        <f>VLOOKUP($A181,'Data shares'!$C:$FB,67)</f>
        <v>290774900</v>
      </c>
      <c r="K181" s="50">
        <f t="shared" si="11"/>
        <v>-729.53875033521047</v>
      </c>
      <c r="L181" s="50">
        <f>VLOOKUP($A181,'Data shares'!$C:$FB,118)</f>
        <v>0.63</v>
      </c>
      <c r="M181" s="50">
        <f>VLOOKUP($A181,'Data shares'!$C:$FB,119)</f>
        <v>0.57999999999999996</v>
      </c>
      <c r="N181" s="50">
        <f>VLOOKUP($A181,'Data shares'!$C:$FB,121)*100</f>
        <v>8.6199999999999992</v>
      </c>
      <c r="O181" s="50">
        <f>VLOOKUP($A181,'Data shares'!$C:$FB,124)</f>
        <v>0.27</v>
      </c>
      <c r="P181" s="50">
        <f>VLOOKUP($A181,'Data shares'!$C:$FB,125)</f>
        <v>0.53</v>
      </c>
      <c r="Q181" s="50">
        <f>VLOOKUP($A181,'Data shares'!$C:$FB,127)*100</f>
        <v>-49.059999999999995</v>
      </c>
    </row>
    <row r="182" spans="1:17" x14ac:dyDescent="0.25">
      <c r="A182" s="97" t="str">
        <f>'Data Vlaue (Cr)'!C177</f>
        <v>SAMMAANCAP</v>
      </c>
      <c r="B182" s="140">
        <f>VLOOKUP($A182,'Data shares'!$C:$FB,7)</f>
        <v>188.63</v>
      </c>
      <c r="C182" s="140">
        <f>VLOOKUP($A182,'Data shares'!$C:$FB,3)</f>
        <v>189.13</v>
      </c>
      <c r="D182" s="140">
        <f>VLOOKUP($A182,'Data shares'!$C:$FB,4)</f>
        <v>188.67</v>
      </c>
      <c r="E182" s="50">
        <f t="shared" si="9"/>
        <v>0.24381194678539672</v>
      </c>
      <c r="F182" s="49">
        <f>VLOOKUP($A182,'Data shares'!$C:$FB,98)</f>
        <v>179662600</v>
      </c>
      <c r="G182" s="49">
        <f>VLOOKUP($A182,'Data shares'!$C:$FB,99)</f>
        <v>194532000</v>
      </c>
      <c r="H182" s="50">
        <f t="shared" si="10"/>
        <v>-7.6436781609195394</v>
      </c>
      <c r="I182" s="49">
        <f>VLOOKUP($A182,'Data shares'!$C:$FB,66)</f>
        <v>22605100</v>
      </c>
      <c r="J182" s="49">
        <f>VLOOKUP($A182,'Data shares'!$C:$FB,67)</f>
        <v>569195300</v>
      </c>
      <c r="K182" s="50">
        <f t="shared" si="11"/>
        <v>-2417.9950542134297</v>
      </c>
      <c r="L182" s="50">
        <f>VLOOKUP($A182,'Data shares'!$C:$FB,118)</f>
        <v>1.17</v>
      </c>
      <c r="M182" s="50">
        <f>VLOOKUP($A182,'Data shares'!$C:$FB,119)</f>
        <v>1.1000000000000001</v>
      </c>
      <c r="N182" s="50">
        <f>VLOOKUP($A182,'Data shares'!$C:$FB,121)*100</f>
        <v>6.36</v>
      </c>
      <c r="O182" s="50">
        <f>VLOOKUP($A182,'Data shares'!$C:$FB,124)</f>
        <v>0.73</v>
      </c>
      <c r="P182" s="50">
        <f>VLOOKUP($A182,'Data shares'!$C:$FB,125)</f>
        <v>0.4</v>
      </c>
      <c r="Q182" s="50">
        <f>VLOOKUP($A182,'Data shares'!$C:$FB,127)*100</f>
        <v>82.5</v>
      </c>
    </row>
    <row r="183" spans="1:17" x14ac:dyDescent="0.25">
      <c r="A183" s="97" t="str">
        <f>'Data Vlaue (Cr)'!C178</f>
        <v>SBICARD</v>
      </c>
      <c r="B183" s="140">
        <f>VLOOKUP($A183,'Data shares'!$C:$FB,7)</f>
        <v>900.8</v>
      </c>
      <c r="C183" s="140">
        <f>VLOOKUP($A183,'Data shares'!$C:$FB,3)</f>
        <v>900.6</v>
      </c>
      <c r="D183" s="140">
        <f>VLOOKUP($A183,'Data shares'!$C:$FB,4)</f>
        <v>931.1</v>
      </c>
      <c r="E183" s="50">
        <f>(C183-D183)/D183*100</f>
        <v>-3.2756954140264201</v>
      </c>
      <c r="F183" s="49">
        <f>VLOOKUP($A183,'Data shares'!$C:$FB,98)</f>
        <v>37791200</v>
      </c>
      <c r="G183" s="49">
        <f>VLOOKUP($A183,'Data shares'!$C:$FB,99)</f>
        <v>37983200</v>
      </c>
      <c r="H183" s="50">
        <f>(F183-G183)/G183*100</f>
        <v>-0.50548663619705558</v>
      </c>
      <c r="I183" s="49">
        <f>VLOOKUP($A183,'Data shares'!$C:$FB,66)</f>
        <v>99734400</v>
      </c>
      <c r="J183" s="49">
        <f>VLOOKUP($A183,'Data shares'!$C:$FB,67)</f>
        <v>97160000</v>
      </c>
      <c r="K183" s="50">
        <f>(I183-J183)/I183*100</f>
        <v>2.5812558154458243</v>
      </c>
      <c r="L183" s="50">
        <f>VLOOKUP($A183,'Data shares'!$C:$FB,118)</f>
        <v>0.51</v>
      </c>
      <c r="M183" s="50">
        <f>VLOOKUP($A183,'Data shares'!$C:$FB,119)</f>
        <v>0.73</v>
      </c>
      <c r="N183" s="50">
        <f>VLOOKUP($A183,'Data shares'!$C:$FB,121)*100</f>
        <v>-30.14</v>
      </c>
      <c r="O183" s="50">
        <f>VLOOKUP($A183,'Data shares'!$C:$FB,124)</f>
        <v>0.55000000000000004</v>
      </c>
      <c r="P183" s="50">
        <f>VLOOKUP($A183,'Data shares'!$C:$FB,125)</f>
        <v>0.59</v>
      </c>
      <c r="Q183" s="50">
        <f>VLOOKUP($A183,'Data shares'!$C:$FB,127)*100</f>
        <v>-6.78</v>
      </c>
    </row>
    <row r="184" spans="1:17" x14ac:dyDescent="0.25">
      <c r="A184" s="97" t="str">
        <f>'Data Vlaue (Cr)'!C179</f>
        <v>SBILIFE</v>
      </c>
      <c r="B184" s="140">
        <f>VLOOKUP($A184,'Data shares'!$C:$FB,7)</f>
        <v>1903.1</v>
      </c>
      <c r="C184" s="140">
        <f>VLOOKUP($A184,'Data shares'!$C:$FB,3)</f>
        <v>1899.9</v>
      </c>
      <c r="D184" s="140">
        <f>VLOOKUP($A184,'Data shares'!$C:$FB,4)</f>
        <v>1839.2</v>
      </c>
      <c r="E184" s="50">
        <f t="shared" ref="E184:E189" si="12">(C184-D184)/D184*100</f>
        <v>3.3003479773814721</v>
      </c>
      <c r="F184" s="49">
        <f>VLOOKUP($A184,'Data shares'!$C:$FB,98)</f>
        <v>14403750</v>
      </c>
      <c r="G184" s="49">
        <f>VLOOKUP($A184,'Data shares'!$C:$FB,99)</f>
        <v>12886500</v>
      </c>
      <c r="H184" s="50">
        <f t="shared" ref="H184:H189" si="13">(F184-G184)/G184*100</f>
        <v>11.773949482016063</v>
      </c>
      <c r="I184" s="49">
        <f>VLOOKUP($A184,'Data shares'!$C:$FB,66)</f>
        <v>72963375</v>
      </c>
      <c r="J184" s="49">
        <f>VLOOKUP($A184,'Data shares'!$C:$FB,67)</f>
        <v>24755625</v>
      </c>
      <c r="K184" s="50">
        <f t="shared" ref="K184:K189" si="14">(I184-J184)/I184*100</f>
        <v>66.071162415389921</v>
      </c>
      <c r="L184" s="50">
        <f>VLOOKUP($A184,'Data shares'!$C:$FB,118)</f>
        <v>0.7</v>
      </c>
      <c r="M184" s="50">
        <f>VLOOKUP($A184,'Data shares'!$C:$FB,119)</f>
        <v>0.56000000000000005</v>
      </c>
      <c r="N184" s="50">
        <f>VLOOKUP($A184,'Data shares'!$C:$FB,121)*100</f>
        <v>25</v>
      </c>
      <c r="O184" s="50">
        <f>VLOOKUP($A184,'Data shares'!$C:$FB,124)</f>
        <v>0.48</v>
      </c>
      <c r="P184" s="50">
        <f>VLOOKUP($A184,'Data shares'!$C:$FB,125)</f>
        <v>0.73</v>
      </c>
      <c r="Q184" s="50">
        <f>VLOOKUP($A184,'Data shares'!$C:$FB,127)*100</f>
        <v>-34.25</v>
      </c>
    </row>
    <row r="185" spans="1:17" x14ac:dyDescent="0.25">
      <c r="A185" s="97" t="str">
        <f>'Data Vlaue (Cr)'!C180</f>
        <v>SBIN</v>
      </c>
      <c r="B185" s="140">
        <f>VLOOKUP($A185,'Data shares'!$C:$FB,7)</f>
        <v>922.75</v>
      </c>
      <c r="C185" s="140">
        <f>VLOOKUP($A185,'Data shares'!$C:$FB,3)</f>
        <v>921.5</v>
      </c>
      <c r="D185" s="140">
        <f>VLOOKUP($A185,'Data shares'!$C:$FB,4)</f>
        <v>904</v>
      </c>
      <c r="E185" s="50">
        <f t="shared" si="12"/>
        <v>1.9358407079646016</v>
      </c>
      <c r="F185" s="49">
        <f>VLOOKUP($A185,'Data shares'!$C:$FB,98)</f>
        <v>189942000</v>
      </c>
      <c r="G185" s="49">
        <f>VLOOKUP($A185,'Data shares'!$C:$FB,99)</f>
        <v>187596000</v>
      </c>
      <c r="H185" s="50">
        <f t="shared" si="13"/>
        <v>1.2505597134267254</v>
      </c>
      <c r="I185" s="49">
        <f>VLOOKUP($A185,'Data shares'!$C:$FB,66)</f>
        <v>270525750</v>
      </c>
      <c r="J185" s="49">
        <f>VLOOKUP($A185,'Data shares'!$C:$FB,67)</f>
        <v>210891000</v>
      </c>
      <c r="K185" s="50">
        <f t="shared" si="14"/>
        <v>22.04401983914655</v>
      </c>
      <c r="L185" s="50">
        <f>VLOOKUP($A185,'Data shares'!$C:$FB,118)</f>
        <v>0.86</v>
      </c>
      <c r="M185" s="50">
        <f>VLOOKUP($A185,'Data shares'!$C:$FB,119)</f>
        <v>0.78</v>
      </c>
      <c r="N185" s="50">
        <f>VLOOKUP($A185,'Data shares'!$C:$FB,121)*100</f>
        <v>10.26</v>
      </c>
      <c r="O185" s="50">
        <f>VLOOKUP($A185,'Data shares'!$C:$FB,124)</f>
        <v>0.48</v>
      </c>
      <c r="P185" s="50">
        <f>VLOOKUP($A185,'Data shares'!$C:$FB,125)</f>
        <v>0.73</v>
      </c>
      <c r="Q185" s="50">
        <f>VLOOKUP($A185,'Data shares'!$C:$FB,127)*100</f>
        <v>-34.25</v>
      </c>
    </row>
    <row r="186" spans="1:17" x14ac:dyDescent="0.25">
      <c r="A186" s="97" t="str">
        <f>'Data Vlaue (Cr)'!C181</f>
        <v>SHREECEM</v>
      </c>
      <c r="B186" s="140">
        <f>VLOOKUP($A186,'Data shares'!$C:$FB,7)</f>
        <v>28590</v>
      </c>
      <c r="C186" s="140">
        <f>VLOOKUP($A186,'Data shares'!$C:$FB,3)</f>
        <v>28475</v>
      </c>
      <c r="D186" s="140">
        <f>VLOOKUP($A186,'Data shares'!$C:$FB,4)</f>
        <v>28640</v>
      </c>
      <c r="E186" s="50">
        <f t="shared" si="12"/>
        <v>-0.5761173184357542</v>
      </c>
      <c r="F186" s="49">
        <f>VLOOKUP($A186,'Data shares'!$C:$FB,98)</f>
        <v>389375</v>
      </c>
      <c r="G186" s="49">
        <f>VLOOKUP($A186,'Data shares'!$C:$FB,99)</f>
        <v>375600</v>
      </c>
      <c r="H186" s="50">
        <f t="shared" si="13"/>
        <v>3.6674653887113955</v>
      </c>
      <c r="I186" s="49">
        <f>VLOOKUP($A186,'Data shares'!$C:$FB,66)</f>
        <v>509700</v>
      </c>
      <c r="J186" s="49">
        <f>VLOOKUP($A186,'Data shares'!$C:$FB,67)</f>
        <v>333700</v>
      </c>
      <c r="K186" s="50">
        <f t="shared" si="14"/>
        <v>34.530115754365312</v>
      </c>
      <c r="L186" s="50">
        <f>VLOOKUP($A186,'Data shares'!$C:$FB,118)</f>
        <v>0.6</v>
      </c>
      <c r="M186" s="50">
        <f>VLOOKUP($A186,'Data shares'!$C:$FB,119)</f>
        <v>0.55000000000000004</v>
      </c>
      <c r="N186" s="50">
        <f>VLOOKUP($A186,'Data shares'!$C:$FB,121)*100</f>
        <v>9.09</v>
      </c>
      <c r="O186" s="50">
        <f>VLOOKUP($A186,'Data shares'!$C:$FB,124)</f>
        <v>0.27</v>
      </c>
      <c r="P186" s="50">
        <f>VLOOKUP($A186,'Data shares'!$C:$FB,125)</f>
        <v>0.17</v>
      </c>
      <c r="Q186" s="50">
        <f>VLOOKUP($A186,'Data shares'!$C:$FB,127)*100</f>
        <v>58.819999999999993</v>
      </c>
    </row>
    <row r="187" spans="1:17" x14ac:dyDescent="0.25">
      <c r="A187" s="97" t="str">
        <f>'Data Vlaue (Cr)'!C182</f>
        <v>SHRIRAMFIN</v>
      </c>
      <c r="B187" s="140">
        <f>VLOOKUP($A187,'Data shares'!$C:$FB,7)</f>
        <v>719.6</v>
      </c>
      <c r="C187" s="140">
        <f>VLOOKUP($A187,'Data shares'!$C:$FB,3)</f>
        <v>719.95</v>
      </c>
      <c r="D187" s="140">
        <f>VLOOKUP($A187,'Data shares'!$C:$FB,4)</f>
        <v>715.55</v>
      </c>
      <c r="E187" s="50">
        <f t="shared" si="12"/>
        <v>0.6149116064565846</v>
      </c>
      <c r="F187" s="49">
        <f>VLOOKUP($A187,'Data shares'!$C:$FB,98)</f>
        <v>71237100</v>
      </c>
      <c r="G187" s="49">
        <f>VLOOKUP($A187,'Data shares'!$C:$FB,99)</f>
        <v>70827075</v>
      </c>
      <c r="H187" s="50">
        <f t="shared" si="13"/>
        <v>0.578909971928108</v>
      </c>
      <c r="I187" s="49">
        <f>VLOOKUP($A187,'Data shares'!$C:$FB,66)</f>
        <v>70872450</v>
      </c>
      <c r="J187" s="49">
        <f>VLOOKUP($A187,'Data shares'!$C:$FB,67)</f>
        <v>85251375</v>
      </c>
      <c r="K187" s="50">
        <f t="shared" si="14"/>
        <v>-20.288454822713199</v>
      </c>
      <c r="L187" s="50">
        <f>VLOOKUP($A187,'Data shares'!$C:$FB,118)</f>
        <v>1.03</v>
      </c>
      <c r="M187" s="50">
        <f>VLOOKUP($A187,'Data shares'!$C:$FB,119)</f>
        <v>1.03</v>
      </c>
      <c r="N187" s="50">
        <f>VLOOKUP($A187,'Data shares'!$C:$FB,121)*100</f>
        <v>0</v>
      </c>
      <c r="O187" s="50">
        <f>VLOOKUP($A187,'Data shares'!$C:$FB,124)</f>
        <v>0.61</v>
      </c>
      <c r="P187" s="50">
        <f>VLOOKUP($A187,'Data shares'!$C:$FB,125)</f>
        <v>0.45</v>
      </c>
      <c r="Q187" s="50">
        <f>VLOOKUP($A187,'Data shares'!$C:$FB,127)*100</f>
        <v>35.56</v>
      </c>
    </row>
    <row r="188" spans="1:17" x14ac:dyDescent="0.25">
      <c r="A188" s="97" t="str">
        <f>'Data Vlaue (Cr)'!C183</f>
        <v>SIEMENS</v>
      </c>
      <c r="B188" s="140">
        <f>VLOOKUP($A188,'Data shares'!$C:$FB,7)</f>
        <v>3159.9</v>
      </c>
      <c r="C188" s="140">
        <f>VLOOKUP($A188,'Data shares'!$C:$FB,3)</f>
        <v>3158.8</v>
      </c>
      <c r="D188" s="140">
        <f>VLOOKUP($A188,'Data shares'!$C:$FB,4)</f>
        <v>3147.6</v>
      </c>
      <c r="E188" s="50">
        <f t="shared" si="12"/>
        <v>0.35582666158343729</v>
      </c>
      <c r="F188" s="49">
        <f>VLOOKUP($A188,'Data shares'!$C:$FB,98)</f>
        <v>3935750</v>
      </c>
      <c r="G188" s="49">
        <f>VLOOKUP($A188,'Data shares'!$C:$FB,99)</f>
        <v>4091875</v>
      </c>
      <c r="H188" s="50">
        <f t="shared" si="13"/>
        <v>-3.8154880097754695</v>
      </c>
      <c r="I188" s="49">
        <f>VLOOKUP($A188,'Data shares'!$C:$FB,66)</f>
        <v>3923125</v>
      </c>
      <c r="J188" s="49">
        <f>VLOOKUP($A188,'Data shares'!$C:$FB,67)</f>
        <v>5259500</v>
      </c>
      <c r="K188" s="50">
        <f t="shared" si="14"/>
        <v>-34.064043332802299</v>
      </c>
      <c r="L188" s="50">
        <f>VLOOKUP($A188,'Data shares'!$C:$FB,118)</f>
        <v>0.42</v>
      </c>
      <c r="M188" s="50">
        <f>VLOOKUP($A188,'Data shares'!$C:$FB,119)</f>
        <v>0.41</v>
      </c>
      <c r="N188" s="50">
        <f>VLOOKUP($A188,'Data shares'!$C:$FB,121)*100</f>
        <v>2.44</v>
      </c>
      <c r="O188" s="50">
        <f>VLOOKUP($A188,'Data shares'!$C:$FB,124)</f>
        <v>0.36</v>
      </c>
      <c r="P188" s="50">
        <f>VLOOKUP($A188,'Data shares'!$C:$FB,125)</f>
        <v>0.39</v>
      </c>
      <c r="Q188" s="50">
        <f>VLOOKUP($A188,'Data shares'!$C:$FB,127)*100</f>
        <v>-7.6899999999999995</v>
      </c>
    </row>
    <row r="189" spans="1:17" x14ac:dyDescent="0.25">
      <c r="A189" s="97" t="str">
        <f>'Data Vlaue (Cr)'!C216</f>
        <v>ZYDUSLIFE</v>
      </c>
      <c r="B189" s="140">
        <f>VLOOKUP($A189,'Data shares'!$C:$FB,7)</f>
        <v>1013.85</v>
      </c>
      <c r="C189" s="140">
        <f>VLOOKUP($A189,'Data shares'!$C:$FB,3)</f>
        <v>1013.3</v>
      </c>
      <c r="D189" s="140">
        <f>VLOOKUP($A189,'Data shares'!$C:$FB,4)</f>
        <v>1003.3</v>
      </c>
      <c r="E189" s="50">
        <f t="shared" si="12"/>
        <v>0.99671085418120209</v>
      </c>
      <c r="F189" s="49">
        <f>VLOOKUP($A189,'Data shares'!$C:$FB,98)</f>
        <v>12435300</v>
      </c>
      <c r="G189" s="49">
        <f>VLOOKUP($A189,'Data shares'!$C:$FB,99)</f>
        <v>13030200</v>
      </c>
      <c r="H189" s="50">
        <f t="shared" si="13"/>
        <v>-4.5655477275866829</v>
      </c>
      <c r="I189" s="49">
        <f>VLOOKUP($A189,'Data shares'!$C:$FB,66)</f>
        <v>9630900</v>
      </c>
      <c r="J189" s="49">
        <f>VLOOKUP($A189,'Data shares'!$C:$FB,67)</f>
        <v>12165300</v>
      </c>
      <c r="K189" s="50">
        <f t="shared" si="14"/>
        <v>-26.315297635734979</v>
      </c>
      <c r="L189" s="50">
        <f>VLOOKUP($A189,'Data shares'!$C:$FB,118)</f>
        <v>0.75</v>
      </c>
      <c r="M189" s="50">
        <f>VLOOKUP($A189,'Data shares'!$C:$FB,119)</f>
        <v>0.67</v>
      </c>
      <c r="N189" s="50">
        <f>VLOOKUP($A189,'Data shares'!$C:$FB,121)*100</f>
        <v>11.940000000000001</v>
      </c>
      <c r="O189" s="50">
        <f>VLOOKUP($A189,'Data shares'!$C:$FB,124)</f>
        <v>0.41</v>
      </c>
      <c r="P189" s="50">
        <f>VLOOKUP($A189,'Data shares'!$C:$FB,125)</f>
        <v>0.33</v>
      </c>
      <c r="Q189" s="50">
        <f>VLOOKUP($A189,'Data shares'!$C:$FB,127)*100</f>
        <v>24.240000000000002</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23009672342</v>
      </c>
      <c r="G231" s="113">
        <f>SUM(G7:G172)</f>
        <v>22629963915</v>
      </c>
      <c r="H231" s="114">
        <f>(F231-G231)/G231*100</f>
        <v>1.6779011598348808</v>
      </c>
      <c r="I231" s="113">
        <f>SUM(I7:I172)</f>
        <v>31515178827</v>
      </c>
      <c r="J231" s="113">
        <f>SUM(J7:J172)</f>
        <v>25175142071</v>
      </c>
      <c r="K231" s="114">
        <f>(I231-J231)/J231*100</f>
        <v>25.183717883774243</v>
      </c>
      <c r="L231" s="113"/>
      <c r="M231" s="113"/>
      <c r="N231" s="113"/>
      <c r="O231" s="113"/>
      <c r="P231" s="257"/>
      <c r="Q231" s="257"/>
    </row>
    <row r="232" spans="1:17" s="64" customFormat="1" x14ac:dyDescent="0.25">
      <c r="A232" s="257" t="s">
        <v>398</v>
      </c>
      <c r="B232" s="257"/>
      <c r="C232" s="257"/>
      <c r="D232" s="257"/>
      <c r="E232" s="257"/>
      <c r="F232" s="113">
        <f>F231/10000000</f>
        <v>2300.9672341999999</v>
      </c>
      <c r="G232" s="113">
        <f>G231/10000000</f>
        <v>2262.9963914999998</v>
      </c>
      <c r="H232" s="114">
        <f>(F232-G232)/G232*100</f>
        <v>1.6779011598348832</v>
      </c>
      <c r="I232" s="113">
        <f>I231/10000000</f>
        <v>3151.5178827</v>
      </c>
      <c r="J232" s="113">
        <f>J231/10000000</f>
        <v>2517.5142071</v>
      </c>
      <c r="K232" s="114">
        <f>(I232-J232)/J232*100</f>
        <v>25.183717883774236</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N11" sqref="N11"/>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(Value)'!H153</f>
        <v>1623353</v>
      </c>
      <c r="C3" s="159">
        <f>'OI(Volume)'!G149</f>
        <v>2.7000000000000001E-3</v>
      </c>
      <c r="D3" s="153">
        <f>'Snapshot (Value)'!P149</f>
        <v>0.56999999999999995</v>
      </c>
      <c r="E3" s="153">
        <f>'Snapshot (Value)'!R149</f>
        <v>0.48</v>
      </c>
      <c r="F3" s="153">
        <f>IV!E149</f>
        <v>14.93</v>
      </c>
      <c r="G3" s="153">
        <f>IV!B149</f>
        <v>12.46</v>
      </c>
      <c r="H3" s="153">
        <f>'Snapshot (Value)'!C153</f>
        <v>25966.05</v>
      </c>
      <c r="I3" s="153">
        <f>'Snapshot (Value)'!D153</f>
        <v>26013.5</v>
      </c>
      <c r="J3" s="153">
        <f>'Snapshot (Value)'!E153</f>
        <v>25814.799999999999</v>
      </c>
      <c r="K3" s="153">
        <f>(I3-H3)</f>
        <v>47.450000000000728</v>
      </c>
      <c r="L3" s="232">
        <f>'Data Vlaue (Cr)'!V144</f>
        <v>26347.3</v>
      </c>
    </row>
    <row r="4" spans="1:12" x14ac:dyDescent="0.25">
      <c r="A4" t="s">
        <v>464</v>
      </c>
      <c r="B4" s="154">
        <f>'Snapshot (Value)'!H36</f>
        <v>356622</v>
      </c>
      <c r="C4" s="159">
        <f>'OI(Volume)'!G32</f>
        <v>7.1099999999999997E-2</v>
      </c>
      <c r="D4" s="153">
        <f>'Snapshot (Value)'!P36</f>
        <v>1.08</v>
      </c>
      <c r="E4" s="153">
        <f>'Snapshot (Value)'!R36</f>
        <v>0.91</v>
      </c>
      <c r="F4" s="153">
        <f>IV!E32</f>
        <v>17.05</v>
      </c>
      <c r="G4" s="153">
        <f>IV!B32</f>
        <v>12.09</v>
      </c>
      <c r="H4" s="153">
        <f>'Snapshot (Value)'!C36</f>
        <v>58114.25</v>
      </c>
      <c r="I4" s="153">
        <f>'Snapshot (Value)'!D36</f>
        <v>58183.199999999997</v>
      </c>
      <c r="J4" s="153">
        <f>'Snapshot (Value)'!E36</f>
        <v>57703.199999999997</v>
      </c>
      <c r="K4" s="153">
        <f>(I4-H4)</f>
        <v>68.94999999999709</v>
      </c>
      <c r="L4" s="232">
        <f>'Data Vlaue (Cr)'!V27</f>
        <v>58810.2</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3923.8</v>
      </c>
      <c r="C3" s="200"/>
      <c r="D3" s="200"/>
    </row>
    <row r="4" spans="1:4" x14ac:dyDescent="0.25">
      <c r="A4" s="217" t="s">
        <v>320</v>
      </c>
      <c r="B4" s="220">
        <f>VLOOKUP($B$1,'Snapshot (Value)'!$A:$S,6,0)</f>
        <v>3</v>
      </c>
      <c r="C4" s="200"/>
      <c r="D4" s="200"/>
    </row>
    <row r="5" spans="1:4" x14ac:dyDescent="0.25">
      <c r="A5" s="221"/>
      <c r="B5" s="222" t="s">
        <v>649</v>
      </c>
      <c r="C5" s="222" t="s">
        <v>650</v>
      </c>
      <c r="D5" s="222" t="s">
        <v>651</v>
      </c>
    </row>
    <row r="6" spans="1:4" x14ac:dyDescent="0.25">
      <c r="A6" s="217" t="s">
        <v>652</v>
      </c>
      <c r="B6" s="219">
        <f>VLOOKUP($B$1,'Snapshot (Value)'!$A:$S,4,0)</f>
        <v>3926.8</v>
      </c>
      <c r="C6" s="219">
        <f>VLOOKUP($B$1,'Snapshot (Value)'!$A:$S,5,0)</f>
        <v>3908.5</v>
      </c>
      <c r="D6" s="219">
        <f>+(B6/C6-1)*100</f>
        <v>0.46821031086095033</v>
      </c>
    </row>
    <row r="7" spans="1:4" x14ac:dyDescent="0.25">
      <c r="A7" s="217" t="s">
        <v>316</v>
      </c>
      <c r="B7" s="219">
        <f>VLOOKUP($B$1,'Snapshot (Volume)'!$A:$S,12,0)</f>
        <v>0.65</v>
      </c>
      <c r="C7" s="219">
        <f>VLOOKUP($B$1,'Snapshot (Volume)'!$A:$S,13,0)</f>
        <v>0.65</v>
      </c>
      <c r="D7" s="219">
        <f>+(B7/C7-1)*100</f>
        <v>0</v>
      </c>
    </row>
    <row r="8" spans="1:4" x14ac:dyDescent="0.25">
      <c r="A8" s="217" t="s">
        <v>653</v>
      </c>
      <c r="B8" s="219">
        <f>VLOOKUP($B$1,'Snapshot (Volume)'!$A:$S,15,0)</f>
        <v>0.61</v>
      </c>
      <c r="C8" s="219">
        <f>VLOOKUP($B$1,'Snapshot (Volume)'!$A:$S,16,0)</f>
        <v>0.67</v>
      </c>
      <c r="D8" s="219">
        <f>+(B8/C8-1)*100</f>
        <v>-8.9552238805970177</v>
      </c>
    </row>
    <row r="9" spans="1:4" x14ac:dyDescent="0.25">
      <c r="A9" s="215" t="s">
        <v>654</v>
      </c>
      <c r="B9" s="222" t="s">
        <v>655</v>
      </c>
      <c r="C9" s="222" t="s">
        <v>369</v>
      </c>
      <c r="D9" s="222" t="s">
        <v>651</v>
      </c>
    </row>
    <row r="10" spans="1:4" x14ac:dyDescent="0.25">
      <c r="A10" s="217" t="s">
        <v>656</v>
      </c>
      <c r="B10" s="219">
        <f>VLOOKUP($B$1,'OI(Value)'!$A:$O,5,0)</f>
        <v>6946</v>
      </c>
      <c r="C10" s="219">
        <f>VLOOKUP($B$1,'OI(Value)'!$A:$O,6,0)</f>
        <v>251</v>
      </c>
      <c r="D10" s="219">
        <f>VLOOKUP($B$1,'OI(Value)'!$A:$O,7,0)*100</f>
        <v>3.7600000000000002</v>
      </c>
    </row>
    <row r="11" spans="1:4" x14ac:dyDescent="0.25">
      <c r="A11" s="217" t="s">
        <v>657</v>
      </c>
      <c r="B11" s="219">
        <f>VLOOKUP($B$1,'OI(Value)'!$A:$O,8,0)</f>
        <v>3320</v>
      </c>
      <c r="C11" s="219">
        <f>VLOOKUP($B$1,'OI(Value)'!$A:$O,9,0)</f>
        <v>-83</v>
      </c>
      <c r="D11" s="219">
        <f>VLOOKUP($B$1,'OI(Value)'!$A:$O,10,0)*100</f>
        <v>-2.4500000000000002</v>
      </c>
    </row>
    <row r="12" spans="1:4" x14ac:dyDescent="0.25">
      <c r="A12" s="217" t="s">
        <v>658</v>
      </c>
      <c r="B12" s="219">
        <f>VLOOKUP($B$1,'OI(Value)'!$A:$O,11,0)</f>
        <v>2158</v>
      </c>
      <c r="C12" s="219">
        <f>VLOOKUP($B$1,'OI(Value)'!$A:$O,12,0)</f>
        <v>-40</v>
      </c>
      <c r="D12" s="219">
        <f>VLOOKUP($B$1,'OI(Value)'!$A:$O,13,0)*100</f>
        <v>-1.8399999999999999</v>
      </c>
    </row>
    <row r="13" spans="1:4" x14ac:dyDescent="0.25">
      <c r="A13" s="215" t="s">
        <v>659</v>
      </c>
      <c r="B13" s="223">
        <f>VLOOKUP($B$1,'OI(Value)'!$A:$O,2,0)</f>
        <v>12424</v>
      </c>
      <c r="C13" s="223">
        <f>VLOOKUP($B$1,'OI(Value)'!$A:$O,3,0)</f>
        <v>128</v>
      </c>
      <c r="D13" s="223">
        <f>VLOOKUP($B$1,'OI(Value)'!$A:$O,4,0)*100</f>
        <v>1.04</v>
      </c>
    </row>
    <row r="14" spans="1:4" x14ac:dyDescent="0.25">
      <c r="A14" s="215" t="s">
        <v>660</v>
      </c>
      <c r="B14" s="222" t="s">
        <v>661</v>
      </c>
      <c r="C14" s="222" t="s">
        <v>369</v>
      </c>
      <c r="D14" s="222" t="s">
        <v>651</v>
      </c>
    </row>
    <row r="15" spans="1:4" x14ac:dyDescent="0.25">
      <c r="A15" s="217" t="s">
        <v>656</v>
      </c>
      <c r="B15" s="219">
        <f>VLOOKUP($B$1,'OI(Volume)'!$A:$O,5,0)/10^5</f>
        <v>176.87950000000001</v>
      </c>
      <c r="C15" s="219">
        <f>VLOOKUP($B$1,'OI(Volume)'!$A:$O,6,0)/10^5</f>
        <v>6.4032499999999999</v>
      </c>
      <c r="D15" s="219">
        <f>(VLOOKUP($B$1,'OI(Volume)'!$A:$O,7,0))*100</f>
        <v>3.7600000000000002</v>
      </c>
    </row>
    <row r="16" spans="1:4" x14ac:dyDescent="0.25">
      <c r="A16" s="217" t="s">
        <v>657</v>
      </c>
      <c r="B16" s="219">
        <f>VLOOKUP($B$1,'OI(Volume)'!$A:$O,8,0)/10^5</f>
        <v>84.549499999999995</v>
      </c>
      <c r="C16" s="219">
        <f>VLOOKUP($B$1,'OI(Volume)'!$A:$O,9,0)/10^5</f>
        <v>-2.1192500000000001</v>
      </c>
      <c r="D16" s="219">
        <f>(VLOOKUP($B$1,'OI(Volume)'!$A:$O,10,0))*100</f>
        <v>-2.4500000000000002</v>
      </c>
    </row>
    <row r="17" spans="1:4" x14ac:dyDescent="0.25">
      <c r="A17" s="217" t="s">
        <v>658</v>
      </c>
      <c r="B17" s="219">
        <f>VLOOKUP($B$1,'OI(Volume)'!$A:$O,11,0)/10^5</f>
        <v>54.958750000000002</v>
      </c>
      <c r="C17" s="219">
        <f>VLOOKUP($B$1,'OI(Volume)'!$A:$O,12,0)/10^5</f>
        <v>-1.0307500000000001</v>
      </c>
      <c r="D17" s="219">
        <f>(VLOOKUP($B$1,'OI(Volume)'!$A:$O,13,0))*100</f>
        <v>-1.8399999999999999</v>
      </c>
    </row>
    <row r="18" spans="1:4" x14ac:dyDescent="0.25">
      <c r="A18" s="215" t="s">
        <v>662</v>
      </c>
      <c r="B18" s="223">
        <f>VLOOKUP($B$1,'OI(Volume)'!$A:$O,2,0)/10^5</f>
        <v>316.38774999999998</v>
      </c>
      <c r="C18" s="223">
        <f>VLOOKUP($B$1,'OI(Volume)'!$A:$O,3,0)/10^5</f>
        <v>3.25325</v>
      </c>
      <c r="D18" s="223">
        <f>(VLOOKUP($B$1,'OI(Volume)'!$A:$O,4,0))*100</f>
        <v>1.04</v>
      </c>
    </row>
    <row r="20" spans="1:4" x14ac:dyDescent="0.25">
      <c r="A20" s="17" t="s">
        <v>417</v>
      </c>
      <c r="B20" s="224">
        <f>VLOOKUP($B$1,'Open Interest Position'!$A:$F,2,0)/10^5</f>
        <v>1360.07303</v>
      </c>
    </row>
    <row r="21" spans="1:4" x14ac:dyDescent="0.25">
      <c r="A21" s="17" t="s">
        <v>412</v>
      </c>
      <c r="B21" s="224">
        <f>VLOOKUP($B$1,'Open Interest Position'!$A:$F,3,0)/10^5</f>
        <v>309.30549999999999</v>
      </c>
    </row>
    <row r="22" spans="1:4" x14ac:dyDescent="0.25">
      <c r="A22" s="17" t="s">
        <v>418</v>
      </c>
      <c r="B22" s="224">
        <f>VLOOKUP($B$1,'Open Interest Position'!$A:$F,4,0)/10^5</f>
        <v>178.13900522223699</v>
      </c>
    </row>
    <row r="23" spans="1:4" x14ac:dyDescent="0.25">
      <c r="A23" s="17" t="s">
        <v>419</v>
      </c>
      <c r="B23" s="225">
        <f>VLOOKUP($B$1,'Open Interest Position'!$A:$F,6,0)</f>
        <v>0.22741830267746727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45957</v>
      </c>
      <c r="E6" s="66" t="s">
        <v>368</v>
      </c>
      <c r="F6" s="71" t="s">
        <v>333</v>
      </c>
      <c r="G6" s="71" t="s">
        <v>328</v>
      </c>
      <c r="H6" s="66">
        <f>D6</f>
        <v>45957</v>
      </c>
      <c r="I6" s="71" t="s">
        <v>322</v>
      </c>
      <c r="J6" s="71" t="s">
        <v>328</v>
      </c>
      <c r="K6" s="66">
        <f>D6</f>
        <v>45957</v>
      </c>
      <c r="L6" s="78" t="s">
        <v>333</v>
      </c>
      <c r="M6" s="78" t="s">
        <v>328</v>
      </c>
      <c r="N6" s="66">
        <f>D6</f>
        <v>45957</v>
      </c>
      <c r="O6" s="78" t="s">
        <v>322</v>
      </c>
      <c r="P6" s="78" t="s">
        <v>328</v>
      </c>
    </row>
    <row r="7" spans="1:36" x14ac:dyDescent="0.25">
      <c r="A7" s="79" t="str">
        <f>'Data shares'!B2</f>
        <v>Finance</v>
      </c>
      <c r="B7" s="79" t="str">
        <f>'Data shares'!C2</f>
        <v>360ONE</v>
      </c>
      <c r="C7" s="79">
        <f>VLOOKUP($B7,'Data shares'!$C:$FB,7)</f>
        <v>1173</v>
      </c>
      <c r="D7" s="165">
        <f>VLOOKUP($B7,'Data shares'!$C:$FB,98)</f>
        <v>5950500</v>
      </c>
      <c r="E7" s="165">
        <f>VLOOKUP(B7,'Snapshot (Volume)'!$A$7:$G$168,7,0)</f>
        <v>6867500</v>
      </c>
      <c r="F7" s="165">
        <f>D7-E7</f>
        <v>-917000</v>
      </c>
      <c r="G7" s="166">
        <f>F7/E7</f>
        <v>-0.13352748452857663</v>
      </c>
      <c r="H7" s="165">
        <f>VLOOKUP($B7,'Data shares'!$C:$FB,66)</f>
        <v>5668000</v>
      </c>
      <c r="I7" s="165">
        <f>VLOOKUP($B7,'Data shares'!$C:$FB,67)</f>
        <v>7434500</v>
      </c>
      <c r="J7" s="81">
        <f>(H7-I7)/I7*100</f>
        <v>-23.760844710471453</v>
      </c>
      <c r="K7" s="81">
        <f>VLOOKUP($B7,'Data Vlaue (Cr)'!$C:$FB,99)</f>
        <v>699</v>
      </c>
      <c r="L7" s="81">
        <f>VLOOKUP(B7,'OI(Value)'!$A$7:$C$209,3,0)</f>
        <v>-108</v>
      </c>
      <c r="M7" s="81">
        <f t="shared" ref="M7:M36" si="0">L7/K7*100</f>
        <v>-15.450643776824036</v>
      </c>
      <c r="N7" s="81">
        <f>VLOOKUP($B7,'Data Vlaue (Cr)'!$C:$FB,67)</f>
        <v>665</v>
      </c>
      <c r="O7" s="81">
        <f>VLOOKUP($B7,'Data Vlaue (Cr)'!$C:$FB,68)</f>
        <v>873</v>
      </c>
      <c r="P7" s="81">
        <f t="shared" ref="P7:P23" si="1">(N7-O7)/N7*100</f>
        <v>-31.278195488721806</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5238</v>
      </c>
      <c r="D8" s="165">
        <f>VLOOKUP($B8,'Data shares'!$C:$FB,98)</f>
        <v>4563375</v>
      </c>
      <c r="E8" s="165">
        <f>VLOOKUP(B8,'Snapshot (Volume)'!$A$7:$G$168,7,0)</f>
        <v>4645125</v>
      </c>
      <c r="F8" s="165">
        <f t="shared" ref="F8:F23" si="2">D8-E8</f>
        <v>-81750</v>
      </c>
      <c r="G8" s="166">
        <f t="shared" ref="G8:G23" si="3">F8/E8</f>
        <v>-1.7599095826269475E-2</v>
      </c>
      <c r="H8" s="165">
        <f>VLOOKUP($B8,'Data shares'!$C:$FB,66)</f>
        <v>3919875</v>
      </c>
      <c r="I8" s="165">
        <f>VLOOKUP($B8,'Data shares'!$C:$FB,67)</f>
        <v>4631625</v>
      </c>
      <c r="J8" s="81">
        <f t="shared" ref="J8:J22" si="4">(H8-I8)/I8*100</f>
        <v>-15.367176746822119</v>
      </c>
      <c r="K8" s="81">
        <f>VLOOKUP($B8,'Data Vlaue (Cr)'!$C:$FB,99)</f>
        <v>2391</v>
      </c>
      <c r="L8" s="81">
        <f>VLOOKUP(B8,'OI(Value)'!$A$7:$C$209,3,0)</f>
        <v>-43</v>
      </c>
      <c r="M8" s="81">
        <f t="shared" si="0"/>
        <v>-1.7984107068172315</v>
      </c>
      <c r="N8" s="81">
        <f>VLOOKUP($B8,'Data Vlaue (Cr)'!$C:$FB,67)</f>
        <v>2054</v>
      </c>
      <c r="O8" s="81">
        <f>VLOOKUP($B8,'Data Vlaue (Cr)'!$C:$FB,68)</f>
        <v>2427</v>
      </c>
      <c r="P8" s="81">
        <f t="shared" si="1"/>
        <v>-18.159688412852969</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310.75</v>
      </c>
      <c r="D9" s="165">
        <f>VLOOKUP($B9,'Data shares'!$C:$FB,98)</f>
        <v>108221000</v>
      </c>
      <c r="E9" s="165">
        <f>VLOOKUP(B9,'Snapshot (Volume)'!$A$7:$G$168,7,0)</f>
        <v>108084600</v>
      </c>
      <c r="F9" s="165">
        <f t="shared" si="2"/>
        <v>136400</v>
      </c>
      <c r="G9" s="166">
        <f t="shared" si="3"/>
        <v>1.2619744163368325E-3</v>
      </c>
      <c r="H9" s="165">
        <f>VLOOKUP($B9,'Data shares'!$C:$FB,66)</f>
        <v>86635700</v>
      </c>
      <c r="I9" s="165">
        <f>VLOOKUP($B9,'Data shares'!$C:$FB,67)</f>
        <v>107353000</v>
      </c>
      <c r="J9" s="81">
        <f t="shared" si="4"/>
        <v>-19.29829627490615</v>
      </c>
      <c r="K9" s="81">
        <f>VLOOKUP($B9,'Data Vlaue (Cr)'!$C:$FB,99)</f>
        <v>3364</v>
      </c>
      <c r="L9" s="81">
        <f>VLOOKUP(B9,'OI(Value)'!$A$7:$C$209,3,0)</f>
        <v>4</v>
      </c>
      <c r="M9" s="81">
        <f t="shared" si="0"/>
        <v>0.11890606420927466</v>
      </c>
      <c r="N9" s="81">
        <f>VLOOKUP($B9,'Data Vlaue (Cr)'!$C:$FB,67)</f>
        <v>2693</v>
      </c>
      <c r="O9" s="81">
        <f>VLOOKUP($B9,'Data Vlaue (Cr)'!$C:$FB,68)</f>
        <v>3337</v>
      </c>
      <c r="P9" s="81">
        <f t="shared" si="1"/>
        <v>-23.913850724099518</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946.35</v>
      </c>
      <c r="D10" s="82">
        <f>VLOOKUP($B10,'Data shares'!$C:$FB,98)</f>
        <v>25488675</v>
      </c>
      <c r="E10" s="165">
        <f>VLOOKUP(B10,'Snapshot (Volume)'!$A$7:$G$168,7,0)</f>
        <v>24117750</v>
      </c>
      <c r="F10" s="165">
        <f t="shared" si="2"/>
        <v>1370925</v>
      </c>
      <c r="G10" s="166">
        <f t="shared" si="3"/>
        <v>5.6842989084802689E-2</v>
      </c>
      <c r="H10" s="165">
        <f>VLOOKUP($B10,'Data shares'!$C:$FB,66)</f>
        <v>21733650</v>
      </c>
      <c r="I10" s="165">
        <f>VLOOKUP($B10,'Data shares'!$C:$FB,67)</f>
        <v>17935425</v>
      </c>
      <c r="J10" s="81">
        <f t="shared" si="4"/>
        <v>21.177223288547665</v>
      </c>
      <c r="K10" s="5">
        <f>VLOOKUP($B10,'Data Vlaue (Cr)'!$C:$FB,99)</f>
        <v>2410</v>
      </c>
      <c r="L10" s="81">
        <f>VLOOKUP(B10,'OI(Value)'!$A$7:$C$209,3,0)</f>
        <v>130</v>
      </c>
      <c r="M10" s="33">
        <f t="shared" si="0"/>
        <v>5.394190871369295</v>
      </c>
      <c r="N10" s="5">
        <f>VLOOKUP($B10,'Data Vlaue (Cr)'!$C:$FB,67)</f>
        <v>2055</v>
      </c>
      <c r="O10" s="5">
        <f>VLOOKUP($B10,'Data Vlaue (Cr)'!$C:$FB,68)</f>
        <v>1696</v>
      </c>
      <c r="P10" s="5">
        <f t="shared" si="1"/>
        <v>17.469586374695865</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2492.8000000000002</v>
      </c>
      <c r="D11" s="82">
        <f>VLOOKUP($B11,'Data shares'!$C:$FB,98)</f>
        <v>26167500</v>
      </c>
      <c r="E11" s="165">
        <f>VLOOKUP(B11,'Snapshot (Volume)'!$A$7:$G$168,7,0)</f>
        <v>26601600</v>
      </c>
      <c r="F11" s="165">
        <f t="shared" si="2"/>
        <v>-434100</v>
      </c>
      <c r="G11" s="166">
        <f t="shared" si="3"/>
        <v>-1.6318567304222303E-2</v>
      </c>
      <c r="H11" s="165">
        <f>VLOOKUP($B11,'Data shares'!$C:$FB,66)</f>
        <v>25698600</v>
      </c>
      <c r="I11" s="165">
        <f>VLOOKUP($B11,'Data shares'!$C:$FB,67)</f>
        <v>23364300</v>
      </c>
      <c r="J11" s="81">
        <f t="shared" si="4"/>
        <v>9.990883527432878</v>
      </c>
      <c r="K11" s="5">
        <f>VLOOKUP($B11,'Data Vlaue (Cr)'!$C:$FB,99)</f>
        <v>6523</v>
      </c>
      <c r="L11" s="81">
        <f>VLOOKUP(B11,'OI(Value)'!$A$7:$C$209,3,0)</f>
        <v>-108</v>
      </c>
      <c r="M11" s="33">
        <f t="shared" si="0"/>
        <v>-1.6556799018856354</v>
      </c>
      <c r="N11" s="5">
        <f>VLOOKUP($B11,'Data Vlaue (Cr)'!$C:$FB,67)</f>
        <v>6406</v>
      </c>
      <c r="O11" s="5">
        <f>VLOOKUP($B11,'Data Vlaue (Cr)'!$C:$FB,68)</f>
        <v>5824</v>
      </c>
      <c r="P11" s="5">
        <f t="shared" si="1"/>
        <v>9.0852325944427097</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1017.1</v>
      </c>
      <c r="D12" s="82">
        <f>VLOOKUP($B12,'Data shares'!$C:$FB,98)</f>
        <v>37507800</v>
      </c>
      <c r="E12" s="165">
        <f>VLOOKUP(B12,'Snapshot (Volume)'!$A$7:$G$168,7,0)</f>
        <v>37648800</v>
      </c>
      <c r="F12" s="165">
        <f t="shared" si="2"/>
        <v>-141000</v>
      </c>
      <c r="G12" s="166">
        <f t="shared" si="3"/>
        <v>-3.7451392873079619E-3</v>
      </c>
      <c r="H12" s="165">
        <f>VLOOKUP($B12,'Data shares'!$C:$FB,66)</f>
        <v>42490800</v>
      </c>
      <c r="I12" s="165">
        <f>VLOOKUP($B12,'Data shares'!$C:$FB,67)</f>
        <v>30960600</v>
      </c>
      <c r="J12" s="81">
        <f t="shared" si="4"/>
        <v>37.241526327009169</v>
      </c>
      <c r="K12" s="5">
        <f>VLOOKUP($B12,'Data Vlaue (Cr)'!$C:$FB,99)</f>
        <v>3813</v>
      </c>
      <c r="L12" s="81">
        <f>VLOOKUP(B12,'OI(Value)'!$A$7:$C$209,3,0)</f>
        <v>-14</v>
      </c>
      <c r="M12" s="33">
        <f t="shared" si="0"/>
        <v>-0.36716496197220039</v>
      </c>
      <c r="N12" s="5">
        <f>VLOOKUP($B12,'Data Vlaue (Cr)'!$C:$FB,67)</f>
        <v>4319</v>
      </c>
      <c r="O12" s="5">
        <f>VLOOKUP($B12,'Data Vlaue (Cr)'!$C:$FB,68)</f>
        <v>3147</v>
      </c>
      <c r="P12" s="5">
        <f t="shared" si="1"/>
        <v>27.135911090530218</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1420.6</v>
      </c>
      <c r="D13" s="82">
        <f>VLOOKUP($B13,'Data shares'!$C:$FB,98)</f>
        <v>38202350</v>
      </c>
      <c r="E13" s="165">
        <f>VLOOKUP(B13,'Snapshot (Volume)'!$A$7:$G$168,7,0)</f>
        <v>38637925</v>
      </c>
      <c r="F13" s="165">
        <f t="shared" si="2"/>
        <v>-435575</v>
      </c>
      <c r="G13" s="166">
        <f t="shared" si="3"/>
        <v>-1.1273250310413926E-2</v>
      </c>
      <c r="H13" s="165">
        <f>VLOOKUP($B13,'Data shares'!$C:$FB,66)</f>
        <v>41810925</v>
      </c>
      <c r="I13" s="165">
        <f>VLOOKUP($B13,'Data shares'!$C:$FB,67)</f>
        <v>40575450</v>
      </c>
      <c r="J13" s="81">
        <f t="shared" si="4"/>
        <v>3.0448830512046077</v>
      </c>
      <c r="K13" s="5">
        <f>VLOOKUP($B13,'Data Vlaue (Cr)'!$C:$FB,99)</f>
        <v>5431</v>
      </c>
      <c r="L13" s="81">
        <f>VLOOKUP(B13,'OI(Value)'!$A$7:$C$209,3,0)</f>
        <v>-62</v>
      </c>
      <c r="M13" s="33">
        <f t="shared" si="0"/>
        <v>-1.1415945498066655</v>
      </c>
      <c r="N13" s="5">
        <f>VLOOKUP($B13,'Data Vlaue (Cr)'!$C:$FB,67)</f>
        <v>5944</v>
      </c>
      <c r="O13" s="5">
        <f>VLOOKUP($B13,'Data Vlaue (Cr)'!$C:$FB,68)</f>
        <v>5768</v>
      </c>
      <c r="P13" s="5">
        <f t="shared" si="1"/>
        <v>2.9609690444145356</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5475.5</v>
      </c>
      <c r="D14" s="82">
        <f>VLOOKUP($B14,'Data shares'!$C:$FB,98)</f>
        <v>1989375</v>
      </c>
      <c r="E14" s="165">
        <f>VLOOKUP(B14,'Snapshot (Volume)'!$A$7:$G$168,7,0)</f>
        <v>2040500</v>
      </c>
      <c r="F14" s="165">
        <f t="shared" si="2"/>
        <v>-51125</v>
      </c>
      <c r="G14" s="166">
        <f t="shared" si="3"/>
        <v>-2.5055133545699583E-2</v>
      </c>
      <c r="H14" s="165">
        <f>VLOOKUP($B14,'Data shares'!$C:$FB,66)</f>
        <v>2010000</v>
      </c>
      <c r="I14" s="165">
        <f>VLOOKUP($B14,'Data shares'!$C:$FB,67)</f>
        <v>2194750</v>
      </c>
      <c r="J14" s="81">
        <f t="shared" si="4"/>
        <v>-8.4178152409158216</v>
      </c>
      <c r="K14" s="5">
        <f>VLOOKUP($B14,'Data Vlaue (Cr)'!$C:$FB,99)</f>
        <v>1088</v>
      </c>
      <c r="L14" s="81">
        <f>VLOOKUP(B14,'OI(Value)'!$A$7:$C$209,3,0)</f>
        <v>-28</v>
      </c>
      <c r="M14" s="33">
        <f t="shared" si="0"/>
        <v>-2.5735294117647056</v>
      </c>
      <c r="N14" s="5">
        <f>VLOOKUP($B14,'Data Vlaue (Cr)'!$C:$FB,67)</f>
        <v>1099</v>
      </c>
      <c r="O14" s="5">
        <f>VLOOKUP($B14,'Data Vlaue (Cr)'!$C:$FB,68)</f>
        <v>1200</v>
      </c>
      <c r="P14" s="5">
        <f t="shared" si="1"/>
        <v>-9.1901728844404005</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8476</v>
      </c>
      <c r="D15" s="82">
        <f>VLOOKUP($B15,'Data shares'!$C:$FB,98)</f>
        <v>1584700</v>
      </c>
      <c r="E15" s="165">
        <f>VLOOKUP(B15,'Snapshot (Volume)'!$A$7:$G$168,7,0)</f>
        <v>1747300</v>
      </c>
      <c r="F15" s="165">
        <f t="shared" si="2"/>
        <v>-162600</v>
      </c>
      <c r="G15" s="166">
        <f t="shared" si="3"/>
        <v>-9.3057860699364739E-2</v>
      </c>
      <c r="H15" s="165">
        <f>VLOOKUP($B15,'Data shares'!$C:$FB,66)</f>
        <v>3512900</v>
      </c>
      <c r="I15" s="165">
        <f>VLOOKUP($B15,'Data shares'!$C:$FB,67)</f>
        <v>3470200</v>
      </c>
      <c r="J15" s="81">
        <f t="shared" si="4"/>
        <v>1.2304766295890728</v>
      </c>
      <c r="K15" s="5">
        <f>VLOOKUP($B15,'Data Vlaue (Cr)'!$C:$FB,99)</f>
        <v>1342</v>
      </c>
      <c r="L15" s="81">
        <f>VLOOKUP(B15,'OI(Value)'!$A$7:$C$209,3,0)</f>
        <v>-138</v>
      </c>
      <c r="M15" s="33">
        <f t="shared" si="0"/>
        <v>-10.283159463487332</v>
      </c>
      <c r="N15" s="5">
        <f>VLOOKUP($B15,'Data Vlaue (Cr)'!$C:$FB,67)</f>
        <v>2974</v>
      </c>
      <c r="O15" s="5">
        <f>VLOOKUP($B15,'Data Vlaue (Cr)'!$C:$FB,68)</f>
        <v>2938</v>
      </c>
      <c r="P15" s="5">
        <f t="shared" si="1"/>
        <v>1.2104909213180901</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560.25</v>
      </c>
      <c r="D16" s="82">
        <f>VLOOKUP($B16,'Data shares'!$C:$FB,98)</f>
        <v>66007200</v>
      </c>
      <c r="E16" s="165">
        <f>VLOOKUP(B16,'Snapshot (Volume)'!$A$7:$G$168,7,0)</f>
        <v>67191600</v>
      </c>
      <c r="F16" s="165">
        <f t="shared" si="2"/>
        <v>-1184400</v>
      </c>
      <c r="G16" s="166">
        <f t="shared" si="3"/>
        <v>-1.7627203400425052E-2</v>
      </c>
      <c r="H16" s="165">
        <f>VLOOKUP($B16,'Data shares'!$C:$FB,66)</f>
        <v>44317350</v>
      </c>
      <c r="I16" s="165">
        <f>VLOOKUP($B16,'Data shares'!$C:$FB,67)</f>
        <v>43504650</v>
      </c>
      <c r="J16" s="81">
        <f t="shared" si="4"/>
        <v>1.8680761711679095</v>
      </c>
      <c r="K16" s="5">
        <f>VLOOKUP($B16,'Data Vlaue (Cr)'!$C:$FB,99)</f>
        <v>3703</v>
      </c>
      <c r="L16" s="81">
        <f>VLOOKUP(B16,'OI(Value)'!$A$7:$C$209,3,0)</f>
        <v>-66</v>
      </c>
      <c r="M16" s="33">
        <f t="shared" si="0"/>
        <v>-1.7823386443424252</v>
      </c>
      <c r="N16" s="5">
        <f>VLOOKUP($B16,'Data Vlaue (Cr)'!$C:$FB,67)</f>
        <v>2486</v>
      </c>
      <c r="O16" s="5">
        <f>VLOOKUP($B16,'Data Vlaue (Cr)'!$C:$FB,68)</f>
        <v>2441</v>
      </c>
      <c r="P16" s="5">
        <f t="shared" si="1"/>
        <v>1.8101367658889784</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2577</v>
      </c>
      <c r="D17" s="82">
        <f>VLOOKUP($B17,'Data shares'!$C:$FB,98)</f>
        <v>6971500</v>
      </c>
      <c r="E17" s="165">
        <f>VLOOKUP(B17,'Snapshot (Volume)'!$A$7:$G$168,7,0)</f>
        <v>7268500</v>
      </c>
      <c r="F17" s="165">
        <f t="shared" si="2"/>
        <v>-297000</v>
      </c>
      <c r="G17" s="166">
        <f t="shared" si="3"/>
        <v>-4.0861250601912362E-2</v>
      </c>
      <c r="H17" s="165">
        <f>VLOOKUP($B17,'Data shares'!$C:$FB,66)</f>
        <v>11622250</v>
      </c>
      <c r="I17" s="165">
        <f>VLOOKUP($B17,'Data shares'!$C:$FB,67)</f>
        <v>9377250</v>
      </c>
      <c r="J17" s="81">
        <f t="shared" si="4"/>
        <v>23.940920845663708</v>
      </c>
      <c r="K17" s="5">
        <f>VLOOKUP($B17,'Data Vlaue (Cr)'!$C:$FB,99)</f>
        <v>1795</v>
      </c>
      <c r="L17" s="81">
        <f>VLOOKUP(B17,'OI(Value)'!$A$7:$C$209,3,0)</f>
        <v>-76</v>
      </c>
      <c r="M17" s="33">
        <f t="shared" si="0"/>
        <v>-4.233983286908078</v>
      </c>
      <c r="N17" s="5">
        <f>VLOOKUP($B17,'Data Vlaue (Cr)'!$C:$FB,67)</f>
        <v>2992</v>
      </c>
      <c r="O17" s="5">
        <f>VLOOKUP($B17,'Data Vlaue (Cr)'!$C:$FB,68)</f>
        <v>2414</v>
      </c>
      <c r="P17" s="5">
        <f t="shared" si="1"/>
        <v>19.318181818181817</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1767</v>
      </c>
      <c r="D18" s="82">
        <f>VLOOKUP($B18,'Data shares'!$C:$FB,98)</f>
        <v>12608750</v>
      </c>
      <c r="E18" s="165">
        <f>VLOOKUP(B18,'Snapshot (Volume)'!$A$7:$G$168,7,0)</f>
        <v>12709200</v>
      </c>
      <c r="F18" s="165">
        <f t="shared" si="2"/>
        <v>-100450</v>
      </c>
      <c r="G18" s="166">
        <f t="shared" si="3"/>
        <v>-7.9037232870676367E-3</v>
      </c>
      <c r="H18" s="165">
        <f>VLOOKUP($B18,'Data shares'!$C:$FB,66)</f>
        <v>13263600</v>
      </c>
      <c r="I18" s="165">
        <f>VLOOKUP($B18,'Data shares'!$C:$FB,67)</f>
        <v>12392450</v>
      </c>
      <c r="J18" s="81">
        <f t="shared" si="4"/>
        <v>7.0296833959386555</v>
      </c>
      <c r="K18" s="5">
        <f>VLOOKUP($B18,'Data Vlaue (Cr)'!$C:$FB,99)</f>
        <v>2229</v>
      </c>
      <c r="L18" s="81">
        <f>VLOOKUP(B18,'OI(Value)'!$A$7:$C$209,3,0)</f>
        <v>-18</v>
      </c>
      <c r="M18" s="33">
        <f t="shared" si="0"/>
        <v>-0.80753701211305517</v>
      </c>
      <c r="N18" s="5">
        <f>VLOOKUP($B18,'Data Vlaue (Cr)'!$C:$FB,67)</f>
        <v>2345</v>
      </c>
      <c r="O18" s="5">
        <f>VLOOKUP($B18,'Data Vlaue (Cr)'!$C:$FB,68)</f>
        <v>2191</v>
      </c>
      <c r="P18" s="5">
        <f t="shared" si="1"/>
        <v>6.567164179104477</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7845.5</v>
      </c>
      <c r="D19" s="82">
        <f>VLOOKUP($B19,'Data shares'!$C:$FB,98)</f>
        <v>3923000</v>
      </c>
      <c r="E19" s="165">
        <f>VLOOKUP(B19,'Snapshot (Volume)'!$A$7:$G$168,7,0)</f>
        <v>4134875</v>
      </c>
      <c r="F19" s="165">
        <f t="shared" si="2"/>
        <v>-211875</v>
      </c>
      <c r="G19" s="166">
        <f t="shared" si="3"/>
        <v>-5.1240968590344327E-2</v>
      </c>
      <c r="H19" s="165">
        <f>VLOOKUP($B19,'Data shares'!$C:$FB,66)</f>
        <v>3606500</v>
      </c>
      <c r="I19" s="165">
        <f>VLOOKUP($B19,'Data shares'!$C:$FB,67)</f>
        <v>4911625</v>
      </c>
      <c r="J19" s="81">
        <f t="shared" si="4"/>
        <v>-26.572162980683583</v>
      </c>
      <c r="K19" s="5">
        <f>VLOOKUP($B19,'Data Vlaue (Cr)'!$C:$FB,99)</f>
        <v>3082</v>
      </c>
      <c r="L19" s="81">
        <f>VLOOKUP(B19,'OI(Value)'!$A$7:$C$209,3,0)</f>
        <v>-166</v>
      </c>
      <c r="M19" s="33">
        <f t="shared" si="0"/>
        <v>-5.3861129136924077</v>
      </c>
      <c r="N19" s="5">
        <f>VLOOKUP($B19,'Data Vlaue (Cr)'!$C:$FB,67)</f>
        <v>2833</v>
      </c>
      <c r="O19" s="5">
        <f>VLOOKUP($B19,'Data Vlaue (Cr)'!$C:$FB,68)</f>
        <v>3858</v>
      </c>
      <c r="P19" s="5">
        <f t="shared" si="1"/>
        <v>-36.180727144369925</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140.81</v>
      </c>
      <c r="D20" s="82">
        <f>VLOOKUP($B20,'Data shares'!$C:$FB,98)</f>
        <v>276100000</v>
      </c>
      <c r="E20" s="165">
        <f>VLOOKUP(B20,'Snapshot (Volume)'!$A$7:$G$168,7,0)</f>
        <v>262770000</v>
      </c>
      <c r="F20" s="165">
        <f t="shared" si="2"/>
        <v>13330000</v>
      </c>
      <c r="G20" s="166">
        <f t="shared" si="3"/>
        <v>5.0728774213190241E-2</v>
      </c>
      <c r="H20" s="165">
        <f>VLOOKUP($B20,'Data shares'!$C:$FB,66)</f>
        <v>322115000</v>
      </c>
      <c r="I20" s="165">
        <f>VLOOKUP($B20,'Data shares'!$C:$FB,67)</f>
        <v>201970000</v>
      </c>
      <c r="J20" s="81">
        <f t="shared" si="4"/>
        <v>59.486557409516259</v>
      </c>
      <c r="K20" s="5">
        <f>VLOOKUP($B20,'Data Vlaue (Cr)'!$C:$FB,99)</f>
        <v>3899</v>
      </c>
      <c r="L20" s="81">
        <f>VLOOKUP(B20,'OI(Value)'!$A$7:$C$209,3,0)</f>
        <v>188</v>
      </c>
      <c r="M20" s="33">
        <f t="shared" si="0"/>
        <v>4.8217491664529364</v>
      </c>
      <c r="N20" s="5">
        <f>VLOOKUP($B20,'Data Vlaue (Cr)'!$C:$FB,67)</f>
        <v>4549</v>
      </c>
      <c r="O20" s="5">
        <f>VLOOKUP($B20,'Data Vlaue (Cr)'!$C:$FB,68)</f>
        <v>2852</v>
      </c>
      <c r="P20" s="5">
        <f t="shared" si="1"/>
        <v>37.304902176302484</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2518.8000000000002</v>
      </c>
      <c r="D21" s="82">
        <f>VLOOKUP($B21,'Data shares'!$C:$FB,98)</f>
        <v>23237250</v>
      </c>
      <c r="E21" s="165">
        <f>VLOOKUP(B21,'Snapshot (Volume)'!$A$7:$G$168,7,0)</f>
        <v>23683500</v>
      </c>
      <c r="F21" s="165">
        <f t="shared" si="2"/>
        <v>-446250</v>
      </c>
      <c r="G21" s="166">
        <f t="shared" si="3"/>
        <v>-1.8842231933624675E-2</v>
      </c>
      <c r="H21" s="165">
        <f>VLOOKUP($B21,'Data shares'!$C:$FB,66)</f>
        <v>20212250</v>
      </c>
      <c r="I21" s="165">
        <f>VLOOKUP($B21,'Data shares'!$C:$FB,67)</f>
        <v>19269500</v>
      </c>
      <c r="J21" s="81">
        <f t="shared" si="4"/>
        <v>4.89244661252238</v>
      </c>
      <c r="K21" s="5">
        <f>VLOOKUP($B21,'Data Vlaue (Cr)'!$C:$FB,99)</f>
        <v>5852</v>
      </c>
      <c r="L21" s="81">
        <f>VLOOKUP(B21,'OI(Value)'!$A$7:$C$209,3,0)</f>
        <v>-112</v>
      </c>
      <c r="M21" s="33">
        <f t="shared" si="0"/>
        <v>-1.9138755980861244</v>
      </c>
      <c r="N21" s="5">
        <f>VLOOKUP($B21,'Data Vlaue (Cr)'!$C:$FB,67)</f>
        <v>5090</v>
      </c>
      <c r="O21" s="5">
        <f>VLOOKUP($B21,'Data Vlaue (Cr)'!$C:$FB,68)</f>
        <v>4853</v>
      </c>
      <c r="P21" s="5">
        <f t="shared" si="1"/>
        <v>4.6561886051080554</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1435.2</v>
      </c>
      <c r="D22" s="82">
        <f>VLOOKUP($B22,'Data shares'!$C:$FB,98)</f>
        <v>13324600</v>
      </c>
      <c r="E22" s="165">
        <f>VLOOKUP(B22,'Snapshot (Volume)'!$A$7:$G$168,7,0)</f>
        <v>13563450</v>
      </c>
      <c r="F22" s="165">
        <f t="shared" si="2"/>
        <v>-238850</v>
      </c>
      <c r="G22" s="166">
        <f t="shared" si="3"/>
        <v>-1.7609826408472772E-2</v>
      </c>
      <c r="H22" s="165">
        <f>VLOOKUP($B22,'Data shares'!$C:$FB,66)</f>
        <v>12407875</v>
      </c>
      <c r="I22" s="165">
        <f>VLOOKUP($B22,'Data shares'!$C:$FB,67)</f>
        <v>12601675</v>
      </c>
      <c r="J22" s="81">
        <f t="shared" si="4"/>
        <v>-1.5378907962631951</v>
      </c>
      <c r="K22" s="5">
        <f>VLOOKUP($B22,'Data Vlaue (Cr)'!$C:$FB,99)</f>
        <v>1911</v>
      </c>
      <c r="L22" s="81">
        <f>VLOOKUP(B22,'OI(Value)'!$A$7:$C$209,3,0)</f>
        <v>-34</v>
      </c>
      <c r="M22" s="33">
        <f t="shared" si="0"/>
        <v>-1.7791732077446363</v>
      </c>
      <c r="N22" s="5">
        <f>VLOOKUP($B22,'Data Vlaue (Cr)'!$C:$FB,67)</f>
        <v>1780</v>
      </c>
      <c r="O22" s="5">
        <f>VLOOKUP($B22,'Data Vlaue (Cr)'!$C:$FB,68)</f>
        <v>1807</v>
      </c>
      <c r="P22" s="5">
        <f t="shared" si="1"/>
        <v>-1.5168539325842696</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864.2</v>
      </c>
      <c r="D23" s="82">
        <f>VLOOKUP($B23,'Data shares'!$C:$FB,98)</f>
        <v>40311000</v>
      </c>
      <c r="E23" s="165">
        <f>VLOOKUP(B23,'Snapshot (Volume)'!$A$7:$G$168,7,0)</f>
        <v>44165000</v>
      </c>
      <c r="F23" s="165">
        <f t="shared" si="2"/>
        <v>-3854000</v>
      </c>
      <c r="G23" s="166">
        <f t="shared" si="3"/>
        <v>-8.7263670327182158E-2</v>
      </c>
      <c r="H23" s="165">
        <f>VLOOKUP($B23,'Data shares'!$C:$FB,66)</f>
        <v>30639000</v>
      </c>
      <c r="I23" s="165">
        <f>VLOOKUP($B23,'Data shares'!$C:$FB,67)</f>
        <v>53037000</v>
      </c>
      <c r="J23" s="81">
        <f>(H23-I23)/I23*100</f>
        <v>-42.230895412636457</v>
      </c>
      <c r="K23" s="5">
        <f>VLOOKUP($B23,'Data Vlaue (Cr)'!$C:$FB,99)</f>
        <v>3484</v>
      </c>
      <c r="L23" s="81">
        <f>VLOOKUP(B23,'OI(Value)'!$A$7:$C$209,3,0)</f>
        <v>-333</v>
      </c>
      <c r="M23" s="33">
        <f t="shared" si="0"/>
        <v>-9.5579793340987376</v>
      </c>
      <c r="N23" s="5">
        <f>VLOOKUP($B23,'Data Vlaue (Cr)'!$C:$FB,67)</f>
        <v>2648</v>
      </c>
      <c r="O23" s="5">
        <f>VLOOKUP($B23,'Data Vlaue (Cr)'!$C:$FB,68)</f>
        <v>4584</v>
      </c>
      <c r="P23" s="5">
        <f t="shared" si="1"/>
        <v>-73.111782477341393</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1094.7</v>
      </c>
      <c r="D24" s="80">
        <f>VLOOKUP($B24,'Data shares'!$C:$FB,98)</f>
        <v>33172700</v>
      </c>
      <c r="E24" s="165">
        <f>VLOOKUP(B24,'Snapshot (Volume)'!$A$7:$G$168,7,0)</f>
        <v>32832250</v>
      </c>
      <c r="F24" s="165">
        <f t="shared" ref="F24:F36" si="5">D24-E24</f>
        <v>340450</v>
      </c>
      <c r="G24" s="166">
        <f t="shared" ref="G24:G36" si="6">F24/E24</f>
        <v>1.0369377669821593E-2</v>
      </c>
      <c r="H24" s="165">
        <f>VLOOKUP($B24,'Data shares'!$C:$FB,66)</f>
        <v>23574650</v>
      </c>
      <c r="I24" s="165">
        <f>VLOOKUP($B24,'Data shares'!$C:$FB,67)</f>
        <v>26075500</v>
      </c>
      <c r="J24" s="81">
        <f t="shared" ref="J24:J36" si="7">(H24-I24)/I24*100</f>
        <v>-9.5908036279265971</v>
      </c>
      <c r="K24" s="81">
        <f>VLOOKUP($B24,'Data Vlaue (Cr)'!$C:$FB,99)</f>
        <v>3631</v>
      </c>
      <c r="L24" s="81">
        <f>VLOOKUP(B24,'OI(Value)'!$A$7:$C$209,3,0)</f>
        <v>37</v>
      </c>
      <c r="M24" s="81">
        <f t="shared" si="0"/>
        <v>1.019003029468466</v>
      </c>
      <c r="N24" s="81">
        <f>VLOOKUP($B24,'Data Vlaue (Cr)'!$C:$FB,67)</f>
        <v>2580</v>
      </c>
      <c r="O24" s="81">
        <f>VLOOKUP($B24,'Data Vlaue (Cr)'!$C:$FB,68)</f>
        <v>2854</v>
      </c>
      <c r="P24" s="81">
        <f t="shared" ref="P24:P36" si="8">(N24-O24)/N24*100</f>
        <v>-10.620155038759691</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1254.0999999999999</v>
      </c>
      <c r="D25" s="82">
        <f>VLOOKUP($B25,'Data shares'!$C:$FB,98)</f>
        <v>131518125</v>
      </c>
      <c r="E25" s="165">
        <f>VLOOKUP(B25,'Snapshot (Volume)'!$A$7:$G$168,7,0)</f>
        <v>133486250</v>
      </c>
      <c r="F25" s="165">
        <f t="shared" si="5"/>
        <v>-1968125</v>
      </c>
      <c r="G25" s="166">
        <f t="shared" si="6"/>
        <v>-1.4744027942952926E-2</v>
      </c>
      <c r="H25" s="165">
        <f>VLOOKUP($B25,'Data shares'!$C:$FB,66)</f>
        <v>76526875</v>
      </c>
      <c r="I25" s="165">
        <f>VLOOKUP($B25,'Data shares'!$C:$FB,67)</f>
        <v>112503750</v>
      </c>
      <c r="J25" s="81">
        <f t="shared" si="7"/>
        <v>-31.978378498494493</v>
      </c>
      <c r="K25" s="5">
        <f>VLOOKUP($B25,'Data Vlaue (Cr)'!$C:$FB,99)</f>
        <v>16475</v>
      </c>
      <c r="L25" s="81">
        <f>VLOOKUP(B25,'OI(Value)'!$A$7:$C$209,3,0)</f>
        <v>-247</v>
      </c>
      <c r="M25" s="33">
        <f t="shared" si="0"/>
        <v>-1.4992412746585737</v>
      </c>
      <c r="N25" s="5">
        <f>VLOOKUP($B25,'Data Vlaue (Cr)'!$C:$FB,67)</f>
        <v>9587</v>
      </c>
      <c r="O25" s="5">
        <f>VLOOKUP($B25,'Data Vlaue (Cr)'!$C:$FB,68)</f>
        <v>14093</v>
      </c>
      <c r="P25" s="5">
        <f t="shared" si="8"/>
        <v>-47.001147387086675</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9095.5</v>
      </c>
      <c r="D26" s="82">
        <f>VLOOKUP($B26,'Data shares'!$C:$FB,98)</f>
        <v>5542950</v>
      </c>
      <c r="E26" s="165">
        <f>VLOOKUP(B26,'Snapshot (Volume)'!$A$7:$G$168,7,0)</f>
        <v>5662875</v>
      </c>
      <c r="F26" s="165">
        <f t="shared" si="5"/>
        <v>-119925</v>
      </c>
      <c r="G26" s="166">
        <f t="shared" si="6"/>
        <v>-2.1177405469836433E-2</v>
      </c>
      <c r="H26" s="165">
        <f>VLOOKUP($B26,'Data shares'!$C:$FB,66)</f>
        <v>5530950</v>
      </c>
      <c r="I26" s="165">
        <f>VLOOKUP($B26,'Data shares'!$C:$FB,67)</f>
        <v>7086675</v>
      </c>
      <c r="J26" s="81">
        <f t="shared" si="7"/>
        <v>-21.952819904962482</v>
      </c>
      <c r="K26" s="5">
        <f>VLOOKUP($B26,'Data Vlaue (Cr)'!$C:$FB,99)</f>
        <v>5054</v>
      </c>
      <c r="L26" s="81">
        <f>VLOOKUP(B26,'OI(Value)'!$A$7:$C$209,3,0)</f>
        <v>-109</v>
      </c>
      <c r="M26" s="33">
        <f t="shared" si="0"/>
        <v>-2.1567075583696083</v>
      </c>
      <c r="N26" s="5">
        <f>VLOOKUP($B26,'Data Vlaue (Cr)'!$C:$FB,67)</f>
        <v>5043</v>
      </c>
      <c r="O26" s="5">
        <f>VLOOKUP($B26,'Data Vlaue (Cr)'!$C:$FB,68)</f>
        <v>6461</v>
      </c>
      <c r="P26" s="5">
        <f t="shared" si="8"/>
        <v>-28.118183620860599</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2170.1999999999998</v>
      </c>
      <c r="D27" s="82">
        <f>VLOOKUP($B27,'Data shares'!$C:$FB,98)</f>
        <v>32946000</v>
      </c>
      <c r="E27" s="165">
        <f>VLOOKUP(B27,'Snapshot (Volume)'!$A$7:$G$168,7,0)</f>
        <v>33139500</v>
      </c>
      <c r="F27" s="165">
        <f t="shared" si="5"/>
        <v>-193500</v>
      </c>
      <c r="G27" s="166">
        <f t="shared" si="6"/>
        <v>-5.8389535146879104E-3</v>
      </c>
      <c r="H27" s="165">
        <f>VLOOKUP($B27,'Data shares'!$C:$FB,66)</f>
        <v>22070000</v>
      </c>
      <c r="I27" s="165">
        <f>VLOOKUP($B27,'Data shares'!$C:$FB,67)</f>
        <v>24000000</v>
      </c>
      <c r="J27" s="81">
        <f t="shared" si="7"/>
        <v>-8.0416666666666661</v>
      </c>
      <c r="K27" s="5">
        <f>VLOOKUP($B27,'Data Vlaue (Cr)'!$C:$FB,99)</f>
        <v>7149</v>
      </c>
      <c r="L27" s="81">
        <f>VLOOKUP(B27,'OI(Value)'!$A$7:$C$209,3,0)</f>
        <v>-42</v>
      </c>
      <c r="M27" s="33">
        <f t="shared" si="0"/>
        <v>-0.58749475451112043</v>
      </c>
      <c r="N27" s="5">
        <f>VLOOKUP($B27,'Data Vlaue (Cr)'!$C:$FB,67)</f>
        <v>4789</v>
      </c>
      <c r="O27" s="5">
        <f>VLOOKUP($B27,'Data Vlaue (Cr)'!$C:$FB,68)</f>
        <v>5208</v>
      </c>
      <c r="P27" s="5">
        <f t="shared" si="8"/>
        <v>-8.7492169555230728</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1084.4000000000001</v>
      </c>
      <c r="D28" s="82">
        <f>VLOOKUP($B28,'Data shares'!$C:$FB,98)</f>
        <v>130308750</v>
      </c>
      <c r="E28" s="165">
        <f>VLOOKUP(B28,'Snapshot (Volume)'!$A$7:$G$168,7,0)</f>
        <v>135821250</v>
      </c>
      <c r="F28" s="165">
        <f t="shared" si="5"/>
        <v>-5512500</v>
      </c>
      <c r="G28" s="166">
        <f t="shared" si="6"/>
        <v>-4.058643253540959E-2</v>
      </c>
      <c r="H28" s="165">
        <f>VLOOKUP($B28,'Data shares'!$C:$FB,66)</f>
        <v>95735250</v>
      </c>
      <c r="I28" s="165">
        <f>VLOOKUP($B28,'Data shares'!$C:$FB,67)</f>
        <v>102144750</v>
      </c>
      <c r="J28" s="81">
        <f t="shared" si="7"/>
        <v>-6.2749186815768798</v>
      </c>
      <c r="K28" s="5">
        <f>VLOOKUP($B28,'Data Vlaue (Cr)'!$C:$FB,99)</f>
        <v>14148</v>
      </c>
      <c r="L28" s="81">
        <f>VLOOKUP(B28,'OI(Value)'!$A$7:$C$209,3,0)</f>
        <v>-598</v>
      </c>
      <c r="M28" s="33">
        <f t="shared" si="0"/>
        <v>-4.2267458297992651</v>
      </c>
      <c r="N28" s="5">
        <f>VLOOKUP($B28,'Data Vlaue (Cr)'!$C:$FB,67)</f>
        <v>10394</v>
      </c>
      <c r="O28" s="5">
        <f>VLOOKUP($B28,'Data Vlaue (Cr)'!$C:$FB,68)</f>
        <v>11090</v>
      </c>
      <c r="P28" s="5">
        <f t="shared" si="8"/>
        <v>-6.6961708678083518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172.04</v>
      </c>
      <c r="D29" s="82">
        <f>VLOOKUP($B29,'Data shares'!$C:$FB,98)</f>
        <v>177750000</v>
      </c>
      <c r="E29" s="165">
        <f>VLOOKUP(B29,'Snapshot (Volume)'!$A$7:$G$168,7,0)</f>
        <v>178236000</v>
      </c>
      <c r="F29" s="165">
        <f t="shared" si="5"/>
        <v>-486000</v>
      </c>
      <c r="G29" s="166">
        <f t="shared" si="6"/>
        <v>-2.7267218743688144E-3</v>
      </c>
      <c r="H29" s="165">
        <f>VLOOKUP($B29,'Data shares'!$C:$FB,66)</f>
        <v>130600800</v>
      </c>
      <c r="I29" s="165">
        <f>VLOOKUP($B29,'Data shares'!$C:$FB,67)</f>
        <v>141814800</v>
      </c>
      <c r="J29" s="81">
        <f t="shared" si="7"/>
        <v>-7.9074962556799422</v>
      </c>
      <c r="K29" s="5">
        <f>VLOOKUP($B29,'Data Vlaue (Cr)'!$C:$FB,99)</f>
        <v>3057</v>
      </c>
      <c r="L29" s="81">
        <f>VLOOKUP(B29,'OI(Value)'!$A$7:$C$209,3,0)</f>
        <v>-8</v>
      </c>
      <c r="M29" s="33">
        <f t="shared" si="0"/>
        <v>-0.26169447170428528</v>
      </c>
      <c r="N29" s="5">
        <f>VLOOKUP($B29,'Data Vlaue (Cr)'!$C:$FB,67)</f>
        <v>2246</v>
      </c>
      <c r="O29" s="5">
        <f>VLOOKUP($B29,'Data Vlaue (Cr)'!$C:$FB,68)</f>
        <v>2439</v>
      </c>
      <c r="P29" s="5">
        <f t="shared" si="8"/>
        <v>-8.5930543187889583</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273.64999999999998</v>
      </c>
      <c r="D30" s="82">
        <f>VLOOKUP($B30,'Data shares'!$C:$FB,98)</f>
        <v>213998850</v>
      </c>
      <c r="E30" s="165">
        <f>VLOOKUP(B30,'Snapshot (Volume)'!$A$7:$G$168,7,0)</f>
        <v>212328675</v>
      </c>
      <c r="F30" s="165">
        <f t="shared" si="5"/>
        <v>1670175</v>
      </c>
      <c r="G30" s="166">
        <f t="shared" si="6"/>
        <v>7.8659888966951825E-3</v>
      </c>
      <c r="H30" s="165">
        <f>VLOOKUP($B30,'Data shares'!$C:$FB,66)</f>
        <v>220325625</v>
      </c>
      <c r="I30" s="165">
        <f>VLOOKUP($B30,'Data shares'!$C:$FB,67)</f>
        <v>197367300</v>
      </c>
      <c r="J30" s="81">
        <f t="shared" si="7"/>
        <v>11.632284071373524</v>
      </c>
      <c r="K30" s="5">
        <f>VLOOKUP($B30,'Data Vlaue (Cr)'!$C:$FB,99)</f>
        <v>5846</v>
      </c>
      <c r="L30" s="81">
        <f>VLOOKUP(B30,'OI(Value)'!$A$7:$C$209,3,0)</f>
        <v>46</v>
      </c>
      <c r="M30" s="33">
        <f t="shared" si="0"/>
        <v>0.7868628121792679</v>
      </c>
      <c r="N30" s="5">
        <f>VLOOKUP($B30,'Data Vlaue (Cr)'!$C:$FB,67)</f>
        <v>6019</v>
      </c>
      <c r="O30" s="5">
        <f>VLOOKUP($B30,'Data Vlaue (Cr)'!$C:$FB,68)</f>
        <v>5392</v>
      </c>
      <c r="P30" s="5">
        <f t="shared" si="8"/>
        <v>10.417012792822728</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139.71</v>
      </c>
      <c r="D31" s="82">
        <f>VLOOKUP($B31,'Data shares'!$C:$FB,98)</f>
        <v>126594000</v>
      </c>
      <c r="E31" s="165">
        <f>VLOOKUP(B31,'Snapshot (Volume)'!$A$7:$G$168,7,0)</f>
        <v>120125200</v>
      </c>
      <c r="F31" s="165">
        <f t="shared" si="5"/>
        <v>6468800</v>
      </c>
      <c r="G31" s="166">
        <f t="shared" si="6"/>
        <v>5.385048266308818E-2</v>
      </c>
      <c r="H31" s="165">
        <f>VLOOKUP($B31,'Data shares'!$C:$FB,66)</f>
        <v>178942400</v>
      </c>
      <c r="I31" s="165">
        <f>VLOOKUP($B31,'Data shares'!$C:$FB,67)</f>
        <v>104847600</v>
      </c>
      <c r="J31" s="81">
        <f t="shared" si="7"/>
        <v>70.669047264791956</v>
      </c>
      <c r="K31" s="5">
        <f>VLOOKUP($B31,'Data Vlaue (Cr)'!$C:$FB,99)</f>
        <v>1771</v>
      </c>
      <c r="L31" s="81">
        <f>VLOOKUP(B31,'OI(Value)'!$A$7:$C$209,3,0)</f>
        <v>90</v>
      </c>
      <c r="M31" s="33">
        <f t="shared" si="0"/>
        <v>5.0818746470920386</v>
      </c>
      <c r="N31" s="5">
        <f>VLOOKUP($B31,'Data Vlaue (Cr)'!$C:$FB,67)</f>
        <v>2503</v>
      </c>
      <c r="O31" s="5">
        <f>VLOOKUP($B31,'Data Vlaue (Cr)'!$C:$FB,68)</f>
        <v>1466</v>
      </c>
      <c r="P31" s="5">
        <f t="shared" si="8"/>
        <v>41.43028365960847</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58114.25</v>
      </c>
      <c r="D32" s="82">
        <f>VLOOKUP($B32,'Data shares'!$C:$FB,98)</f>
        <v>61292990</v>
      </c>
      <c r="E32" s="165">
        <f>VLOOKUP(B32,'Snapshot (Volume)'!$A$7:$G$168,7,0)</f>
        <v>60921290</v>
      </c>
      <c r="F32" s="165">
        <f t="shared" si="5"/>
        <v>371700</v>
      </c>
      <c r="G32" s="166">
        <f t="shared" si="6"/>
        <v>6.1013153201450593E-3</v>
      </c>
      <c r="H32" s="165">
        <f>VLOOKUP($B32,'Data shares'!$C:$FB,66)</f>
        <v>639338210</v>
      </c>
      <c r="I32" s="165">
        <f>VLOOKUP($B32,'Data shares'!$C:$FB,67)</f>
        <v>476797125</v>
      </c>
      <c r="J32" s="81">
        <f t="shared" si="7"/>
        <v>34.09019821585543</v>
      </c>
      <c r="K32" s="5">
        <f>VLOOKUP($B32,'Data Vlaue (Cr)'!$C:$FB,99)</f>
        <v>356622</v>
      </c>
      <c r="L32" s="81">
        <f>VLOOKUP(B32,'OI(Value)'!$A$7:$C$209,3,0)</f>
        <v>2163</v>
      </c>
      <c r="M32" s="33">
        <f t="shared" si="0"/>
        <v>0.60652455541161232</v>
      </c>
      <c r="N32" s="5">
        <f>VLOOKUP($B32,'Data Vlaue (Cr)'!$C:$FB,67)</f>
        <v>3719874</v>
      </c>
      <c r="O32" s="5">
        <f>VLOOKUP($B32,'Data Vlaue (Cr)'!$C:$FB,68)</f>
        <v>2774158</v>
      </c>
      <c r="P32" s="5">
        <f t="shared" si="8"/>
        <v>25.423334231213207</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1537.8</v>
      </c>
      <c r="D33" s="82">
        <f>VLOOKUP($B33,'Data shares'!$C:$FB,98)</f>
        <v>9695400</v>
      </c>
      <c r="E33" s="165">
        <f>VLOOKUP(B33,'Snapshot (Volume)'!$A$7:$G$168,7,0)</f>
        <v>10896275</v>
      </c>
      <c r="F33" s="165">
        <f t="shared" si="5"/>
        <v>-1200875</v>
      </c>
      <c r="G33" s="166">
        <f t="shared" si="6"/>
        <v>-0.11020968174903809</v>
      </c>
      <c r="H33" s="165">
        <f>VLOOKUP($B33,'Data shares'!$C:$FB,66)</f>
        <v>11351275</v>
      </c>
      <c r="I33" s="165">
        <f>VLOOKUP($B33,'Data shares'!$C:$FB,67)</f>
        <v>25064000</v>
      </c>
      <c r="J33" s="81">
        <f t="shared" si="7"/>
        <v>-54.710840248962654</v>
      </c>
      <c r="K33" s="5">
        <f>VLOOKUP($B33,'Data Vlaue (Cr)'!$C:$FB,99)</f>
        <v>1491</v>
      </c>
      <c r="L33" s="81">
        <f>VLOOKUP(B33,'OI(Value)'!$A$7:$C$209,3,0)</f>
        <v>-185</v>
      </c>
      <c r="M33" s="33">
        <f t="shared" si="0"/>
        <v>-12.407780013413817</v>
      </c>
      <c r="N33" s="5">
        <f>VLOOKUP($B33,'Data Vlaue (Cr)'!$C:$FB,67)</f>
        <v>1746</v>
      </c>
      <c r="O33" s="5">
        <f>VLOOKUP($B33,'Data Vlaue (Cr)'!$C:$FB,68)</f>
        <v>3854</v>
      </c>
      <c r="P33" s="5">
        <f t="shared" si="8"/>
        <v>-120.73310423825887</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415.15</v>
      </c>
      <c r="D34" s="82">
        <f>VLOOKUP($B34,'Data shares'!$C:$FB,98)</f>
        <v>222183150</v>
      </c>
      <c r="E34" s="165">
        <f>VLOOKUP(B34,'Snapshot (Volume)'!$A$7:$G$168,7,0)</f>
        <v>219997200</v>
      </c>
      <c r="F34" s="165">
        <f t="shared" si="5"/>
        <v>2185950</v>
      </c>
      <c r="G34" s="166">
        <f t="shared" si="6"/>
        <v>9.9362628251632289E-3</v>
      </c>
      <c r="H34" s="165">
        <f>VLOOKUP($B34,'Data shares'!$C:$FB,66)</f>
        <v>251843100</v>
      </c>
      <c r="I34" s="165">
        <f>VLOOKUP($B34,'Data shares'!$C:$FB,67)</f>
        <v>265024350</v>
      </c>
      <c r="J34" s="81">
        <f t="shared" si="7"/>
        <v>-4.9735995956597954</v>
      </c>
      <c r="K34" s="5">
        <f>VLOOKUP($B34,'Data Vlaue (Cr)'!$C:$FB,99)</f>
        <v>9217</v>
      </c>
      <c r="L34" s="81">
        <f>VLOOKUP(B34,'OI(Value)'!$A$7:$C$209,3,0)</f>
        <v>91</v>
      </c>
      <c r="M34" s="33">
        <f t="shared" si="0"/>
        <v>0.98730606488011285</v>
      </c>
      <c r="N34" s="5">
        <f>VLOOKUP($B34,'Data Vlaue (Cr)'!$C:$FB,67)</f>
        <v>10448</v>
      </c>
      <c r="O34" s="5">
        <f>VLOOKUP($B34,'Data Vlaue (Cr)'!$C:$FB,68)</f>
        <v>10995</v>
      </c>
      <c r="P34" s="5">
        <f t="shared" si="8"/>
        <v>-5.2354517611026035</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1301.4000000000001</v>
      </c>
      <c r="D35" s="82">
        <f>VLOOKUP($B35,'Data shares'!$C:$FB,98)</f>
        <v>16656000</v>
      </c>
      <c r="E35" s="165">
        <f>VLOOKUP(B35,'Snapshot (Volume)'!$A$7:$G$168,7,0)</f>
        <v>17293000</v>
      </c>
      <c r="F35" s="165">
        <f t="shared" si="5"/>
        <v>-637000</v>
      </c>
      <c r="G35" s="166">
        <f t="shared" si="6"/>
        <v>-3.6835713872665238E-2</v>
      </c>
      <c r="H35" s="165">
        <f>VLOOKUP($B35,'Data shares'!$C:$FB,66)</f>
        <v>15869500</v>
      </c>
      <c r="I35" s="165">
        <f>VLOOKUP($B35,'Data shares'!$C:$FB,67)</f>
        <v>24544500</v>
      </c>
      <c r="J35" s="81">
        <f t="shared" si="7"/>
        <v>-35.343967080201267</v>
      </c>
      <c r="K35" s="5">
        <f>VLOOKUP($B35,'Data Vlaue (Cr)'!$C:$FB,99)</f>
        <v>2171</v>
      </c>
      <c r="L35" s="81">
        <f>VLOOKUP(B35,'OI(Value)'!$A$7:$C$209,3,0)</f>
        <v>-83</v>
      </c>
      <c r="M35" s="33">
        <f t="shared" si="0"/>
        <v>-3.8231229847996318</v>
      </c>
      <c r="N35" s="5">
        <f>VLOOKUP($B35,'Data Vlaue (Cr)'!$C:$FB,67)</f>
        <v>2069</v>
      </c>
      <c r="O35" s="5">
        <f>VLOOKUP($B35,'Data Vlaue (Cr)'!$C:$FB,68)</f>
        <v>3200</v>
      </c>
      <c r="P35" s="5">
        <f t="shared" si="8"/>
        <v>-54.66408893185114</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2080.1</v>
      </c>
      <c r="D36" s="82">
        <f>VLOOKUP($B36,'Data shares'!$C:$FB,98)</f>
        <v>78556450</v>
      </c>
      <c r="E36" s="165">
        <f>VLOOKUP(B36,'Snapshot (Volume)'!$A$7:$G$168,7,0)</f>
        <v>77582700</v>
      </c>
      <c r="F36" s="165">
        <f t="shared" si="5"/>
        <v>973750</v>
      </c>
      <c r="G36" s="166">
        <f t="shared" si="6"/>
        <v>1.2551122866309113E-2</v>
      </c>
      <c r="H36" s="165">
        <f>VLOOKUP($B36,'Data shares'!$C:$FB,66)</f>
        <v>170062350</v>
      </c>
      <c r="I36" s="165">
        <f>VLOOKUP($B36,'Data shares'!$C:$FB,67)</f>
        <v>79533050</v>
      </c>
      <c r="J36" s="81">
        <f t="shared" si="7"/>
        <v>113.82601321086014</v>
      </c>
      <c r="K36" s="5">
        <f>VLOOKUP($B36,'Data Vlaue (Cr)'!$C:$FB,99)</f>
        <v>16313</v>
      </c>
      <c r="L36" s="81">
        <f>VLOOKUP(B36,'OI(Value)'!$A$7:$C$209,3,0)</f>
        <v>202</v>
      </c>
      <c r="M36" s="33">
        <f t="shared" si="0"/>
        <v>1.2382762214185006</v>
      </c>
      <c r="N36" s="5">
        <f>VLOOKUP($B36,'Data Vlaue (Cr)'!$C:$FB,67)</f>
        <v>35315</v>
      </c>
      <c r="O36" s="5">
        <f>VLOOKUP($B36,'Data Vlaue (Cr)'!$C:$FB,68)</f>
        <v>16516</v>
      </c>
      <c r="P36" s="5">
        <f t="shared" si="8"/>
        <v>53.232337533625937</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235</v>
      </c>
      <c r="D37" s="82">
        <f>VLOOKUP($B37,'Data shares'!$C:$FB,98)</f>
        <v>108549000</v>
      </c>
      <c r="E37" s="165">
        <f>VLOOKUP(B37,'Snapshot (Volume)'!$A$7:$G$168,7,0)</f>
        <v>107409750</v>
      </c>
      <c r="F37" s="165">
        <f t="shared" ref="F37:F43" si="9">D37-E37</f>
        <v>1139250</v>
      </c>
      <c r="G37" s="166">
        <f t="shared" ref="G37:G43" si="10">F37/E37</f>
        <v>1.06065790116819E-2</v>
      </c>
      <c r="H37" s="165">
        <f>VLOOKUP($B37,'Data shares'!$C:$FB,66)</f>
        <v>127939875</v>
      </c>
      <c r="I37" s="165">
        <f>VLOOKUP($B37,'Data shares'!$C:$FB,67)</f>
        <v>103089000</v>
      </c>
      <c r="J37" s="81">
        <f t="shared" ref="J37:J43" si="11">(H37-I37)/I37*100</f>
        <v>24.106233448767568</v>
      </c>
      <c r="K37" s="5">
        <f>VLOOKUP($B37,'Data Vlaue (Cr)'!$C:$FB,99)</f>
        <v>2556</v>
      </c>
      <c r="L37" s="81">
        <f>VLOOKUP(B37,'OI(Value)'!$A$7:$C$209,3,0)</f>
        <v>27</v>
      </c>
      <c r="M37" s="33">
        <f t="shared" ref="M37:M65" si="12">L37/K37*100</f>
        <v>1.056338028169014</v>
      </c>
      <c r="N37" s="5">
        <f>VLOOKUP($B37,'Data Vlaue (Cr)'!$C:$FB,67)</f>
        <v>3012</v>
      </c>
      <c r="O37" s="5">
        <f>VLOOKUP($B37,'Data Vlaue (Cr)'!$C:$FB,68)</f>
        <v>2427</v>
      </c>
      <c r="P37" s="5">
        <f t="shared" ref="P37:P43" si="13">(N37-O37)/N37*100</f>
        <v>19.422310756972109</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360.45</v>
      </c>
      <c r="D38" s="82">
        <f>VLOOKUP($B38,'Data shares'!$C:$FB,98)</f>
        <v>66440000</v>
      </c>
      <c r="E38" s="165">
        <f>VLOOKUP(B38,'Snapshot (Volume)'!$A$7:$G$168,7,0)</f>
        <v>68735000</v>
      </c>
      <c r="F38" s="165">
        <f t="shared" si="9"/>
        <v>-2295000</v>
      </c>
      <c r="G38" s="166">
        <f t="shared" si="10"/>
        <v>-3.3389103077034993E-2</v>
      </c>
      <c r="H38" s="165">
        <f>VLOOKUP($B38,'Data shares'!$C:$FB,66)</f>
        <v>48510000</v>
      </c>
      <c r="I38" s="165">
        <f>VLOOKUP($B38,'Data shares'!$C:$FB,67)</f>
        <v>45760000</v>
      </c>
      <c r="J38" s="81">
        <f t="shared" si="11"/>
        <v>6.009615384615385</v>
      </c>
      <c r="K38" s="5">
        <f>VLOOKUP($B38,'Data Vlaue (Cr)'!$C:$FB,99)</f>
        <v>2394</v>
      </c>
      <c r="L38" s="81">
        <f>VLOOKUP(B38,'OI(Value)'!$A$7:$C$209,3,0)</f>
        <v>-83</v>
      </c>
      <c r="M38" s="33">
        <f t="shared" si="12"/>
        <v>-3.4670008354218877</v>
      </c>
      <c r="N38" s="5">
        <f>VLOOKUP($B38,'Data Vlaue (Cr)'!$C:$FB,67)</f>
        <v>1748</v>
      </c>
      <c r="O38" s="5">
        <f>VLOOKUP($B38,'Data Vlaue (Cr)'!$C:$FB,68)</f>
        <v>1649</v>
      </c>
      <c r="P38" s="5">
        <f t="shared" si="13"/>
        <v>5.6636155606407321</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1979.6</v>
      </c>
      <c r="D39" s="82">
        <f>VLOOKUP($B39,'Data shares'!$C:$FB,98)</f>
        <v>3083925</v>
      </c>
      <c r="E39" s="165">
        <f>VLOOKUP(B39,'Snapshot (Volume)'!$A$7:$G$168,7,0)</f>
        <v>3370575</v>
      </c>
      <c r="F39" s="165">
        <f t="shared" si="9"/>
        <v>-286650</v>
      </c>
      <c r="G39" s="166">
        <f t="shared" si="10"/>
        <v>-8.5044836563494361E-2</v>
      </c>
      <c r="H39" s="165">
        <f>VLOOKUP($B39,'Data shares'!$C:$FB,66)</f>
        <v>4568200</v>
      </c>
      <c r="I39" s="165">
        <f>VLOOKUP($B39,'Data shares'!$C:$FB,67)</f>
        <v>9010950</v>
      </c>
      <c r="J39" s="81">
        <f t="shared" si="11"/>
        <v>-49.303902474211931</v>
      </c>
      <c r="K39" s="5">
        <f>VLOOKUP($B39,'Data Vlaue (Cr)'!$C:$FB,99)</f>
        <v>612</v>
      </c>
      <c r="L39" s="81">
        <f>VLOOKUP(B39,'OI(Value)'!$A$7:$C$209,3,0)</f>
        <v>-57</v>
      </c>
      <c r="M39" s="33">
        <f t="shared" si="12"/>
        <v>-9.3137254901960791</v>
      </c>
      <c r="N39" s="5">
        <f>VLOOKUP($B39,'Data Vlaue (Cr)'!$C:$FB,67)</f>
        <v>906</v>
      </c>
      <c r="O39" s="5">
        <f>VLOOKUP($B39,'Data Vlaue (Cr)'!$C:$FB,68)</f>
        <v>1788</v>
      </c>
      <c r="P39" s="5">
        <f t="shared" si="13"/>
        <v>-97.350993377483448</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39005</v>
      </c>
      <c r="D40" s="82">
        <f>VLOOKUP($B40,'Data shares'!$C:$FB,98)</f>
        <v>352600</v>
      </c>
      <c r="E40" s="165">
        <f>VLOOKUP(B40,'Snapshot (Volume)'!$A$7:$G$168,7,0)</f>
        <v>354400</v>
      </c>
      <c r="F40" s="165">
        <f t="shared" si="9"/>
        <v>-1800</v>
      </c>
      <c r="G40" s="166">
        <f t="shared" si="10"/>
        <v>-5.0790067720090292E-3</v>
      </c>
      <c r="H40" s="165">
        <f>VLOOKUP($B40,'Data shares'!$C:$FB,66)</f>
        <v>302275</v>
      </c>
      <c r="I40" s="165">
        <f>VLOOKUP($B40,'Data shares'!$C:$FB,67)</f>
        <v>400925</v>
      </c>
      <c r="J40" s="81">
        <f t="shared" si="11"/>
        <v>-24.605599551038225</v>
      </c>
      <c r="K40" s="5">
        <f>VLOOKUP($B40,'Data Vlaue (Cr)'!$C:$FB,99)</f>
        <v>1374</v>
      </c>
      <c r="L40" s="81">
        <f>VLOOKUP(B40,'OI(Value)'!$A$7:$C$209,3,0)</f>
        <v>-7</v>
      </c>
      <c r="M40" s="33">
        <f t="shared" si="12"/>
        <v>-0.50946142649199422</v>
      </c>
      <c r="N40" s="5">
        <f>VLOOKUP($B40,'Data Vlaue (Cr)'!$C:$FB,67)</f>
        <v>1178</v>
      </c>
      <c r="O40" s="5">
        <f>VLOOKUP($B40,'Data Vlaue (Cr)'!$C:$FB,68)</f>
        <v>1562</v>
      </c>
      <c r="P40" s="5">
        <f t="shared" si="13"/>
        <v>-32.597623089983024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343</v>
      </c>
      <c r="D41" s="82">
        <f>VLOOKUP($B41,'Data shares'!$C:$FB,98)</f>
        <v>74177050</v>
      </c>
      <c r="E41" s="165">
        <f>VLOOKUP(B41,'Snapshot (Volume)'!$A$7:$G$168,7,0)</f>
        <v>75994050</v>
      </c>
      <c r="F41" s="165">
        <f t="shared" si="9"/>
        <v>-1817000</v>
      </c>
      <c r="G41" s="166">
        <f t="shared" si="10"/>
        <v>-2.390976661988669E-2</v>
      </c>
      <c r="H41" s="165">
        <f>VLOOKUP($B41,'Data shares'!$C:$FB,66)</f>
        <v>109057525</v>
      </c>
      <c r="I41" s="165">
        <f>VLOOKUP($B41,'Data shares'!$C:$FB,67)</f>
        <v>77070425</v>
      </c>
      <c r="J41" s="81">
        <f t="shared" si="11"/>
        <v>41.503728570330317</v>
      </c>
      <c r="K41" s="5">
        <f>VLOOKUP($B41,'Data Vlaue (Cr)'!$C:$FB,99)</f>
        <v>2542</v>
      </c>
      <c r="L41" s="81">
        <f>VLOOKUP(B41,'OI(Value)'!$A$7:$C$209,3,0)</f>
        <v>-62</v>
      </c>
      <c r="M41" s="33">
        <f t="shared" si="12"/>
        <v>-2.4390243902439024</v>
      </c>
      <c r="N41" s="5">
        <f>VLOOKUP($B41,'Data Vlaue (Cr)'!$C:$FB,67)</f>
        <v>3738</v>
      </c>
      <c r="O41" s="5">
        <f>VLOOKUP($B41,'Data Vlaue (Cr)'!$C:$FB,68)</f>
        <v>2642</v>
      </c>
      <c r="P41" s="5">
        <f t="shared" si="13"/>
        <v>29.320492241840558</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5912</v>
      </c>
      <c r="D42" s="82">
        <f>VLOOKUP($B42,'Data shares'!$C:$FB,98)</f>
        <v>5104000</v>
      </c>
      <c r="E42" s="165">
        <f>VLOOKUP(B42,'Snapshot (Volume)'!$A$7:$G$168,7,0)</f>
        <v>5096125</v>
      </c>
      <c r="F42" s="165">
        <f t="shared" si="9"/>
        <v>7875</v>
      </c>
      <c r="G42" s="166">
        <f t="shared" si="10"/>
        <v>1.545291765802448E-3</v>
      </c>
      <c r="H42" s="165">
        <f>VLOOKUP($B42,'Data shares'!$C:$FB,66)</f>
        <v>7728000</v>
      </c>
      <c r="I42" s="165">
        <f>VLOOKUP($B42,'Data shares'!$C:$FB,67)</f>
        <v>4359000</v>
      </c>
      <c r="J42" s="81">
        <f t="shared" si="11"/>
        <v>77.288368891947684</v>
      </c>
      <c r="K42" s="5">
        <f>VLOOKUP($B42,'Data Vlaue (Cr)'!$C:$FB,99)</f>
        <v>3017</v>
      </c>
      <c r="L42" s="81">
        <f>VLOOKUP(B42,'OI(Value)'!$A$7:$C$209,3,0)</f>
        <v>5</v>
      </c>
      <c r="M42" s="33">
        <f t="shared" si="12"/>
        <v>0.16572754391779915</v>
      </c>
      <c r="N42" s="5">
        <f>VLOOKUP($B42,'Data Vlaue (Cr)'!$C:$FB,67)</f>
        <v>4568</v>
      </c>
      <c r="O42" s="5">
        <f>VLOOKUP($B42,'Data Vlaue (Cr)'!$C:$FB,68)</f>
        <v>2576</v>
      </c>
      <c r="P42" s="5">
        <f t="shared" si="13"/>
        <v>43.607705779334502</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2510.1999999999998</v>
      </c>
      <c r="D43" s="82">
        <f>VLOOKUP($B43,'Data shares'!$C:$FB,98)</f>
        <v>28315125</v>
      </c>
      <c r="E43" s="165">
        <f>VLOOKUP(B43,'Snapshot (Volume)'!$A$7:$G$168,7,0)</f>
        <v>29455875</v>
      </c>
      <c r="F43" s="165">
        <f t="shared" si="9"/>
        <v>-1140750</v>
      </c>
      <c r="G43" s="166">
        <f t="shared" si="10"/>
        <v>-3.8727418554023604E-2</v>
      </c>
      <c r="H43" s="165">
        <f>VLOOKUP($B43,'Data shares'!$C:$FB,66)</f>
        <v>39202875</v>
      </c>
      <c r="I43" s="165">
        <f>VLOOKUP($B43,'Data shares'!$C:$FB,67)</f>
        <v>32048250</v>
      </c>
      <c r="J43" s="81">
        <f t="shared" si="11"/>
        <v>22.324541901663896</v>
      </c>
      <c r="K43" s="5">
        <f>VLOOKUP($B43,'Data Vlaue (Cr)'!$C:$FB,99)</f>
        <v>7111</v>
      </c>
      <c r="L43" s="81">
        <f>VLOOKUP(B43,'OI(Value)'!$A$7:$C$209,3,0)</f>
        <v>-286</v>
      </c>
      <c r="M43" s="33">
        <f t="shared" si="12"/>
        <v>-4.0219378427787937</v>
      </c>
      <c r="N43" s="5">
        <f>VLOOKUP($B43,'Data Vlaue (Cr)'!$C:$FB,67)</f>
        <v>9845</v>
      </c>
      <c r="O43" s="5">
        <f>VLOOKUP($B43,'Data Vlaue (Cr)'!$C:$FB,68)</f>
        <v>8049</v>
      </c>
      <c r="P43" s="5">
        <f t="shared" si="13"/>
        <v>18.242762823768409</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3965.4</v>
      </c>
      <c r="D44" s="165">
        <f>VLOOKUP($B44,'Data shares'!$C:$FB,98)</f>
        <v>3773850</v>
      </c>
      <c r="E44" s="165">
        <f>VLOOKUP(B44,'Snapshot (Volume)'!$A$7:$G$168,7,0)</f>
        <v>4049250</v>
      </c>
      <c r="F44" s="165">
        <f t="shared" ref="F44:F49" si="14">D44-E44</f>
        <v>-275400</v>
      </c>
      <c r="G44" s="166">
        <f t="shared" ref="G44:G49" si="15">F44/E44</f>
        <v>-6.8012594924986111E-2</v>
      </c>
      <c r="H44" s="165">
        <f>VLOOKUP($B44,'Data shares'!$C:$FB,66)</f>
        <v>7146150</v>
      </c>
      <c r="I44" s="165">
        <f>VLOOKUP($B44,'Data shares'!$C:$FB,67)</f>
        <v>3627150</v>
      </c>
      <c r="J44" s="81">
        <f t="shared" ref="J44:J49" si="16">(H44-I44)/I44*100</f>
        <v>97.018320168727513</v>
      </c>
      <c r="K44" s="81">
        <f>VLOOKUP($B44,'Data Vlaue (Cr)'!$C:$FB,99)</f>
        <v>1500</v>
      </c>
      <c r="L44" s="81">
        <f>VLOOKUP(B44,'OI(Value)'!$A$7:$C$209,3,0)</f>
        <v>-109</v>
      </c>
      <c r="M44" s="81">
        <f t="shared" si="12"/>
        <v>-7.2666666666666675</v>
      </c>
      <c r="N44" s="81">
        <f>VLOOKUP($B44,'Data Vlaue (Cr)'!$C:$FB,67)</f>
        <v>2840</v>
      </c>
      <c r="O44" s="81">
        <f>VLOOKUP($B44,'Data Vlaue (Cr)'!$C:$FB,68)</f>
        <v>1441</v>
      </c>
      <c r="P44" s="81">
        <f t="shared" ref="P44:P49" si="17">(N44-O44)/N44*100</f>
        <v>49.260563380281688</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129.13</v>
      </c>
      <c r="D45" s="82">
        <f>VLOOKUP($B45,'Data shares'!$C:$FB,98)</f>
        <v>468011250</v>
      </c>
      <c r="E45" s="165">
        <f>VLOOKUP(B45,'Snapshot (Volume)'!$A$7:$G$168,7,0)</f>
        <v>482645250</v>
      </c>
      <c r="F45" s="165">
        <f t="shared" si="14"/>
        <v>-14634000</v>
      </c>
      <c r="G45" s="166">
        <f t="shared" si="15"/>
        <v>-3.032040613680545E-2</v>
      </c>
      <c r="H45" s="165">
        <f>VLOOKUP($B45,'Data shares'!$C:$FB,66)</f>
        <v>521349750</v>
      </c>
      <c r="I45" s="165">
        <f>VLOOKUP($B45,'Data shares'!$C:$FB,67)</f>
        <v>358749000</v>
      </c>
      <c r="J45" s="81">
        <f t="shared" si="16"/>
        <v>45.324377210807555</v>
      </c>
      <c r="K45" s="5">
        <f>VLOOKUP($B45,'Data Vlaue (Cr)'!$C:$FB,99)</f>
        <v>6048</v>
      </c>
      <c r="L45" s="81">
        <f>VLOOKUP(B45,'OI(Value)'!$A$7:$C$209,3,0)</f>
        <v>-189</v>
      </c>
      <c r="M45" s="33">
        <f t="shared" si="12"/>
        <v>-3.125</v>
      </c>
      <c r="N45" s="5">
        <f>VLOOKUP($B45,'Data Vlaue (Cr)'!$C:$FB,67)</f>
        <v>6737</v>
      </c>
      <c r="O45" s="5">
        <f>VLOOKUP($B45,'Data Vlaue (Cr)'!$C:$FB,68)</f>
        <v>4636</v>
      </c>
      <c r="P45" s="5">
        <f t="shared" si="17"/>
        <v>31.185987828410273</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1636.5</v>
      </c>
      <c r="D46" s="82">
        <f>VLOOKUP($B46,'Data shares'!$C:$FB,98)</f>
        <v>18823300</v>
      </c>
      <c r="E46" s="165">
        <f>VLOOKUP(B46,'Snapshot (Volume)'!$A$7:$G$168,7,0)</f>
        <v>19750500</v>
      </c>
      <c r="F46" s="165">
        <f t="shared" si="14"/>
        <v>-927200</v>
      </c>
      <c r="G46" s="166">
        <f t="shared" si="15"/>
        <v>-4.6945646945646943E-2</v>
      </c>
      <c r="H46" s="165">
        <f>VLOOKUP($B46,'Data shares'!$C:$FB,66)</f>
        <v>38812250</v>
      </c>
      <c r="I46" s="165">
        <f>VLOOKUP($B46,'Data shares'!$C:$FB,67)</f>
        <v>27480175</v>
      </c>
      <c r="J46" s="81">
        <f t="shared" si="16"/>
        <v>41.23727378009783</v>
      </c>
      <c r="K46" s="5">
        <f>VLOOKUP($B46,'Data Vlaue (Cr)'!$C:$FB,99)</f>
        <v>3086</v>
      </c>
      <c r="L46" s="81">
        <f>VLOOKUP(B46,'OI(Value)'!$A$7:$C$209,3,0)</f>
        <v>-152</v>
      </c>
      <c r="M46" s="33">
        <f t="shared" si="12"/>
        <v>-4.9254698639014904</v>
      </c>
      <c r="N46" s="5">
        <f>VLOOKUP($B46,'Data Vlaue (Cr)'!$C:$FB,67)</f>
        <v>6363</v>
      </c>
      <c r="O46" s="5">
        <f>VLOOKUP($B46,'Data Vlaue (Cr)'!$C:$FB,68)</f>
        <v>4505</v>
      </c>
      <c r="P46" s="5">
        <f t="shared" si="17"/>
        <v>29.200062863429199</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728.35</v>
      </c>
      <c r="D47" s="82">
        <f>VLOOKUP($B47,'Data shares'!$C:$FB,98)</f>
        <v>24514000</v>
      </c>
      <c r="E47" s="165">
        <f>VLOOKUP(B47,'Snapshot (Volume)'!$A$7:$G$168,7,0)</f>
        <v>26044000</v>
      </c>
      <c r="F47" s="165">
        <f t="shared" si="14"/>
        <v>-1530000</v>
      </c>
      <c r="G47" s="166">
        <f t="shared" si="15"/>
        <v>-5.87467362924282E-2</v>
      </c>
      <c r="H47" s="165">
        <f>VLOOKUP($B47,'Data shares'!$C:$FB,66)</f>
        <v>19880650</v>
      </c>
      <c r="I47" s="165">
        <f>VLOOKUP($B47,'Data shares'!$C:$FB,67)</f>
        <v>28267600</v>
      </c>
      <c r="J47" s="81">
        <f t="shared" si="16"/>
        <v>-29.669834014914603</v>
      </c>
      <c r="K47" s="5">
        <f>VLOOKUP($B47,'Data Vlaue (Cr)'!$C:$FB,99)</f>
        <v>1784</v>
      </c>
      <c r="L47" s="81">
        <f>VLOOKUP(B47,'OI(Value)'!$A$7:$C$209,3,0)</f>
        <v>-111</v>
      </c>
      <c r="M47" s="33">
        <f t="shared" si="12"/>
        <v>-6.2219730941704032</v>
      </c>
      <c r="N47" s="5">
        <f>VLOOKUP($B47,'Data Vlaue (Cr)'!$C:$FB,67)</f>
        <v>1447</v>
      </c>
      <c r="O47" s="5">
        <f>VLOOKUP($B47,'Data Vlaue (Cr)'!$C:$FB,68)</f>
        <v>2057</v>
      </c>
      <c r="P47" s="5">
        <f t="shared" si="17"/>
        <v>-42.156185210780926</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1732.4</v>
      </c>
      <c r="D48" s="82">
        <f>VLOOKUP($B48,'Data shares'!$C:$FB,98)</f>
        <v>23240000</v>
      </c>
      <c r="E48" s="165">
        <f>VLOOKUP(B48,'Snapshot (Volume)'!$A$7:$G$168,7,0)</f>
        <v>23327500</v>
      </c>
      <c r="F48" s="165">
        <f t="shared" si="14"/>
        <v>-87500</v>
      </c>
      <c r="G48" s="166">
        <f t="shared" si="15"/>
        <v>-3.7509377344336083E-3</v>
      </c>
      <c r="H48" s="165">
        <f>VLOOKUP($B48,'Data shares'!$C:$FB,66)</f>
        <v>46890000</v>
      </c>
      <c r="I48" s="165">
        <f>VLOOKUP($B48,'Data shares'!$C:$FB,67)</f>
        <v>45499375</v>
      </c>
      <c r="J48" s="81">
        <f t="shared" si="16"/>
        <v>3.0563606642948393</v>
      </c>
      <c r="K48" s="5">
        <f>VLOOKUP($B48,'Data Vlaue (Cr)'!$C:$FB,99)</f>
        <v>4031</v>
      </c>
      <c r="L48" s="81">
        <f>VLOOKUP(B48,'OI(Value)'!$A$7:$C$209,3,0)</f>
        <v>-15</v>
      </c>
      <c r="M48" s="33">
        <f t="shared" si="12"/>
        <v>-0.37211610022326963</v>
      </c>
      <c r="N48" s="5">
        <f>VLOOKUP($B48,'Data Vlaue (Cr)'!$C:$FB,67)</f>
        <v>8134</v>
      </c>
      <c r="O48" s="5">
        <f>VLOOKUP($B48,'Data Vlaue (Cr)'!$C:$FB,68)</f>
        <v>7892</v>
      </c>
      <c r="P48" s="5">
        <f t="shared" si="17"/>
        <v>2.9751659700024589</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1584</v>
      </c>
      <c r="D49" s="82">
        <f>VLOOKUP($B49,'Data shares'!$C:$FB,98)</f>
        <v>32928375</v>
      </c>
      <c r="E49" s="165">
        <f>VLOOKUP(B49,'Snapshot (Volume)'!$A$7:$G$168,7,0)</f>
        <v>33934125</v>
      </c>
      <c r="F49" s="165">
        <f t="shared" si="14"/>
        <v>-1005750</v>
      </c>
      <c r="G49" s="166">
        <f t="shared" si="15"/>
        <v>-2.9638306571924278E-2</v>
      </c>
      <c r="H49" s="165">
        <f>VLOOKUP($B49,'Data shares'!$C:$FB,66)</f>
        <v>46550625</v>
      </c>
      <c r="I49" s="165">
        <f>VLOOKUP($B49,'Data shares'!$C:$FB,67)</f>
        <v>87319500</v>
      </c>
      <c r="J49" s="81">
        <f t="shared" si="16"/>
        <v>-46.689313383608471</v>
      </c>
      <c r="K49" s="5">
        <f>VLOOKUP($B49,'Data Vlaue (Cr)'!$C:$FB,99)</f>
        <v>5212</v>
      </c>
      <c r="L49" s="81">
        <f>VLOOKUP(B49,'OI(Value)'!$A$7:$C$209,3,0)</f>
        <v>-159</v>
      </c>
      <c r="M49" s="33">
        <f t="shared" si="12"/>
        <v>-3.0506523407521104</v>
      </c>
      <c r="N49" s="5">
        <f>VLOOKUP($B49,'Data Vlaue (Cr)'!$C:$FB,67)</f>
        <v>7368</v>
      </c>
      <c r="O49" s="5">
        <f>VLOOKUP($B49,'Data Vlaue (Cr)'!$C:$FB,68)</f>
        <v>13821</v>
      </c>
      <c r="P49" s="5">
        <f t="shared" si="17"/>
        <v>-87.581433224755699</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396.7</v>
      </c>
      <c r="D50" s="82">
        <f>VLOOKUP($B50,'Data shares'!$C:$FB,98)</f>
        <v>116455050</v>
      </c>
      <c r="E50" s="165">
        <f>VLOOKUP(B50,'Snapshot (Volume)'!$A$7:$G$168,7,0)</f>
        <v>117000450</v>
      </c>
      <c r="F50" s="165">
        <f>D50-E50</f>
        <v>-545400</v>
      </c>
      <c r="G50" s="166">
        <f>F50/E50</f>
        <v>-4.661520532613336E-3</v>
      </c>
      <c r="H50" s="165">
        <f>VLOOKUP($B50,'Data shares'!$C:$FB,66)</f>
        <v>101613150</v>
      </c>
      <c r="I50" s="165">
        <f>VLOOKUP($B50,'Data shares'!$C:$FB,67)</f>
        <v>78571350</v>
      </c>
      <c r="J50" s="81">
        <f>(H50-I50)/I50*100</f>
        <v>29.325956598683874</v>
      </c>
      <c r="K50" s="5">
        <f>VLOOKUP($B50,'Data Vlaue (Cr)'!$C:$FB,99)</f>
        <v>4618</v>
      </c>
      <c r="L50" s="81">
        <f>VLOOKUP(B50,'OI(Value)'!$A$7:$C$209,3,0)</f>
        <v>-22</v>
      </c>
      <c r="M50" s="33">
        <f t="shared" si="12"/>
        <v>-0.47639670853183191</v>
      </c>
      <c r="N50" s="5">
        <f>VLOOKUP($B50,'Data Vlaue (Cr)'!$C:$FB,67)</f>
        <v>4029</v>
      </c>
      <c r="O50" s="5">
        <f>VLOOKUP($B50,'Data Vlaue (Cr)'!$C:$FB,68)</f>
        <v>3116</v>
      </c>
      <c r="P50" s="5">
        <f>(N50-O50)/N50*100</f>
        <v>22.660709853561677</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1830.6</v>
      </c>
      <c r="D51" s="82">
        <f>VLOOKUP($B51,'Data shares'!$C:$FB,98)</f>
        <v>24960750</v>
      </c>
      <c r="E51" s="165">
        <f>VLOOKUP(B51,'Snapshot (Volume)'!$A$7:$G$168,7,0)</f>
        <v>25016625</v>
      </c>
      <c r="F51" s="165">
        <f>D51-E51</f>
        <v>-55875</v>
      </c>
      <c r="G51" s="166">
        <f>F51/E51</f>
        <v>-2.233514712716044E-3</v>
      </c>
      <c r="H51" s="165">
        <f>VLOOKUP($B51,'Data shares'!$C:$FB,66)</f>
        <v>110348625</v>
      </c>
      <c r="I51" s="165">
        <f>VLOOKUP($B51,'Data shares'!$C:$FB,67)</f>
        <v>34428000</v>
      </c>
      <c r="J51" s="81">
        <f>(H51-I51)/I51*100</f>
        <v>220.51999825723249</v>
      </c>
      <c r="K51" s="5">
        <f>VLOOKUP($B51,'Data Vlaue (Cr)'!$C:$FB,99)</f>
        <v>4569</v>
      </c>
      <c r="L51" s="81">
        <f>VLOOKUP(B51,'OI(Value)'!$A$7:$C$209,3,0)</f>
        <v>-10</v>
      </c>
      <c r="M51" s="33">
        <f t="shared" si="12"/>
        <v>-0.2188662727073758</v>
      </c>
      <c r="N51" s="5">
        <f>VLOOKUP($B51,'Data Vlaue (Cr)'!$C:$FB,67)</f>
        <v>20199</v>
      </c>
      <c r="O51" s="5">
        <f>VLOOKUP($B51,'Data Vlaue (Cr)'!$C:$FB,68)</f>
        <v>6302</v>
      </c>
      <c r="P51" s="5">
        <f>(N51-O51)/N51*100</f>
        <v>68.800435665131943</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2216.5</v>
      </c>
      <c r="D52" s="80">
        <f>VLOOKUP($B52,'Data shares'!$C:$FB,98)</f>
        <v>10971225</v>
      </c>
      <c r="E52" s="165">
        <f>VLOOKUP(B52,'Snapshot (Volume)'!$A$7:$G$168,7,0)</f>
        <v>10836675</v>
      </c>
      <c r="F52" s="165">
        <f t="shared" ref="F52:F68" si="18">D52-E52</f>
        <v>134550</v>
      </c>
      <c r="G52" s="166">
        <f t="shared" ref="G52:G68" si="19">F52/E52</f>
        <v>1.2416170089072524E-2</v>
      </c>
      <c r="H52" s="165">
        <f>VLOOKUP($B52,'Data shares'!$C:$FB,66)</f>
        <v>11204550</v>
      </c>
      <c r="I52" s="165">
        <f>VLOOKUP($B52,'Data shares'!$C:$FB,67)</f>
        <v>34778700</v>
      </c>
      <c r="J52" s="81">
        <f t="shared" ref="J52:J68" si="20">(H52-I52)/I52*100</f>
        <v>-67.783298398157484</v>
      </c>
      <c r="K52" s="81">
        <f>VLOOKUP($B52,'Data Vlaue (Cr)'!$C:$FB,99)</f>
        <v>2437</v>
      </c>
      <c r="L52" s="81">
        <f>VLOOKUP(B52,'OI(Value)'!$A$7:$C$209,3,0)</f>
        <v>30</v>
      </c>
      <c r="M52" s="81">
        <f t="shared" si="12"/>
        <v>1.2310217480508823</v>
      </c>
      <c r="N52" s="81">
        <f>VLOOKUP($B52,'Data Vlaue (Cr)'!$C:$FB,67)</f>
        <v>2489</v>
      </c>
      <c r="O52" s="81">
        <f>VLOOKUP($B52,'Data Vlaue (Cr)'!$C:$FB,68)</f>
        <v>7726</v>
      </c>
      <c r="P52" s="81">
        <f t="shared" ref="P52:P68" si="21">(N52-O52)/N52*100</f>
        <v>-210.40578545600641</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540.75</v>
      </c>
      <c r="D53" s="82">
        <f>VLOOKUP($B53,'Data shares'!$C:$FB,98)</f>
        <v>45273750</v>
      </c>
      <c r="E53" s="165">
        <f>VLOOKUP(B53,'Snapshot (Volume)'!$A$7:$G$168,7,0)</f>
        <v>46101250</v>
      </c>
      <c r="F53" s="165">
        <f t="shared" si="18"/>
        <v>-827500</v>
      </c>
      <c r="G53" s="166">
        <f t="shared" si="19"/>
        <v>-1.7949621756459967E-2</v>
      </c>
      <c r="H53" s="165">
        <f>VLOOKUP($B53,'Data shares'!$C:$FB,66)</f>
        <v>30232500</v>
      </c>
      <c r="I53" s="165">
        <f>VLOOKUP($B53,'Data shares'!$C:$FB,67)</f>
        <v>47192500</v>
      </c>
      <c r="J53" s="81">
        <f t="shared" si="20"/>
        <v>-35.937913863431689</v>
      </c>
      <c r="K53" s="5">
        <f>VLOOKUP($B53,'Data Vlaue (Cr)'!$C:$FB,99)</f>
        <v>2449</v>
      </c>
      <c r="L53" s="81">
        <f>VLOOKUP(B53,'OI(Value)'!$A$7:$C$209,3,0)</f>
        <v>-45</v>
      </c>
      <c r="M53" s="33">
        <f t="shared" si="12"/>
        <v>-1.8374846876276032</v>
      </c>
      <c r="N53" s="5">
        <f>VLOOKUP($B53,'Data Vlaue (Cr)'!$C:$FB,67)</f>
        <v>1636</v>
      </c>
      <c r="O53" s="5">
        <f>VLOOKUP($B53,'Data Vlaue (Cr)'!$C:$FB,68)</f>
        <v>2553</v>
      </c>
      <c r="P53" s="5">
        <f t="shared" si="21"/>
        <v>-56.051344743276289</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292.05</v>
      </c>
      <c r="D54" s="82">
        <f>VLOOKUP($B54,'Data shares'!$C:$FB,98)</f>
        <v>90675000</v>
      </c>
      <c r="E54" s="165">
        <f>VLOOKUP(B54,'Snapshot (Volume)'!$A$7:$G$168,7,0)</f>
        <v>84151800</v>
      </c>
      <c r="F54" s="165">
        <f t="shared" si="18"/>
        <v>6523200</v>
      </c>
      <c r="G54" s="166">
        <f t="shared" si="19"/>
        <v>7.7517058458642596E-2</v>
      </c>
      <c r="H54" s="165">
        <f>VLOOKUP($B54,'Data shares'!$C:$FB,66)</f>
        <v>64530000</v>
      </c>
      <c r="I54" s="165">
        <f>VLOOKUP($B54,'Data shares'!$C:$FB,67)</f>
        <v>70135200</v>
      </c>
      <c r="J54" s="81">
        <f t="shared" si="20"/>
        <v>-7.9919926085617483</v>
      </c>
      <c r="K54" s="5">
        <f>VLOOKUP($B54,'Data Vlaue (Cr)'!$C:$FB,99)</f>
        <v>2650</v>
      </c>
      <c r="L54" s="81">
        <f>VLOOKUP(B54,'OI(Value)'!$A$7:$C$209,3,0)</f>
        <v>191</v>
      </c>
      <c r="M54" s="33">
        <f t="shared" si="12"/>
        <v>7.2075471698113205</v>
      </c>
      <c r="N54" s="5">
        <f>VLOOKUP($B54,'Data Vlaue (Cr)'!$C:$FB,67)</f>
        <v>1886</v>
      </c>
      <c r="O54" s="5">
        <f>VLOOKUP($B54,'Data Vlaue (Cr)'!$C:$FB,68)</f>
        <v>2050</v>
      </c>
      <c r="P54" s="5">
        <f t="shared" si="21"/>
        <v>-8.695652173913043</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4311.5</v>
      </c>
      <c r="D55" s="82">
        <f>VLOOKUP($B55,'Data shares'!$C:$FB,98)</f>
        <v>5400400</v>
      </c>
      <c r="E55" s="165">
        <f>VLOOKUP(B55,'Snapshot (Volume)'!$A$7:$G$168,7,0)</f>
        <v>4870800</v>
      </c>
      <c r="F55" s="165">
        <f t="shared" si="18"/>
        <v>529600</v>
      </c>
      <c r="G55" s="166">
        <f t="shared" si="19"/>
        <v>0.1087295721442063</v>
      </c>
      <c r="H55" s="165">
        <f>VLOOKUP($B55,'Data shares'!$C:$FB,66)</f>
        <v>15572600</v>
      </c>
      <c r="I55" s="165">
        <f>VLOOKUP($B55,'Data shares'!$C:$FB,67)</f>
        <v>18453200</v>
      </c>
      <c r="J55" s="81">
        <f t="shared" si="20"/>
        <v>-15.610300652461362</v>
      </c>
      <c r="K55" s="5">
        <f>VLOOKUP($B55,'Data Vlaue (Cr)'!$C:$FB,99)</f>
        <v>2328</v>
      </c>
      <c r="L55" s="81">
        <f>VLOOKUP(B55,'OI(Value)'!$A$7:$C$209,3,0)</f>
        <v>228</v>
      </c>
      <c r="M55" s="33">
        <f t="shared" si="12"/>
        <v>9.7938144329896915</v>
      </c>
      <c r="N55" s="5">
        <f>VLOOKUP($B55,'Data Vlaue (Cr)'!$C:$FB,67)</f>
        <v>6713</v>
      </c>
      <c r="O55" s="5">
        <f>VLOOKUP($B55,'Data Vlaue (Cr)'!$C:$FB,68)</f>
        <v>7955</v>
      </c>
      <c r="P55" s="5">
        <f t="shared" si="21"/>
        <v>-18.501415164605987</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1208.0999999999999</v>
      </c>
      <c r="D56" s="82">
        <f>VLOOKUP($B56,'Data shares'!$C:$FB,98)</f>
        <v>7709075</v>
      </c>
      <c r="E56" s="165">
        <f>VLOOKUP(B56,'Snapshot (Volume)'!$A$7:$G$168,7,0)</f>
        <v>8614325</v>
      </c>
      <c r="F56" s="165">
        <f t="shared" si="18"/>
        <v>-905250</v>
      </c>
      <c r="G56" s="166">
        <f t="shared" si="19"/>
        <v>-0.10508658542602003</v>
      </c>
      <c r="H56" s="165">
        <f>VLOOKUP($B56,'Data shares'!$C:$FB,66)</f>
        <v>7359300</v>
      </c>
      <c r="I56" s="165">
        <f>VLOOKUP($B56,'Data shares'!$C:$FB,67)</f>
        <v>8118775</v>
      </c>
      <c r="J56" s="81">
        <f t="shared" si="20"/>
        <v>-9.354551641103491</v>
      </c>
      <c r="K56" s="5">
        <f>VLOOKUP($B56,'Data Vlaue (Cr)'!$C:$FB,99)</f>
        <v>932</v>
      </c>
      <c r="L56" s="81">
        <f>VLOOKUP(B56,'OI(Value)'!$A$7:$C$209,3,0)</f>
        <v>-109</v>
      </c>
      <c r="M56" s="33">
        <f t="shared" si="12"/>
        <v>-11.695278969957082</v>
      </c>
      <c r="N56" s="5">
        <f>VLOOKUP($B56,'Data Vlaue (Cr)'!$C:$FB,67)</f>
        <v>890</v>
      </c>
      <c r="O56" s="5">
        <f>VLOOKUP($B56,'Data Vlaue (Cr)'!$C:$FB,68)</f>
        <v>982</v>
      </c>
      <c r="P56" s="5">
        <f t="shared" si="21"/>
        <v>-10.337078651685392</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507.05</v>
      </c>
      <c r="D57" s="82">
        <f>VLOOKUP($B57,'Data shares'!$C:$FB,98)</f>
        <v>40008750</v>
      </c>
      <c r="E57" s="165">
        <f>VLOOKUP(B57,'Snapshot (Volume)'!$A$7:$G$168,7,0)</f>
        <v>41335000</v>
      </c>
      <c r="F57" s="165">
        <f t="shared" si="18"/>
        <v>-1326250</v>
      </c>
      <c r="G57" s="166">
        <f t="shared" si="19"/>
        <v>-3.2085399782266842E-2</v>
      </c>
      <c r="H57" s="165">
        <f>VLOOKUP($B57,'Data shares'!$C:$FB,66)</f>
        <v>35391250</v>
      </c>
      <c r="I57" s="165">
        <f>VLOOKUP($B57,'Data shares'!$C:$FB,67)</f>
        <v>48838750</v>
      </c>
      <c r="J57" s="81">
        <f t="shared" si="20"/>
        <v>-27.534488495303421</v>
      </c>
      <c r="K57" s="5">
        <f>VLOOKUP($B57,'Data Vlaue (Cr)'!$C:$FB,99)</f>
        <v>2026</v>
      </c>
      <c r="L57" s="81">
        <f>VLOOKUP(B57,'OI(Value)'!$A$7:$C$209,3,0)</f>
        <v>-67</v>
      </c>
      <c r="M57" s="33">
        <f t="shared" si="12"/>
        <v>-3.3070088845014807</v>
      </c>
      <c r="N57" s="5">
        <f>VLOOKUP($B57,'Data Vlaue (Cr)'!$C:$FB,67)</f>
        <v>1792</v>
      </c>
      <c r="O57" s="5">
        <f>VLOOKUP($B57,'Data Vlaue (Cr)'!$C:$FB,68)</f>
        <v>2473</v>
      </c>
      <c r="P57" s="5">
        <f t="shared" si="21"/>
        <v>-38.002232142857146</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2093.1999999999998</v>
      </c>
      <c r="D58" s="82">
        <f>VLOOKUP($B58,'Data shares'!$C:$FB,98)</f>
        <v>4329975</v>
      </c>
      <c r="E58" s="165">
        <f>VLOOKUP(B58,'Snapshot (Volume)'!$A$7:$G$168,7,0)</f>
        <v>4684550</v>
      </c>
      <c r="F58" s="165">
        <f t="shared" si="18"/>
        <v>-354575</v>
      </c>
      <c r="G58" s="166">
        <f t="shared" si="19"/>
        <v>-7.5690301096156515E-2</v>
      </c>
      <c r="H58" s="165">
        <f>VLOOKUP($B58,'Data shares'!$C:$FB,66)</f>
        <v>4352725</v>
      </c>
      <c r="I58" s="165">
        <f>VLOOKUP($B58,'Data shares'!$C:$FB,67)</f>
        <v>6608225</v>
      </c>
      <c r="J58" s="81">
        <f t="shared" si="20"/>
        <v>-34.131707077165203</v>
      </c>
      <c r="K58" s="5">
        <f>VLOOKUP($B58,'Data Vlaue (Cr)'!$C:$FB,99)</f>
        <v>908</v>
      </c>
      <c r="L58" s="81">
        <f>VLOOKUP(B58,'OI(Value)'!$A$7:$C$209,3,0)</f>
        <v>-74</v>
      </c>
      <c r="M58" s="33">
        <f t="shared" si="12"/>
        <v>-8.1497797356828183</v>
      </c>
      <c r="N58" s="5">
        <f>VLOOKUP($B58,'Data Vlaue (Cr)'!$C:$FB,67)</f>
        <v>913</v>
      </c>
      <c r="O58" s="5">
        <f>VLOOKUP($B58,'Data Vlaue (Cr)'!$C:$FB,68)</f>
        <v>1386</v>
      </c>
      <c r="P58" s="5">
        <f t="shared" si="21"/>
        <v>-51.807228915662648</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473</v>
      </c>
      <c r="D59" s="82">
        <f>VLOOKUP($B59,'Data shares'!$C:$FB,98)</f>
        <v>34156575</v>
      </c>
      <c r="E59" s="165">
        <f>VLOOKUP(B59,'Snapshot (Volume)'!$A$7:$G$168,7,0)</f>
        <v>35808275</v>
      </c>
      <c r="F59" s="165">
        <f t="shared" si="18"/>
        <v>-1651700</v>
      </c>
      <c r="G59" s="166">
        <f t="shared" si="19"/>
        <v>-4.6126209654053431E-2</v>
      </c>
      <c r="H59" s="165">
        <f>VLOOKUP($B59,'Data shares'!$C:$FB,66)</f>
        <v>29848875</v>
      </c>
      <c r="I59" s="165">
        <f>VLOOKUP($B59,'Data shares'!$C:$FB,67)</f>
        <v>43581225</v>
      </c>
      <c r="J59" s="81">
        <f t="shared" si="20"/>
        <v>-31.509784316526211</v>
      </c>
      <c r="K59" s="5">
        <f>VLOOKUP($B59,'Data Vlaue (Cr)'!$C:$FB,99)</f>
        <v>1614</v>
      </c>
      <c r="L59" s="81">
        <f>VLOOKUP(B59,'OI(Value)'!$A$7:$C$209,3,0)</f>
        <v>-78</v>
      </c>
      <c r="M59" s="33">
        <f t="shared" si="12"/>
        <v>-4.8327137546468402</v>
      </c>
      <c r="N59" s="5">
        <f>VLOOKUP($B59,'Data Vlaue (Cr)'!$C:$FB,67)</f>
        <v>1411</v>
      </c>
      <c r="O59" s="5">
        <f>VLOOKUP($B59,'Data Vlaue (Cr)'!$C:$FB,68)</f>
        <v>2059</v>
      </c>
      <c r="P59" s="5">
        <f t="shared" si="21"/>
        <v>-45.924875974486177</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6490</v>
      </c>
      <c r="D60" s="82">
        <f>VLOOKUP($B60,'Data shares'!$C:$FB,98)</f>
        <v>5212000</v>
      </c>
      <c r="E60" s="165">
        <f>VLOOKUP(B60,'Snapshot (Volume)'!$A$7:$G$168,7,0)</f>
        <v>5475400</v>
      </c>
      <c r="F60" s="165">
        <f t="shared" si="18"/>
        <v>-263400</v>
      </c>
      <c r="G60" s="166">
        <f t="shared" si="19"/>
        <v>-4.8106074442049895E-2</v>
      </c>
      <c r="H60" s="165">
        <f>VLOOKUP($B60,'Data shares'!$C:$FB,66)</f>
        <v>6424300</v>
      </c>
      <c r="I60" s="165">
        <f>VLOOKUP($B60,'Data shares'!$C:$FB,67)</f>
        <v>4571200</v>
      </c>
      <c r="J60" s="81">
        <f t="shared" si="20"/>
        <v>40.538589429471472</v>
      </c>
      <c r="K60" s="5">
        <f>VLOOKUP($B60,'Data Vlaue (Cr)'!$C:$FB,99)</f>
        <v>3380</v>
      </c>
      <c r="L60" s="81">
        <f>VLOOKUP(B60,'OI(Value)'!$A$7:$C$209,3,0)</f>
        <v>-171</v>
      </c>
      <c r="M60" s="33">
        <f t="shared" si="12"/>
        <v>-5.059171597633136</v>
      </c>
      <c r="N60" s="5">
        <f>VLOOKUP($B60,'Data Vlaue (Cr)'!$C:$FB,67)</f>
        <v>4166</v>
      </c>
      <c r="O60" s="5">
        <f>VLOOKUP($B60,'Data Vlaue (Cr)'!$C:$FB,68)</f>
        <v>2964</v>
      </c>
      <c r="P60" s="5">
        <f t="shared" si="21"/>
        <v>28.85261641862698</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15505</v>
      </c>
      <c r="D61" s="82">
        <f>VLOOKUP($B61,'Data shares'!$C:$FB,98)</f>
        <v>5885600</v>
      </c>
      <c r="E61" s="165">
        <f>VLOOKUP(B61,'Snapshot (Volume)'!$A$7:$G$168,7,0)</f>
        <v>6352750</v>
      </c>
      <c r="F61" s="165">
        <f t="shared" si="18"/>
        <v>-467150</v>
      </c>
      <c r="G61" s="166">
        <f t="shared" si="19"/>
        <v>-7.3535083231671322E-2</v>
      </c>
      <c r="H61" s="165">
        <f>VLOOKUP($B61,'Data shares'!$C:$FB,66)</f>
        <v>10705200</v>
      </c>
      <c r="I61" s="165">
        <f>VLOOKUP($B61,'Data shares'!$C:$FB,67)</f>
        <v>13493150</v>
      </c>
      <c r="J61" s="81">
        <f t="shared" si="20"/>
        <v>-20.66196551583581</v>
      </c>
      <c r="K61" s="5">
        <f>VLOOKUP($B61,'Data Vlaue (Cr)'!$C:$FB,99)</f>
        <v>9139</v>
      </c>
      <c r="L61" s="81">
        <f>VLOOKUP(B61,'OI(Value)'!$A$7:$C$209,3,0)</f>
        <v>-725</v>
      </c>
      <c r="M61" s="33">
        <f t="shared" si="12"/>
        <v>-7.9330342488237227</v>
      </c>
      <c r="N61" s="5">
        <f>VLOOKUP($B61,'Data Vlaue (Cr)'!$C:$FB,67)</f>
        <v>16623</v>
      </c>
      <c r="O61" s="5">
        <f>VLOOKUP($B61,'Data Vlaue (Cr)'!$C:$FB,68)</f>
        <v>20952</v>
      </c>
      <c r="P61" s="5">
        <f t="shared" si="21"/>
        <v>-26.042230644288033</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779.5</v>
      </c>
      <c r="D62" s="82">
        <f>VLOOKUP($B62,'Data shares'!$C:$FB,98)</f>
        <v>58966875</v>
      </c>
      <c r="E62" s="165">
        <f>VLOOKUP(B62,'Snapshot (Volume)'!$A$7:$G$168,7,0)</f>
        <v>58699575</v>
      </c>
      <c r="F62" s="165">
        <f t="shared" si="18"/>
        <v>267300</v>
      </c>
      <c r="G62" s="166"/>
      <c r="H62" s="165">
        <f>VLOOKUP($B62,'Data shares'!$C:$FB,66)</f>
        <v>70231425</v>
      </c>
      <c r="I62" s="165">
        <f>VLOOKUP($B62,'Data shares'!$C:$FB,67)</f>
        <v>47695725</v>
      </c>
      <c r="J62" s="81"/>
      <c r="K62" s="5">
        <f>VLOOKUP($B62,'Data Vlaue (Cr)'!$C:$FB,99)</f>
        <v>4593</v>
      </c>
      <c r="L62" s="81">
        <f>VLOOKUP(B62,'OI(Value)'!$A$7:$C$209,3,0)</f>
        <v>21</v>
      </c>
      <c r="M62" s="33"/>
      <c r="N62" s="5">
        <f>VLOOKUP($B62,'Data Vlaue (Cr)'!$C:$FB,67)</f>
        <v>5471</v>
      </c>
      <c r="O62" s="5">
        <f>VLOOKUP($B62,'Data Vlaue (Cr)'!$C:$FB,68)</f>
        <v>3715</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4257.8999999999996</v>
      </c>
      <c r="D63" s="82">
        <f>VLOOKUP($B63,'Data shares'!$C:$FB,98)</f>
        <v>10514250</v>
      </c>
      <c r="E63" s="165">
        <f>VLOOKUP(B63,'Snapshot (Volume)'!$A$7:$G$168,7,0)</f>
        <v>11366550</v>
      </c>
      <c r="F63" s="165">
        <f t="shared" si="18"/>
        <v>-852300</v>
      </c>
      <c r="G63" s="166">
        <f t="shared" si="19"/>
        <v>-7.4983174314105866E-2</v>
      </c>
      <c r="H63" s="165">
        <f>VLOOKUP($B63,'Data shares'!$C:$FB,66)</f>
        <v>10474050</v>
      </c>
      <c r="I63" s="165">
        <f>VLOOKUP($B63,'Data shares'!$C:$FB,67)</f>
        <v>11185650</v>
      </c>
      <c r="J63" s="81">
        <f t="shared" si="20"/>
        <v>-6.3617223853776936</v>
      </c>
      <c r="K63" s="5">
        <f>VLOOKUP($B63,'Data Vlaue (Cr)'!$C:$FB,99)</f>
        <v>4489</v>
      </c>
      <c r="L63" s="81">
        <f>VLOOKUP(B63,'OI(Value)'!$A$7:$C$209,3,0)</f>
        <v>-364</v>
      </c>
      <c r="M63" s="33">
        <f t="shared" si="12"/>
        <v>-8.1087101804410775</v>
      </c>
      <c r="N63" s="5">
        <f>VLOOKUP($B63,'Data Vlaue (Cr)'!$C:$FB,67)</f>
        <v>4471</v>
      </c>
      <c r="O63" s="5">
        <f>VLOOKUP($B63,'Data Vlaue (Cr)'!$C:$FB,68)</f>
        <v>4775</v>
      </c>
      <c r="P63" s="5">
        <f t="shared" si="21"/>
        <v>-6.799373741892194</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1284.3</v>
      </c>
      <c r="D64" s="82">
        <f>VLOOKUP($B64,'Data shares'!$C:$FB,98)</f>
        <v>27736250</v>
      </c>
      <c r="E64" s="165">
        <f>VLOOKUP(B64,'Snapshot (Volume)'!$A$7:$G$168,7,0)</f>
        <v>28339375</v>
      </c>
      <c r="F64" s="165">
        <f t="shared" si="18"/>
        <v>-603125</v>
      </c>
      <c r="G64" s="166">
        <f t="shared" si="19"/>
        <v>-2.1282226584037226E-2</v>
      </c>
      <c r="H64" s="165">
        <f>VLOOKUP($B64,'Data shares'!$C:$FB,66)</f>
        <v>50278750</v>
      </c>
      <c r="I64" s="165">
        <f>VLOOKUP($B64,'Data shares'!$C:$FB,67)</f>
        <v>34645625</v>
      </c>
      <c r="J64" s="81">
        <f t="shared" si="20"/>
        <v>45.122941208305519</v>
      </c>
      <c r="K64" s="5">
        <f>VLOOKUP($B64,'Data Vlaue (Cr)'!$C:$FB,99)</f>
        <v>3569</v>
      </c>
      <c r="L64" s="81">
        <f>VLOOKUP(B64,'OI(Value)'!$A$7:$C$209,3,0)</f>
        <v>-78</v>
      </c>
      <c r="M64" s="33">
        <f t="shared" si="12"/>
        <v>-2.1854861305687869</v>
      </c>
      <c r="N64" s="5">
        <f>VLOOKUP($B64,'Data Vlaue (Cr)'!$C:$FB,67)</f>
        <v>6469</v>
      </c>
      <c r="O64" s="5">
        <f>VLOOKUP($B64,'Data Vlaue (Cr)'!$C:$FB,68)</f>
        <v>4458</v>
      </c>
      <c r="P64" s="5">
        <f t="shared" si="21"/>
        <v>31.086721286133866</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6906.5</v>
      </c>
      <c r="D65" s="82">
        <f>VLOOKUP($B65,'Data shares'!$C:$FB,98)</f>
        <v>6677300</v>
      </c>
      <c r="E65" s="165">
        <f>VLOOKUP(B65,'Snapshot (Volume)'!$A$7:$G$168,7,0)</f>
        <v>6974800</v>
      </c>
      <c r="F65" s="165">
        <f t="shared" si="18"/>
        <v>-297500</v>
      </c>
      <c r="G65" s="166">
        <f t="shared" si="19"/>
        <v>-4.2653552790044159E-2</v>
      </c>
      <c r="H65" s="165">
        <f>VLOOKUP($B65,'Data shares'!$C:$FB,66)</f>
        <v>6211625</v>
      </c>
      <c r="I65" s="165">
        <f>VLOOKUP($B65,'Data shares'!$C:$FB,67)</f>
        <v>8393525</v>
      </c>
      <c r="J65" s="81">
        <f t="shared" si="20"/>
        <v>-25.995037841669621</v>
      </c>
      <c r="K65" s="5">
        <f>VLOOKUP($B65,'Data Vlaue (Cr)'!$C:$FB,99)</f>
        <v>4615</v>
      </c>
      <c r="L65" s="81">
        <f>VLOOKUP(B65,'OI(Value)'!$A$7:$C$209,3,0)</f>
        <v>-206</v>
      </c>
      <c r="M65" s="33">
        <f t="shared" si="12"/>
        <v>-4.4637053087757312</v>
      </c>
      <c r="N65" s="5">
        <f>VLOOKUP($B65,'Data Vlaue (Cr)'!$C:$FB,67)</f>
        <v>4293</v>
      </c>
      <c r="O65" s="5">
        <f>VLOOKUP($B65,'Data Vlaue (Cr)'!$C:$FB,68)</f>
        <v>5801</v>
      </c>
      <c r="P65" s="5">
        <f t="shared" si="21"/>
        <v>-35.126950850221291</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333.7</v>
      </c>
      <c r="D66" s="82">
        <f>VLOOKUP($B66,'Data shares'!$C:$FB,98)</f>
        <v>385916925</v>
      </c>
      <c r="E66" s="165">
        <f>VLOOKUP(B66,'Snapshot (Volume)'!$A$7:$G$168,7,0)</f>
        <v>392035200</v>
      </c>
      <c r="F66" s="165">
        <f t="shared" si="18"/>
        <v>-6118275</v>
      </c>
      <c r="G66" s="166">
        <f t="shared" si="19"/>
        <v>-1.5606442992874109E-2</v>
      </c>
      <c r="H66" s="165">
        <f>VLOOKUP($B66,'Data shares'!$C:$FB,66)</f>
        <v>303580900</v>
      </c>
      <c r="I66" s="165">
        <f>VLOOKUP($B66,'Data shares'!$C:$FB,67)</f>
        <v>362535075</v>
      </c>
      <c r="J66" s="81">
        <f t="shared" si="20"/>
        <v>-16.261647235098561</v>
      </c>
      <c r="K66" s="5">
        <f>VLOOKUP($B66,'Data Vlaue (Cr)'!$C:$FB,99)</f>
        <v>12895</v>
      </c>
      <c r="L66" s="81">
        <f>VLOOKUP(B66,'OI(Value)'!$A$7:$C$209,3,0)</f>
        <v>-204</v>
      </c>
      <c r="M66" s="33">
        <f t="shared" ref="M66:M93" si="22">L66/K66*100</f>
        <v>-1.5820085304381541</v>
      </c>
      <c r="N66" s="5">
        <f>VLOOKUP($B66,'Data Vlaue (Cr)'!$C:$FB,67)</f>
        <v>10144</v>
      </c>
      <c r="O66" s="5">
        <f>VLOOKUP($B66,'Data Vlaue (Cr)'!$C:$FB,68)</f>
        <v>12114</v>
      </c>
      <c r="P66" s="5">
        <f t="shared" si="21"/>
        <v>-19.420347003154575</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379.95</v>
      </c>
      <c r="D67" s="82">
        <f>VLOOKUP($B67,'Data shares'!$C:$FB,98)</f>
        <v>61236000</v>
      </c>
      <c r="E67" s="165">
        <f>VLOOKUP(B67,'Snapshot (Volume)'!$A$7:$G$168,7,0)</f>
        <v>56588400</v>
      </c>
      <c r="F67" s="165">
        <f t="shared" si="18"/>
        <v>4647600</v>
      </c>
      <c r="G67" s="166">
        <f t="shared" si="19"/>
        <v>8.212990648260067E-2</v>
      </c>
      <c r="H67" s="165">
        <f>VLOOKUP($B67,'Data shares'!$C:$FB,66)</f>
        <v>78134400</v>
      </c>
      <c r="I67" s="165">
        <f>VLOOKUP($B67,'Data shares'!$C:$FB,67)</f>
        <v>54405000</v>
      </c>
      <c r="J67" s="81">
        <f t="shared" si="20"/>
        <v>43.616211745244001</v>
      </c>
      <c r="K67" s="5">
        <f>VLOOKUP($B67,'Data Vlaue (Cr)'!$C:$FB,99)</f>
        <v>2327</v>
      </c>
      <c r="L67" s="81">
        <f>VLOOKUP(B67,'OI(Value)'!$A$7:$C$209,3,0)</f>
        <v>177</v>
      </c>
      <c r="M67" s="33">
        <f t="shared" si="22"/>
        <v>7.6063601203266007</v>
      </c>
      <c r="N67" s="5">
        <f>VLOOKUP($B67,'Data Vlaue (Cr)'!$C:$FB,67)</f>
        <v>2969</v>
      </c>
      <c r="O67" s="5">
        <f>VLOOKUP($B67,'Data Vlaue (Cr)'!$C:$FB,68)</f>
        <v>2068</v>
      </c>
      <c r="P67" s="5">
        <f t="shared" si="21"/>
        <v>30.346918154260692</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234.04</v>
      </c>
      <c r="D68" s="82">
        <f>VLOOKUP($B68,'Data shares'!$C:$FB,98)</f>
        <v>249100000</v>
      </c>
      <c r="E68" s="165">
        <f>VLOOKUP(B68,'Snapshot (Volume)'!$A$7:$G$168,7,0)</f>
        <v>252175000</v>
      </c>
      <c r="F68" s="165">
        <f t="shared" si="18"/>
        <v>-3075000</v>
      </c>
      <c r="G68" s="166">
        <f t="shared" si="19"/>
        <v>-1.2193912957271735E-2</v>
      </c>
      <c r="H68" s="165">
        <f>VLOOKUP($B68,'Data shares'!$C:$FB,66)</f>
        <v>446705000</v>
      </c>
      <c r="I68" s="165">
        <f>VLOOKUP($B68,'Data shares'!$C:$FB,67)</f>
        <v>511195000</v>
      </c>
      <c r="J68" s="81">
        <f t="shared" si="20"/>
        <v>-12.615538101898494</v>
      </c>
      <c r="K68" s="5">
        <f>VLOOKUP($B68,'Data Vlaue (Cr)'!$C:$FB,99)</f>
        <v>5821</v>
      </c>
      <c r="L68" s="81">
        <f>VLOOKUP(B68,'OI(Value)'!$A$7:$C$209,3,0)</f>
        <v>-72</v>
      </c>
      <c r="M68" s="33">
        <f t="shared" si="22"/>
        <v>-1.2369008761381206</v>
      </c>
      <c r="N68" s="5">
        <f>VLOOKUP($B68,'Data Vlaue (Cr)'!$C:$FB,67)</f>
        <v>10439</v>
      </c>
      <c r="O68" s="5">
        <f>VLOOKUP($B68,'Data Vlaue (Cr)'!$C:$FB,68)</f>
        <v>11946</v>
      </c>
      <c r="P68" s="5">
        <f t="shared" si="21"/>
        <v>-14.436248682824026</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27519</v>
      </c>
      <c r="D69" s="165">
        <f>VLOOKUP($B69,'Data shares'!$C:$FB,98)</f>
        <v>3740295</v>
      </c>
      <c r="E69" s="165">
        <f>VLOOKUP(B69,'Snapshot (Volume)'!$A$7:$G$168,7,0)</f>
        <v>3850340</v>
      </c>
      <c r="F69" s="165">
        <f t="shared" ref="F69:F85" si="23">D69-E69</f>
        <v>-110045</v>
      </c>
      <c r="G69" s="166">
        <f t="shared" ref="G69:G85" si="24">F69/E69</f>
        <v>-2.8580592882706462E-2</v>
      </c>
      <c r="H69" s="165">
        <f>VLOOKUP($B69,'Data shares'!$C:$FB,66)</f>
        <v>47920535</v>
      </c>
      <c r="I69" s="165">
        <f>VLOOKUP($B69,'Data shares'!$C:$FB,67)</f>
        <v>29004495</v>
      </c>
      <c r="J69" s="81">
        <f t="shared" ref="J69:J85" si="25">(H69-I69)/I69*100</f>
        <v>65.217615407542866</v>
      </c>
      <c r="K69" s="81">
        <f>VLOOKUP($B69,'Data Vlaue (Cr)'!$C:$FB,99)</f>
        <v>10311</v>
      </c>
      <c r="L69" s="81">
        <f>VLOOKUP(B69,'OI(Value)'!$A$7:$C$209,3,0)</f>
        <v>-303</v>
      </c>
      <c r="M69" s="81">
        <f t="shared" si="22"/>
        <v>-2.9386092522548735</v>
      </c>
      <c r="N69" s="81">
        <f>VLOOKUP($B69,'Data Vlaue (Cr)'!$C:$FB,67)</f>
        <v>132110</v>
      </c>
      <c r="O69" s="81">
        <f>VLOOKUP($B69,'Data Vlaue (Cr)'!$C:$FB,68)</f>
        <v>79961</v>
      </c>
      <c r="P69" s="81">
        <f t="shared" ref="P69:P85" si="26">(N69-O69)/N69*100</f>
        <v>39.473923245780028</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1052.55</v>
      </c>
      <c r="D70" s="165">
        <f>VLOOKUP($B70,'Data shares'!$C:$FB,98)</f>
        <v>15835575</v>
      </c>
      <c r="E70" s="165">
        <f>VLOOKUP(B70,'Snapshot (Volume)'!$A$7:$G$168,7,0)</f>
        <v>16241675</v>
      </c>
      <c r="F70" s="165">
        <f t="shared" si="23"/>
        <v>-406100</v>
      </c>
      <c r="G70" s="166">
        <f t="shared" si="24"/>
        <v>-2.5003578756501409E-2</v>
      </c>
      <c r="H70" s="165">
        <f>VLOOKUP($B70,'Data shares'!$C:$FB,66)</f>
        <v>16326150</v>
      </c>
      <c r="I70" s="165">
        <f>VLOOKUP($B70,'Data shares'!$C:$FB,67)</f>
        <v>20670025</v>
      </c>
      <c r="J70" s="81">
        <f t="shared" si="25"/>
        <v>-21.015335008061189</v>
      </c>
      <c r="K70" s="81">
        <f>VLOOKUP($B70,'Data Vlaue (Cr)'!$C:$FB,99)</f>
        <v>1668</v>
      </c>
      <c r="L70" s="81">
        <f>VLOOKUP(B70,'OI(Value)'!$A$7:$C$209,3,0)</f>
        <v>-43</v>
      </c>
      <c r="M70" s="81">
        <f t="shared" si="22"/>
        <v>-2.5779376498800959</v>
      </c>
      <c r="N70" s="81">
        <f>VLOOKUP($B70,'Data Vlaue (Cr)'!$C:$FB,67)</f>
        <v>1719</v>
      </c>
      <c r="O70" s="81">
        <f>VLOOKUP($B70,'Data Vlaue (Cr)'!$C:$FB,68)</f>
        <v>2177</v>
      </c>
      <c r="P70" s="81">
        <f t="shared" si="26"/>
        <v>-26.643397324025596</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180.17</v>
      </c>
      <c r="D71" s="82">
        <f>VLOOKUP($B71,'Data shares'!$C:$FB,98)</f>
        <v>156347100</v>
      </c>
      <c r="E71" s="165">
        <f>VLOOKUP(B71,'Snapshot (Volume)'!$A$7:$G$168,7,0)</f>
        <v>156195900</v>
      </c>
      <c r="F71" s="165">
        <f t="shared" si="23"/>
        <v>151200</v>
      </c>
      <c r="G71" s="166">
        <f t="shared" si="24"/>
        <v>9.6801516557092732E-4</v>
      </c>
      <c r="H71" s="165">
        <f>VLOOKUP($B71,'Data shares'!$C:$FB,66)</f>
        <v>96421500</v>
      </c>
      <c r="I71" s="165">
        <f>VLOOKUP($B71,'Data shares'!$C:$FB,67)</f>
        <v>144455850</v>
      </c>
      <c r="J71" s="81">
        <f t="shared" si="25"/>
        <v>-33.251924376894394</v>
      </c>
      <c r="K71" s="5">
        <f>VLOOKUP($B71,'Data Vlaue (Cr)'!$C:$FB,99)</f>
        <v>2814</v>
      </c>
      <c r="L71" s="81">
        <f>VLOOKUP(B71,'OI(Value)'!$A$7:$C$209,3,0)</f>
        <v>3</v>
      </c>
      <c r="M71" s="33">
        <f t="shared" si="22"/>
        <v>0.10660980810234541</v>
      </c>
      <c r="N71" s="5">
        <f>VLOOKUP($B71,'Data Vlaue (Cr)'!$C:$FB,67)</f>
        <v>1735</v>
      </c>
      <c r="O71" s="5">
        <f>VLOOKUP($B71,'Data Vlaue (Cr)'!$C:$FB,68)</f>
        <v>2600</v>
      </c>
      <c r="P71" s="5">
        <f t="shared" si="26"/>
        <v>-49.855907780979827</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1812.7</v>
      </c>
      <c r="D72" s="82">
        <f>VLOOKUP($B72,'Data shares'!$C:$FB,98)</f>
        <v>13795125</v>
      </c>
      <c r="E72" s="165">
        <f>VLOOKUP(B72,'Snapshot (Volume)'!$A$7:$G$168,7,0)</f>
        <v>12945750</v>
      </c>
      <c r="F72" s="165">
        <f t="shared" si="23"/>
        <v>849375</v>
      </c>
      <c r="G72" s="166">
        <f t="shared" si="24"/>
        <v>6.5610335438271244E-2</v>
      </c>
      <c r="H72" s="165">
        <f>VLOOKUP($B72,'Data shares'!$C:$FB,66)</f>
        <v>12787500</v>
      </c>
      <c r="I72" s="165">
        <f>VLOOKUP($B72,'Data shares'!$C:$FB,67)</f>
        <v>12862125</v>
      </c>
      <c r="J72" s="81">
        <f t="shared" si="25"/>
        <v>-0.58019184232776466</v>
      </c>
      <c r="K72" s="5">
        <f>VLOOKUP($B72,'Data Vlaue (Cr)'!$C:$FB,99)</f>
        <v>2507</v>
      </c>
      <c r="L72" s="81">
        <f>VLOOKUP(B72,'OI(Value)'!$A$7:$C$209,3,0)</f>
        <v>154</v>
      </c>
      <c r="M72" s="33">
        <f t="shared" si="22"/>
        <v>6.1428001595532509</v>
      </c>
      <c r="N72" s="5">
        <f>VLOOKUP($B72,'Data Vlaue (Cr)'!$C:$FB,67)</f>
        <v>2324</v>
      </c>
      <c r="O72" s="5">
        <f>VLOOKUP($B72,'Data Vlaue (Cr)'!$C:$FB,68)</f>
        <v>2337</v>
      </c>
      <c r="P72" s="5">
        <f t="shared" si="26"/>
        <v>-0.55938037865748713</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92.34</v>
      </c>
      <c r="D73" s="82">
        <f>VLOOKUP($B73,'Data shares'!$C:$FB,98)</f>
        <v>370246950</v>
      </c>
      <c r="E73" s="165">
        <f>VLOOKUP(B73,'Snapshot (Volume)'!$A$7:$G$168,7,0)</f>
        <v>359693775</v>
      </c>
      <c r="F73" s="165">
        <f t="shared" si="23"/>
        <v>10553175</v>
      </c>
      <c r="G73" s="166">
        <f t="shared" si="24"/>
        <v>2.9339331769086079E-2</v>
      </c>
      <c r="H73" s="165">
        <f>VLOOKUP($B73,'Data shares'!$C:$FB,66)</f>
        <v>195125625</v>
      </c>
      <c r="I73" s="165">
        <f>VLOOKUP($B73,'Data shares'!$C:$FB,67)</f>
        <v>358089525</v>
      </c>
      <c r="J73" s="81">
        <f t="shared" si="25"/>
        <v>-45.509261964588326</v>
      </c>
      <c r="K73" s="5">
        <f>VLOOKUP($B73,'Data Vlaue (Cr)'!$C:$FB,99)</f>
        <v>3425</v>
      </c>
      <c r="L73" s="81">
        <f>VLOOKUP(B73,'OI(Value)'!$A$7:$C$209,3,0)</f>
        <v>98</v>
      </c>
      <c r="M73" s="33">
        <f t="shared" si="22"/>
        <v>2.8613138686131387</v>
      </c>
      <c r="N73" s="5">
        <f>VLOOKUP($B73,'Data Vlaue (Cr)'!$C:$FB,67)</f>
        <v>1805</v>
      </c>
      <c r="O73" s="5">
        <f>VLOOKUP($B73,'Data Vlaue (Cr)'!$C:$FB,68)</f>
        <v>3313</v>
      </c>
      <c r="P73" s="5">
        <f t="shared" si="26"/>
        <v>-83.54570637119113</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1124.7</v>
      </c>
      <c r="D74" s="82">
        <f>VLOOKUP($B74,'Data shares'!$C:$FB,98)</f>
        <v>18492500</v>
      </c>
      <c r="E74" s="165">
        <f>VLOOKUP(B74,'Snapshot (Volume)'!$A$7:$G$168,7,0)</f>
        <v>18357500</v>
      </c>
      <c r="F74" s="165">
        <f t="shared" si="23"/>
        <v>135000</v>
      </c>
      <c r="G74" s="166">
        <f t="shared" si="24"/>
        <v>7.3539425303009668E-3</v>
      </c>
      <c r="H74" s="165">
        <f>VLOOKUP($B74,'Data shares'!$C:$FB,66)</f>
        <v>11890500</v>
      </c>
      <c r="I74" s="165">
        <f>VLOOKUP($B74,'Data shares'!$C:$FB,67)</f>
        <v>14593500</v>
      </c>
      <c r="J74" s="81">
        <f t="shared" si="25"/>
        <v>-18.52194470140816</v>
      </c>
      <c r="K74" s="5">
        <f>VLOOKUP($B74,'Data Vlaue (Cr)'!$C:$FB,99)</f>
        <v>2086</v>
      </c>
      <c r="L74" s="81">
        <f>VLOOKUP(B74,'OI(Value)'!$A$7:$C$209,3,0)</f>
        <v>15</v>
      </c>
      <c r="M74" s="33">
        <f t="shared" si="22"/>
        <v>0.7190795781399808</v>
      </c>
      <c r="N74" s="5">
        <f>VLOOKUP($B74,'Data Vlaue (Cr)'!$C:$FB,67)</f>
        <v>1341</v>
      </c>
      <c r="O74" s="5">
        <f>VLOOKUP($B74,'Data Vlaue (Cr)'!$C:$FB,68)</f>
        <v>1646</v>
      </c>
      <c r="P74" s="5">
        <f t="shared" si="26"/>
        <v>-22.744220730797913</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2320.3000000000002</v>
      </c>
      <c r="D75" s="82">
        <f>VLOOKUP($B75,'Data shares'!$C:$FB,98)</f>
        <v>14045625</v>
      </c>
      <c r="E75" s="165">
        <f>VLOOKUP(B75,'Snapshot (Volume)'!$A$7:$G$168,7,0)</f>
        <v>14290375</v>
      </c>
      <c r="F75" s="165">
        <f t="shared" si="23"/>
        <v>-244750</v>
      </c>
      <c r="G75" s="166">
        <f t="shared" si="24"/>
        <v>-1.7126912344847492E-2</v>
      </c>
      <c r="H75" s="165">
        <f>VLOOKUP($B75,'Data shares'!$C:$FB,66)</f>
        <v>16831100</v>
      </c>
      <c r="I75" s="165">
        <f>VLOOKUP($B75,'Data shares'!$C:$FB,67)</f>
        <v>14378925</v>
      </c>
      <c r="J75" s="81">
        <f t="shared" si="25"/>
        <v>17.053952225218506</v>
      </c>
      <c r="K75" s="5">
        <f>VLOOKUP($B75,'Data Vlaue (Cr)'!$C:$FB,99)</f>
        <v>3256</v>
      </c>
      <c r="L75" s="81">
        <f>VLOOKUP(B75,'OI(Value)'!$A$7:$C$209,3,0)</f>
        <v>-57</v>
      </c>
      <c r="M75" s="33">
        <f t="shared" si="22"/>
        <v>-1.7506142506142506</v>
      </c>
      <c r="N75" s="5">
        <f>VLOOKUP($B75,'Data Vlaue (Cr)'!$C:$FB,67)</f>
        <v>3902</v>
      </c>
      <c r="O75" s="5">
        <f>VLOOKUP($B75,'Data Vlaue (Cr)'!$C:$FB,68)</f>
        <v>3333</v>
      </c>
      <c r="P75" s="5">
        <f t="shared" si="26"/>
        <v>14.5822655048693</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2923.9</v>
      </c>
      <c r="D76" s="82">
        <f>VLOOKUP($B76,'Data shares'!$C:$FB,98)</f>
        <v>19072500</v>
      </c>
      <c r="E76" s="165">
        <f>VLOOKUP(B76,'Snapshot (Volume)'!$A$7:$G$168,7,0)</f>
        <v>18273250</v>
      </c>
      <c r="F76" s="165">
        <f t="shared" si="23"/>
        <v>799250</v>
      </c>
      <c r="G76" s="166">
        <f t="shared" si="24"/>
        <v>4.3738798516957847E-2</v>
      </c>
      <c r="H76" s="165">
        <f>VLOOKUP($B76,'Data shares'!$C:$FB,66)</f>
        <v>18354000</v>
      </c>
      <c r="I76" s="165">
        <f>VLOOKUP($B76,'Data shares'!$C:$FB,67)</f>
        <v>16858250</v>
      </c>
      <c r="J76" s="81">
        <f t="shared" si="25"/>
        <v>8.8725104918956585</v>
      </c>
      <c r="K76" s="5">
        <f>VLOOKUP($B76,'Data Vlaue (Cr)'!$C:$FB,99)</f>
        <v>5574</v>
      </c>
      <c r="L76" s="81">
        <f>VLOOKUP(B76,'OI(Value)'!$A$7:$C$209,3,0)</f>
        <v>234</v>
      </c>
      <c r="M76" s="33">
        <f t="shared" si="22"/>
        <v>4.1980624327233578</v>
      </c>
      <c r="N76" s="5">
        <f>VLOOKUP($B76,'Data Vlaue (Cr)'!$C:$FB,67)</f>
        <v>5364</v>
      </c>
      <c r="O76" s="5">
        <f>VLOOKUP($B76,'Data Vlaue (Cr)'!$C:$FB,68)</f>
        <v>4927</v>
      </c>
      <c r="P76" s="5">
        <f t="shared" si="26"/>
        <v>8.1469052945563014</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4756.8</v>
      </c>
      <c r="D77" s="82">
        <f>VLOOKUP($B77,'Data shares'!$C:$FB,98)</f>
        <v>17473200</v>
      </c>
      <c r="E77" s="165">
        <f>VLOOKUP(B77,'Snapshot (Volume)'!$A$7:$G$168,7,0)</f>
        <v>17622450</v>
      </c>
      <c r="F77" s="165">
        <f t="shared" si="23"/>
        <v>-149250</v>
      </c>
      <c r="G77" s="166">
        <f t="shared" si="24"/>
        <v>-8.4693104534273051E-3</v>
      </c>
      <c r="H77" s="165">
        <f>VLOOKUP($B77,'Data shares'!$C:$FB,66)</f>
        <v>19848150</v>
      </c>
      <c r="I77" s="165">
        <f>VLOOKUP($B77,'Data shares'!$C:$FB,67)</f>
        <v>21560100</v>
      </c>
      <c r="J77" s="81">
        <f t="shared" si="25"/>
        <v>-7.9403620576898994</v>
      </c>
      <c r="K77" s="5">
        <f>VLOOKUP($B77,'Data Vlaue (Cr)'!$C:$FB,99)</f>
        <v>8323</v>
      </c>
      <c r="L77" s="81">
        <f>VLOOKUP(B77,'OI(Value)'!$A$7:$C$209,3,0)</f>
        <v>-71</v>
      </c>
      <c r="M77" s="33">
        <f t="shared" si="22"/>
        <v>-0.85305779166166051</v>
      </c>
      <c r="N77" s="5">
        <f>VLOOKUP($B77,'Data Vlaue (Cr)'!$C:$FB,67)</f>
        <v>9455</v>
      </c>
      <c r="O77" s="5">
        <f>VLOOKUP($B77,'Data Vlaue (Cr)'!$C:$FB,68)</f>
        <v>10270</v>
      </c>
      <c r="P77" s="5">
        <f t="shared" si="26"/>
        <v>-8.6197778952934954</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1492.6</v>
      </c>
      <c r="D78" s="82">
        <f>VLOOKUP($B78,'Data shares'!$C:$FB,98)</f>
        <v>14216500</v>
      </c>
      <c r="E78" s="165">
        <f>VLOOKUP(B78,'Snapshot (Volume)'!$A$7:$G$168,7,0)</f>
        <v>14687000</v>
      </c>
      <c r="F78" s="165">
        <f t="shared" si="23"/>
        <v>-470500</v>
      </c>
      <c r="G78" s="166">
        <f t="shared" si="24"/>
        <v>-3.2035133110914417E-2</v>
      </c>
      <c r="H78" s="165">
        <f>VLOOKUP($B78,'Data shares'!$C:$FB,66)</f>
        <v>11039500</v>
      </c>
      <c r="I78" s="165">
        <f>VLOOKUP($B78,'Data shares'!$C:$FB,67)</f>
        <v>15420000</v>
      </c>
      <c r="J78" s="81">
        <f t="shared" si="25"/>
        <v>-28.407911802853437</v>
      </c>
      <c r="K78" s="5">
        <f>VLOOKUP($B78,'Data Vlaue (Cr)'!$C:$FB,99)</f>
        <v>2121</v>
      </c>
      <c r="L78" s="81">
        <f>VLOOKUP(B78,'OI(Value)'!$A$7:$C$209,3,0)</f>
        <v>-70</v>
      </c>
      <c r="M78" s="33">
        <f t="shared" si="22"/>
        <v>-3.3003300330032999</v>
      </c>
      <c r="N78" s="5">
        <f>VLOOKUP($B78,'Data Vlaue (Cr)'!$C:$FB,67)</f>
        <v>1647</v>
      </c>
      <c r="O78" s="5">
        <f>VLOOKUP($B78,'Data Vlaue (Cr)'!$C:$FB,68)</f>
        <v>2301</v>
      </c>
      <c r="P78" s="5">
        <f t="shared" si="26"/>
        <v>-39.708561020036434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1533.5</v>
      </c>
      <c r="D79" s="82">
        <f>VLOOKUP($B79,'Data shares'!$C:$FB,98)</f>
        <v>30503900</v>
      </c>
      <c r="E79" s="165">
        <f>VLOOKUP(B79,'Snapshot (Volume)'!$A$7:$G$168,7,0)</f>
        <v>31085250</v>
      </c>
      <c r="F79" s="165">
        <f t="shared" si="23"/>
        <v>-581350</v>
      </c>
      <c r="G79" s="166">
        <f t="shared" si="24"/>
        <v>-1.8701795867815122E-2</v>
      </c>
      <c r="H79" s="165">
        <f>VLOOKUP($B79,'Data shares'!$C:$FB,66)</f>
        <v>27777050</v>
      </c>
      <c r="I79" s="165">
        <f>VLOOKUP($B79,'Data shares'!$C:$FB,67)</f>
        <v>32259150</v>
      </c>
      <c r="J79" s="81">
        <f t="shared" si="25"/>
        <v>-13.894042465471038</v>
      </c>
      <c r="K79" s="5">
        <f>VLOOKUP($B79,'Data Vlaue (Cr)'!$C:$FB,99)</f>
        <v>4684</v>
      </c>
      <c r="L79" s="81">
        <f>VLOOKUP(B79,'OI(Value)'!$A$7:$C$209,3,0)</f>
        <v>-89</v>
      </c>
      <c r="M79" s="33">
        <f t="shared" si="22"/>
        <v>-1.9000853970964986</v>
      </c>
      <c r="N79" s="5">
        <f>VLOOKUP($B79,'Data Vlaue (Cr)'!$C:$FB,67)</f>
        <v>4265</v>
      </c>
      <c r="O79" s="5">
        <f>VLOOKUP($B79,'Data Vlaue (Cr)'!$C:$FB,68)</f>
        <v>4953</v>
      </c>
      <c r="P79" s="5">
        <f t="shared" si="26"/>
        <v>-16.131301289566235</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5559</v>
      </c>
      <c r="D80" s="82">
        <f>VLOOKUP($B80,'Data shares'!$C:$FB,98)</f>
        <v>4739100</v>
      </c>
      <c r="E80" s="165">
        <f>VLOOKUP(B80,'Snapshot (Volume)'!$A$7:$G$168,7,0)</f>
        <v>5159250</v>
      </c>
      <c r="F80" s="165">
        <f t="shared" si="23"/>
        <v>-420150</v>
      </c>
      <c r="G80" s="166">
        <f t="shared" si="24"/>
        <v>-8.1436255269661292E-2</v>
      </c>
      <c r="H80" s="165">
        <f>VLOOKUP($B80,'Data shares'!$C:$FB,66)</f>
        <v>4500750</v>
      </c>
      <c r="I80" s="165">
        <f>VLOOKUP($B80,'Data shares'!$C:$FB,67)</f>
        <v>7462200</v>
      </c>
      <c r="J80" s="81">
        <f t="shared" si="25"/>
        <v>-39.686017528342852</v>
      </c>
      <c r="K80" s="5">
        <f>VLOOKUP($B80,'Data Vlaue (Cr)'!$C:$FB,99)</f>
        <v>2640</v>
      </c>
      <c r="L80" s="81">
        <f>VLOOKUP(B80,'OI(Value)'!$A$7:$C$209,3,0)</f>
        <v>-234</v>
      </c>
      <c r="M80" s="33">
        <f t="shared" si="22"/>
        <v>-8.8636363636363633</v>
      </c>
      <c r="N80" s="5">
        <f>VLOOKUP($B80,'Data Vlaue (Cr)'!$C:$FB,67)</f>
        <v>2507</v>
      </c>
      <c r="O80" s="5">
        <f>VLOOKUP($B80,'Data Vlaue (Cr)'!$C:$FB,68)</f>
        <v>4156</v>
      </c>
      <c r="P80" s="5">
        <f t="shared" si="26"/>
        <v>-65.775827682489023</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1002.95</v>
      </c>
      <c r="D81" s="82">
        <f>VLOOKUP($B81,'Data shares'!$C:$FB,98)</f>
        <v>275965800</v>
      </c>
      <c r="E81" s="165">
        <f>VLOOKUP(B81,'Snapshot (Volume)'!$A$7:$G$168,7,0)</f>
        <v>282944200</v>
      </c>
      <c r="F81" s="165">
        <f t="shared" si="23"/>
        <v>-6978400</v>
      </c>
      <c r="G81" s="166">
        <f t="shared" si="24"/>
        <v>-2.4663520227663265E-2</v>
      </c>
      <c r="H81" s="165">
        <f>VLOOKUP($B81,'Data shares'!$C:$FB,66)</f>
        <v>259492200</v>
      </c>
      <c r="I81" s="165">
        <f>VLOOKUP($B81,'Data shares'!$C:$FB,67)</f>
        <v>319154000</v>
      </c>
      <c r="J81" s="81">
        <f t="shared" si="25"/>
        <v>-18.69373405941959</v>
      </c>
      <c r="K81" s="5">
        <f>VLOOKUP($B81,'Data Vlaue (Cr)'!$C:$FB,99)</f>
        <v>27715</v>
      </c>
      <c r="L81" s="81">
        <f>VLOOKUP(B81,'OI(Value)'!$A$7:$C$209,3,0)</f>
        <v>-701</v>
      </c>
      <c r="M81" s="33">
        <f t="shared" si="22"/>
        <v>-2.5293162547357024</v>
      </c>
      <c r="N81" s="5">
        <f>VLOOKUP($B81,'Data Vlaue (Cr)'!$C:$FB,67)</f>
        <v>26061</v>
      </c>
      <c r="O81" s="5">
        <f>VLOOKUP($B81,'Data Vlaue (Cr)'!$C:$FB,68)</f>
        <v>32053</v>
      </c>
      <c r="P81" s="5">
        <f t="shared" si="26"/>
        <v>-22.992210582863283</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737.25</v>
      </c>
      <c r="D82" s="82">
        <f>VLOOKUP($B82,'Data shares'!$C:$FB,98)</f>
        <v>52929800</v>
      </c>
      <c r="E82" s="165">
        <f>VLOOKUP(B82,'Snapshot (Volume)'!$A$7:$G$168,7,0)</f>
        <v>54621600</v>
      </c>
      <c r="F82" s="165">
        <f t="shared" si="23"/>
        <v>-1691800</v>
      </c>
      <c r="G82" s="166">
        <f t="shared" si="24"/>
        <v>-3.0973094892862898E-2</v>
      </c>
      <c r="H82" s="165">
        <f>VLOOKUP($B82,'Data shares'!$C:$FB,66)</f>
        <v>52784600</v>
      </c>
      <c r="I82" s="165">
        <f>VLOOKUP($B82,'Data shares'!$C:$FB,67)</f>
        <v>41350100</v>
      </c>
      <c r="J82" s="81">
        <f t="shared" si="25"/>
        <v>27.652895639913812</v>
      </c>
      <c r="K82" s="5">
        <f>VLOOKUP($B82,'Data Vlaue (Cr)'!$C:$FB,99)</f>
        <v>3913</v>
      </c>
      <c r="L82" s="81">
        <f>VLOOKUP(B82,'OI(Value)'!$A$7:$C$209,3,0)</f>
        <v>-125</v>
      </c>
      <c r="M82" s="33">
        <f t="shared" si="22"/>
        <v>-3.1944799386659852</v>
      </c>
      <c r="N82" s="5">
        <f>VLOOKUP($B82,'Data Vlaue (Cr)'!$C:$FB,67)</f>
        <v>3902</v>
      </c>
      <c r="O82" s="5">
        <f>VLOOKUP($B82,'Data Vlaue (Cr)'!$C:$FB,68)</f>
        <v>3057</v>
      </c>
      <c r="P82" s="5">
        <f t="shared" si="26"/>
        <v>21.655561250640698</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5646.5</v>
      </c>
      <c r="D83" s="82">
        <f>VLOOKUP($B83,'Data shares'!$C:$FB,98)</f>
        <v>8279850</v>
      </c>
      <c r="E83" s="165">
        <f>VLOOKUP(B83,'Snapshot (Volume)'!$A$7:$G$168,7,0)</f>
        <v>8852100</v>
      </c>
      <c r="F83" s="165">
        <f t="shared" si="23"/>
        <v>-572250</v>
      </c>
      <c r="G83" s="166">
        <f t="shared" si="24"/>
        <v>-6.464567729691259E-2</v>
      </c>
      <c r="H83" s="165">
        <f>VLOOKUP($B83,'Data shares'!$C:$FB,66)</f>
        <v>13248600</v>
      </c>
      <c r="I83" s="165">
        <f>VLOOKUP($B83,'Data shares'!$C:$FB,67)</f>
        <v>10878750</v>
      </c>
      <c r="J83" s="81">
        <f t="shared" si="25"/>
        <v>21.784212340572218</v>
      </c>
      <c r="K83" s="5">
        <f>VLOOKUP($B83,'Data Vlaue (Cr)'!$C:$FB,99)</f>
        <v>4678</v>
      </c>
      <c r="L83" s="81">
        <f>VLOOKUP(B83,'OI(Value)'!$A$7:$C$209,3,0)</f>
        <v>-323</v>
      </c>
      <c r="M83" s="33">
        <f t="shared" si="22"/>
        <v>-6.9046601111586146</v>
      </c>
      <c r="N83" s="5">
        <f>VLOOKUP($B83,'Data Vlaue (Cr)'!$C:$FB,67)</f>
        <v>7485</v>
      </c>
      <c r="O83" s="5">
        <f>VLOOKUP($B83,'Data Vlaue (Cr)'!$C:$FB,68)</f>
        <v>6146</v>
      </c>
      <c r="P83" s="5">
        <f t="shared" si="26"/>
        <v>17.889111556446224</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76.849999999999994</v>
      </c>
      <c r="D84" s="82">
        <f>VLOOKUP($B84,'Data shares'!$C:$FB,98)</f>
        <v>219577350</v>
      </c>
      <c r="E84" s="165">
        <f>VLOOKUP(B84,'Snapshot (Volume)'!$A$7:$G$168,7,0)</f>
        <v>213701400</v>
      </c>
      <c r="F84" s="165">
        <f t="shared" si="23"/>
        <v>5875950</v>
      </c>
      <c r="G84" s="166">
        <f t="shared" si="24"/>
        <v>2.7496076300857177E-2</v>
      </c>
      <c r="H84" s="165">
        <f>VLOOKUP($B84,'Data shares'!$C:$FB,66)</f>
        <v>150297900</v>
      </c>
      <c r="I84" s="165">
        <f>VLOOKUP($B84,'Data shares'!$C:$FB,67)</f>
        <v>180303300</v>
      </c>
      <c r="J84" s="81">
        <f t="shared" si="25"/>
        <v>-16.641625527652572</v>
      </c>
      <c r="K84" s="5">
        <f>VLOOKUP($B84,'Data Vlaue (Cr)'!$C:$FB,99)</f>
        <v>1688</v>
      </c>
      <c r="L84" s="81">
        <f>VLOOKUP(B84,'OI(Value)'!$A$7:$C$209,3,0)</f>
        <v>45</v>
      </c>
      <c r="M84" s="33">
        <f t="shared" si="22"/>
        <v>2.6658767772511851</v>
      </c>
      <c r="N84" s="5">
        <f>VLOOKUP($B84,'Data Vlaue (Cr)'!$C:$FB,67)</f>
        <v>1155</v>
      </c>
      <c r="O84" s="5">
        <f>VLOOKUP($B84,'Data Vlaue (Cr)'!$C:$FB,68)</f>
        <v>1386</v>
      </c>
      <c r="P84" s="5">
        <f t="shared" si="26"/>
        <v>-20</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840.85</v>
      </c>
      <c r="D85" s="82">
        <f>VLOOKUP($B85,'Data shares'!$C:$FB,98)</f>
        <v>103138000</v>
      </c>
      <c r="E85" s="165">
        <f>VLOOKUP(B85,'Snapshot (Volume)'!$A$7:$G$168,7,0)</f>
        <v>101897600</v>
      </c>
      <c r="F85" s="165">
        <f t="shared" si="23"/>
        <v>1240400</v>
      </c>
      <c r="G85" s="166">
        <f t="shared" si="24"/>
        <v>1.2173005056056277E-2</v>
      </c>
      <c r="H85" s="165">
        <f>VLOOKUP($B85,'Data shares'!$C:$FB,66)</f>
        <v>152752600</v>
      </c>
      <c r="I85" s="165">
        <f>VLOOKUP($B85,'Data shares'!$C:$FB,67)</f>
        <v>277872000</v>
      </c>
      <c r="J85" s="81">
        <f t="shared" si="25"/>
        <v>-45.027710600564291</v>
      </c>
      <c r="K85" s="5">
        <f>VLOOKUP($B85,'Data Vlaue (Cr)'!$C:$FB,99)</f>
        <v>8672</v>
      </c>
      <c r="L85" s="81">
        <f>VLOOKUP(B85,'OI(Value)'!$A$7:$C$209,3,0)</f>
        <v>104</v>
      </c>
      <c r="M85" s="33">
        <f t="shared" si="22"/>
        <v>1.1992619926199262</v>
      </c>
      <c r="N85" s="5">
        <f>VLOOKUP($B85,'Data Vlaue (Cr)'!$C:$FB,67)</f>
        <v>12843</v>
      </c>
      <c r="O85" s="5">
        <f>VLOOKUP($B85,'Data Vlaue (Cr)'!$C:$FB,68)</f>
        <v>23363</v>
      </c>
      <c r="P85" s="5">
        <f t="shared" si="26"/>
        <v>-81.912325780580858</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453.75</v>
      </c>
      <c r="D86" s="82">
        <f>VLOOKUP($B86,'Data shares'!$C:$FB,98)</f>
        <v>90017325</v>
      </c>
      <c r="E86" s="165">
        <f>VLOOKUP(B86,'Snapshot (Volume)'!$A$7:$G$168,7,0)</f>
        <v>87660225</v>
      </c>
      <c r="F86" s="165">
        <f t="shared" ref="F86:F96" si="27">D86-E86</f>
        <v>2357100</v>
      </c>
      <c r="G86" s="166">
        <f t="shared" ref="G86:G96" si="28">F86/E86</f>
        <v>2.6889048026057429E-2</v>
      </c>
      <c r="H86" s="165">
        <f>VLOOKUP($B86,'Data shares'!$C:$FB,66)</f>
        <v>110360475</v>
      </c>
      <c r="I86" s="165">
        <f>VLOOKUP($B86,'Data shares'!$C:$FB,67)</f>
        <v>102197700</v>
      </c>
      <c r="J86" s="81">
        <f t="shared" ref="J86:J96" si="29">(H86-I86)/I86*100</f>
        <v>7.9872394388523418</v>
      </c>
      <c r="K86" s="5">
        <f>VLOOKUP($B86,'Data Vlaue (Cr)'!$C:$FB,99)</f>
        <v>4080</v>
      </c>
      <c r="L86" s="81">
        <f>VLOOKUP(B86,'OI(Value)'!$A$7:$C$209,3,0)</f>
        <v>107</v>
      </c>
      <c r="M86" s="33">
        <f t="shared" si="22"/>
        <v>2.6225490196078431</v>
      </c>
      <c r="N86" s="5">
        <f>VLOOKUP($B86,'Data Vlaue (Cr)'!$C:$FB,67)</f>
        <v>5002</v>
      </c>
      <c r="O86" s="5">
        <f>VLOOKUP($B86,'Data Vlaue (Cr)'!$C:$FB,68)</f>
        <v>4632</v>
      </c>
      <c r="P86" s="5">
        <f t="shared" ref="P86:P96" si="30">(N86-O86)/N86*100</f>
        <v>7.3970411835265901</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2511.8000000000002</v>
      </c>
      <c r="D87" s="82">
        <f>VLOOKUP($B87,'Data shares'!$C:$FB,98)</f>
        <v>32531700</v>
      </c>
      <c r="E87" s="165">
        <f>VLOOKUP(B87,'Snapshot (Volume)'!$A$7:$G$168,7,0)</f>
        <v>33975900</v>
      </c>
      <c r="F87" s="165">
        <f t="shared" si="27"/>
        <v>-1444200</v>
      </c>
      <c r="G87" s="166">
        <f t="shared" si="28"/>
        <v>-4.2506600266659603E-2</v>
      </c>
      <c r="H87" s="165">
        <f>VLOOKUP($B87,'Data shares'!$C:$FB,66)</f>
        <v>35661000</v>
      </c>
      <c r="I87" s="165">
        <f>VLOOKUP($B87,'Data shares'!$C:$FB,67)</f>
        <v>88468200</v>
      </c>
      <c r="J87" s="81">
        <f t="shared" si="29"/>
        <v>-59.690600690417575</v>
      </c>
      <c r="K87" s="5">
        <f>VLOOKUP($B87,'Data Vlaue (Cr)'!$C:$FB,99)</f>
        <v>8189</v>
      </c>
      <c r="L87" s="81">
        <f>VLOOKUP(B87,'OI(Value)'!$A$7:$C$209,3,0)</f>
        <v>-364</v>
      </c>
      <c r="M87" s="33">
        <f t="shared" si="22"/>
        <v>-4.4449871779216021</v>
      </c>
      <c r="N87" s="5">
        <f>VLOOKUP($B87,'Data Vlaue (Cr)'!$C:$FB,67)</f>
        <v>8977</v>
      </c>
      <c r="O87" s="5">
        <f>VLOOKUP($B87,'Data Vlaue (Cr)'!$C:$FB,68)</f>
        <v>22269</v>
      </c>
      <c r="P87" s="5">
        <f t="shared" si="30"/>
        <v>-148.06728305670046</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482.3</v>
      </c>
      <c r="D88" s="82">
        <f>VLOOKUP($B88,'Data shares'!$C:$FB,98)</f>
        <v>84689150</v>
      </c>
      <c r="E88" s="165">
        <f>VLOOKUP(B88,'Snapshot (Volume)'!$A$7:$G$168,7,0)</f>
        <v>87066875</v>
      </c>
      <c r="F88" s="165">
        <f t="shared" si="27"/>
        <v>-2377725</v>
      </c>
      <c r="G88" s="166">
        <f t="shared" si="28"/>
        <v>-2.730918044319381E-2</v>
      </c>
      <c r="H88" s="165">
        <f>VLOOKUP($B88,'Data shares'!$C:$FB,66)</f>
        <v>62031550</v>
      </c>
      <c r="I88" s="165">
        <f>VLOOKUP($B88,'Data shares'!$C:$FB,67)</f>
        <v>130793250</v>
      </c>
      <c r="J88" s="81">
        <f t="shared" si="29"/>
        <v>-52.572820080546968</v>
      </c>
      <c r="K88" s="5">
        <f>VLOOKUP($B88,'Data Vlaue (Cr)'!$C:$FB,99)</f>
        <v>4092</v>
      </c>
      <c r="L88" s="81">
        <f>VLOOKUP(B88,'OI(Value)'!$A$7:$C$209,3,0)</f>
        <v>-115</v>
      </c>
      <c r="M88" s="33">
        <f t="shared" si="22"/>
        <v>-2.810361681329423</v>
      </c>
      <c r="N88" s="5">
        <f>VLOOKUP($B88,'Data Vlaue (Cr)'!$C:$FB,67)</f>
        <v>2997</v>
      </c>
      <c r="O88" s="5">
        <f>VLOOKUP($B88,'Data Vlaue (Cr)'!$C:$FB,68)</f>
        <v>6319</v>
      </c>
      <c r="P88" s="5">
        <f t="shared" si="30"/>
        <v>-110.84417751084419</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227.01</v>
      </c>
      <c r="D89" s="82">
        <f>VLOOKUP($B89,'Data shares'!$C:$FB,98)</f>
        <v>55294650</v>
      </c>
      <c r="E89" s="165">
        <f>VLOOKUP(B89,'Snapshot (Volume)'!$A$7:$G$168,7,0)</f>
        <v>54811800</v>
      </c>
      <c r="F89" s="165">
        <f t="shared" si="27"/>
        <v>482850</v>
      </c>
      <c r="G89" s="166">
        <f t="shared" si="28"/>
        <v>8.8092345078979346E-3</v>
      </c>
      <c r="H89" s="165">
        <f>VLOOKUP($B89,'Data shares'!$C:$FB,66)</f>
        <v>44280675</v>
      </c>
      <c r="I89" s="165">
        <f>VLOOKUP($B89,'Data shares'!$C:$FB,67)</f>
        <v>40609350</v>
      </c>
      <c r="J89" s="81">
        <f t="shared" si="29"/>
        <v>9.0405904059040587</v>
      </c>
      <c r="K89" s="5">
        <f>VLOOKUP($B89,'Data Vlaue (Cr)'!$C:$FB,99)</f>
        <v>1258</v>
      </c>
      <c r="L89" s="81">
        <f>VLOOKUP(B89,'OI(Value)'!$A$7:$C$209,3,0)</f>
        <v>11</v>
      </c>
      <c r="M89" s="33">
        <f t="shared" si="22"/>
        <v>0.87440381558028613</v>
      </c>
      <c r="N89" s="5">
        <f>VLOOKUP($B89,'Data Vlaue (Cr)'!$C:$FB,67)</f>
        <v>1007</v>
      </c>
      <c r="O89" s="5">
        <f>VLOOKUP($B89,'Data Vlaue (Cr)'!$C:$FB,68)</f>
        <v>924</v>
      </c>
      <c r="P89" s="5">
        <f t="shared" si="30"/>
        <v>8.2423038728897708</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1377.6</v>
      </c>
      <c r="D90" s="82">
        <f>VLOOKUP($B90,'Data shares'!$C:$FB,98)</f>
        <v>180201700</v>
      </c>
      <c r="E90" s="165">
        <f>VLOOKUP(B90,'Snapshot (Volume)'!$A$7:$G$168,7,0)</f>
        <v>184269400</v>
      </c>
      <c r="F90" s="165">
        <f t="shared" si="27"/>
        <v>-4067700</v>
      </c>
      <c r="G90" s="166">
        <f t="shared" si="28"/>
        <v>-2.2074744911526275E-2</v>
      </c>
      <c r="H90" s="165">
        <f>VLOOKUP($B90,'Data shares'!$C:$FB,66)</f>
        <v>137174800</v>
      </c>
      <c r="I90" s="165">
        <f>VLOOKUP($B90,'Data shares'!$C:$FB,67)</f>
        <v>204335600</v>
      </c>
      <c r="J90" s="81">
        <f t="shared" si="29"/>
        <v>-32.867889883113861</v>
      </c>
      <c r="K90" s="5">
        <f>VLOOKUP($B90,'Data Vlaue (Cr)'!$C:$FB,99)</f>
        <v>24832</v>
      </c>
      <c r="L90" s="81">
        <f>VLOOKUP(B90,'OI(Value)'!$A$7:$C$209,3,0)</f>
        <v>-561</v>
      </c>
      <c r="M90" s="33">
        <f t="shared" si="22"/>
        <v>-2.2591817010309279</v>
      </c>
      <c r="N90" s="5">
        <f>VLOOKUP($B90,'Data Vlaue (Cr)'!$C:$FB,67)</f>
        <v>18903</v>
      </c>
      <c r="O90" s="5">
        <f>VLOOKUP($B90,'Data Vlaue (Cr)'!$C:$FB,68)</f>
        <v>28157</v>
      </c>
      <c r="P90" s="5">
        <f t="shared" si="30"/>
        <v>-48.955192297518913</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1986.4</v>
      </c>
      <c r="D91" s="82">
        <f>VLOOKUP($B91,'Data shares'!$C:$FB,98)</f>
        <v>9536800</v>
      </c>
      <c r="E91" s="165">
        <f>VLOOKUP(B91,'Snapshot (Volume)'!$A$7:$G$168,7,0)</f>
        <v>9929400</v>
      </c>
      <c r="F91" s="165">
        <f t="shared" si="27"/>
        <v>-392600</v>
      </c>
      <c r="G91" s="166">
        <f t="shared" si="28"/>
        <v>-3.9539146373396179E-2</v>
      </c>
      <c r="H91" s="165">
        <f>VLOOKUP($B91,'Data shares'!$C:$FB,66)</f>
        <v>6358300</v>
      </c>
      <c r="I91" s="165">
        <f>VLOOKUP($B91,'Data shares'!$C:$FB,67)</f>
        <v>10192000</v>
      </c>
      <c r="J91" s="81">
        <f t="shared" si="29"/>
        <v>-37.614795918367349</v>
      </c>
      <c r="K91" s="5">
        <f>VLOOKUP($B91,'Data Vlaue (Cr)'!$C:$FB,99)</f>
        <v>1897</v>
      </c>
      <c r="L91" s="81">
        <f>VLOOKUP(B91,'OI(Value)'!$A$7:$C$209,3,0)</f>
        <v>-78</v>
      </c>
      <c r="M91" s="33">
        <f t="shared" si="22"/>
        <v>-4.1117554032683179</v>
      </c>
      <c r="N91" s="5">
        <f>VLOOKUP($B91,'Data Vlaue (Cr)'!$C:$FB,67)</f>
        <v>1265</v>
      </c>
      <c r="O91" s="5">
        <f>VLOOKUP($B91,'Data Vlaue (Cr)'!$C:$FB,68)</f>
        <v>2027</v>
      </c>
      <c r="P91" s="5">
        <f t="shared" si="30"/>
        <v>-60.237154150197625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600.75</v>
      </c>
      <c r="D92" s="82">
        <f>VLOOKUP($B92,'Data shares'!$C:$FB,98)</f>
        <v>20022550</v>
      </c>
      <c r="E92" s="165">
        <f>VLOOKUP(B92,'Snapshot (Volume)'!$A$7:$G$168,7,0)</f>
        <v>20065100</v>
      </c>
      <c r="F92" s="165">
        <f t="shared" si="27"/>
        <v>-42550</v>
      </c>
      <c r="G92" s="166">
        <f t="shared" si="28"/>
        <v>-2.1205974552830536E-3</v>
      </c>
      <c r="H92" s="165">
        <f>VLOOKUP($B92,'Data shares'!$C:$FB,66)</f>
        <v>14803700</v>
      </c>
      <c r="I92" s="165">
        <f>VLOOKUP($B92,'Data shares'!$C:$FB,67)</f>
        <v>14946150</v>
      </c>
      <c r="J92" s="81">
        <f t="shared" si="29"/>
        <v>-0.95308825349671977</v>
      </c>
      <c r="K92" s="5">
        <f>VLOOKUP($B92,'Data Vlaue (Cr)'!$C:$FB,99)</f>
        <v>1205</v>
      </c>
      <c r="L92" s="81">
        <f>VLOOKUP(B92,'OI(Value)'!$A$7:$C$209,3,0)</f>
        <v>-3</v>
      </c>
      <c r="M92" s="33">
        <f t="shared" si="22"/>
        <v>-0.24896265560165973</v>
      </c>
      <c r="N92" s="5">
        <f>VLOOKUP($B92,'Data Vlaue (Cr)'!$C:$FB,67)</f>
        <v>891</v>
      </c>
      <c r="O92" s="5">
        <f>VLOOKUP($B92,'Data Vlaue (Cr)'!$C:$FB,68)</f>
        <v>899</v>
      </c>
      <c r="P92" s="5">
        <f t="shared" si="30"/>
        <v>-0.89786756453423133</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9.9700000000000006</v>
      </c>
      <c r="D93" s="82">
        <f>VLOOKUP($B93,'Data shares'!$C:$FB,98)</f>
        <v>10701379950</v>
      </c>
      <c r="E93" s="165">
        <f>VLOOKUP(B93,'Snapshot (Volume)'!$A$7:$G$168,7,0)</f>
        <v>10305479925</v>
      </c>
      <c r="F93" s="165">
        <f t="shared" si="27"/>
        <v>395900025</v>
      </c>
      <c r="G93" s="166">
        <f t="shared" si="28"/>
        <v>3.8416456863846642E-2</v>
      </c>
      <c r="H93" s="165">
        <f>VLOOKUP($B93,'Data shares'!$C:$FB,66)</f>
        <v>9617920000</v>
      </c>
      <c r="I93" s="165">
        <f>VLOOKUP($B93,'Data shares'!$C:$FB,67)</f>
        <v>3780400000</v>
      </c>
      <c r="J93" s="81">
        <f t="shared" si="29"/>
        <v>154.41540577716643</v>
      </c>
      <c r="K93" s="5">
        <f>VLOOKUP($B93,'Data Vlaue (Cr)'!$C:$FB,99)</f>
        <v>10691</v>
      </c>
      <c r="L93" s="81">
        <f>VLOOKUP(B93,'OI(Value)'!$A$7:$C$209,3,0)</f>
        <v>396</v>
      </c>
      <c r="M93" s="33">
        <f t="shared" si="22"/>
        <v>3.7040501356280986</v>
      </c>
      <c r="N93" s="5">
        <f>VLOOKUP($B93,'Data Vlaue (Cr)'!$C:$FB,67)</f>
        <v>9608</v>
      </c>
      <c r="O93" s="5">
        <f>VLOOKUP($B93,'Data Vlaue (Cr)'!$C:$FB,68)</f>
        <v>3777</v>
      </c>
      <c r="P93" s="5">
        <f t="shared" si="30"/>
        <v>60.689009159034136</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78.03</v>
      </c>
      <c r="D94" s="82">
        <f>VLOOKUP($B94,'Data shares'!$C:$FB,98)</f>
        <v>687518650</v>
      </c>
      <c r="E94" s="165">
        <f>VLOOKUP(B94,'Snapshot (Volume)'!$A$7:$G$168,7,0)</f>
        <v>686591150</v>
      </c>
      <c r="F94" s="165">
        <f t="shared" si="27"/>
        <v>927500</v>
      </c>
      <c r="G94" s="166">
        <f t="shared" si="28"/>
        <v>1.3508767189906248E-3</v>
      </c>
      <c r="H94" s="165">
        <f>VLOOKUP($B94,'Data shares'!$C:$FB,66)</f>
        <v>417133850</v>
      </c>
      <c r="I94" s="165">
        <f>VLOOKUP($B94,'Data shares'!$C:$FB,67)</f>
        <v>488940900</v>
      </c>
      <c r="J94" s="81">
        <f t="shared" si="29"/>
        <v>-14.686243265801654</v>
      </c>
      <c r="K94" s="5">
        <f>VLOOKUP($B94,'Data Vlaue (Cr)'!$C:$FB,99)</f>
        <v>5372</v>
      </c>
      <c r="L94" s="81">
        <f>VLOOKUP(B94,'OI(Value)'!$A$7:$C$209,3,0)</f>
        <v>7</v>
      </c>
      <c r="M94" s="33">
        <f t="shared" ref="M94:M122" si="31">L94/K94*100</f>
        <v>0.13030528667163069</v>
      </c>
      <c r="N94" s="5">
        <f>VLOOKUP($B94,'Data Vlaue (Cr)'!$C:$FB,67)</f>
        <v>3259</v>
      </c>
      <c r="O94" s="5">
        <f>VLOOKUP($B94,'Data Vlaue (Cr)'!$C:$FB,68)</f>
        <v>3820</v>
      </c>
      <c r="P94" s="5">
        <f t="shared" si="30"/>
        <v>-17.213869285056767</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147.13999999999999</v>
      </c>
      <c r="D95" s="82">
        <f>VLOOKUP($B95,'Data shares'!$C:$FB,98)</f>
        <v>139342500</v>
      </c>
      <c r="E95" s="165">
        <f>VLOOKUP(B95,'Snapshot (Volume)'!$A$7:$G$168,7,0)</f>
        <v>133451250</v>
      </c>
      <c r="F95" s="165">
        <f t="shared" si="27"/>
        <v>5891250</v>
      </c>
      <c r="G95" s="166">
        <f t="shared" si="28"/>
        <v>4.414533397027004E-2</v>
      </c>
      <c r="H95" s="165">
        <f>VLOOKUP($B95,'Data shares'!$C:$FB,66)</f>
        <v>119163750</v>
      </c>
      <c r="I95" s="165">
        <f>VLOOKUP($B95,'Data shares'!$C:$FB,67)</f>
        <v>218568750</v>
      </c>
      <c r="J95" s="81">
        <f t="shared" si="29"/>
        <v>-45.479969117268595</v>
      </c>
      <c r="K95" s="5">
        <f>VLOOKUP($B95,'Data Vlaue (Cr)'!$C:$FB,99)</f>
        <v>2051</v>
      </c>
      <c r="L95" s="81">
        <f>VLOOKUP(B95,'OI(Value)'!$A$7:$C$209,3,0)</f>
        <v>87</v>
      </c>
      <c r="M95" s="33">
        <f t="shared" si="31"/>
        <v>4.2418332520721602</v>
      </c>
      <c r="N95" s="5">
        <f>VLOOKUP($B95,'Data Vlaue (Cr)'!$C:$FB,67)</f>
        <v>1754</v>
      </c>
      <c r="O95" s="5">
        <f>VLOOKUP($B95,'Data Vlaue (Cr)'!$C:$FB,68)</f>
        <v>3216</v>
      </c>
      <c r="P95" s="5">
        <f t="shared" si="30"/>
        <v>-83.352337514253136</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Oil_Gas</v>
      </c>
      <c r="B96" s="79" t="str">
        <f>'Data shares'!C91</f>
        <v>IGL</v>
      </c>
      <c r="C96" s="4">
        <f>VLOOKUP($B96,'Data shares'!$C:$FB,7)</f>
        <v>213.47</v>
      </c>
      <c r="D96" s="82">
        <f>VLOOKUP($B96,'Data shares'!$C:$FB,98)</f>
        <v>47949000</v>
      </c>
      <c r="E96" s="165">
        <f>VLOOKUP(B96,'Snapshot (Volume)'!$A$7:$G$168,7,0)</f>
        <v>49700750</v>
      </c>
      <c r="F96" s="165">
        <f t="shared" si="27"/>
        <v>-1751750</v>
      </c>
      <c r="G96" s="166">
        <f t="shared" si="28"/>
        <v>-3.5245946992751617E-2</v>
      </c>
      <c r="H96" s="165">
        <f>VLOOKUP($B96,'Data shares'!$C:$FB,66)</f>
        <v>34883750</v>
      </c>
      <c r="I96" s="165">
        <f>VLOOKUP($B96,'Data shares'!$C:$FB,67)</f>
        <v>35431000</v>
      </c>
      <c r="J96" s="81">
        <f t="shared" si="29"/>
        <v>-1.5445513815585221</v>
      </c>
      <c r="K96" s="5">
        <f>VLOOKUP($B96,'Data Vlaue (Cr)'!$C:$FB,99)</f>
        <v>1026</v>
      </c>
      <c r="L96" s="81">
        <f>VLOOKUP(B96,'OI(Value)'!$A$7:$C$209,3,0)</f>
        <v>-37</v>
      </c>
      <c r="M96" s="33">
        <f t="shared" si="31"/>
        <v>-3.6062378167641325</v>
      </c>
      <c r="N96" s="5">
        <f>VLOOKUP($B96,'Data Vlaue (Cr)'!$C:$FB,67)</f>
        <v>746</v>
      </c>
      <c r="O96" s="5">
        <f>VLOOKUP($B96,'Data Vlaue (Cr)'!$C:$FB,68)</f>
        <v>758</v>
      </c>
      <c r="P96" s="5">
        <f t="shared" si="30"/>
        <v>-1.6085790884718498</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Finance</v>
      </c>
      <c r="B97" s="79" t="str">
        <f>'Data shares'!C92</f>
        <v>IIFL</v>
      </c>
      <c r="C97" s="4">
        <f>VLOOKUP($B97,'Data shares'!$C:$FB,7)</f>
        <v>505.35</v>
      </c>
      <c r="D97" s="82">
        <f>VLOOKUP($B97,'Data shares'!$C:$FB,98)</f>
        <v>24134550</v>
      </c>
      <c r="E97" s="165">
        <f>VLOOKUP(B97,'Snapshot (Volume)'!$A$7:$G$168,7,0)</f>
        <v>22892100</v>
      </c>
      <c r="F97" s="165">
        <f t="shared" ref="F97:F105" si="32">D97-E97</f>
        <v>1242450</v>
      </c>
      <c r="G97" s="166">
        <f t="shared" ref="G97:G105" si="33">F97/E97</f>
        <v>5.4274181923021476E-2</v>
      </c>
      <c r="H97" s="165">
        <f>VLOOKUP($B97,'Data shares'!$C:$FB,66)</f>
        <v>30229650</v>
      </c>
      <c r="I97" s="165">
        <f>VLOOKUP($B97,'Data shares'!$C:$FB,67)</f>
        <v>17272200</v>
      </c>
      <c r="J97" s="81">
        <f t="shared" ref="J97:J105" si="34">(H97-I97)/I97*100</f>
        <v>75.019105846388996</v>
      </c>
      <c r="K97" s="5">
        <f>VLOOKUP($B97,'Data Vlaue (Cr)'!$C:$FB,99)</f>
        <v>1221</v>
      </c>
      <c r="L97" s="81">
        <f>VLOOKUP(B97,'OI(Value)'!$A$7:$C$209,3,0)</f>
        <v>63</v>
      </c>
      <c r="M97" s="33">
        <f t="shared" si="31"/>
        <v>5.1597051597051591</v>
      </c>
      <c r="N97" s="5">
        <f>VLOOKUP($B97,'Data Vlaue (Cr)'!$C:$FB,67)</f>
        <v>1529</v>
      </c>
      <c r="O97" s="5">
        <f>VLOOKUP($B97,'Data Vlaue (Cr)'!$C:$FB,68)</f>
        <v>874</v>
      </c>
      <c r="P97" s="5">
        <f t="shared" ref="P97:P105" si="35">(N97-O97)/N97*100</f>
        <v>42.838456507521258</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Realty</v>
      </c>
      <c r="B98" s="79" t="str">
        <f>'Data shares'!C93</f>
        <v>INDHOTEL</v>
      </c>
      <c r="C98" s="4">
        <f>VLOOKUP($B98,'Data shares'!$C:$FB,7)</f>
        <v>746.55</v>
      </c>
      <c r="D98" s="82">
        <f>VLOOKUP($B98,'Data shares'!$C:$FB,98)</f>
        <v>43721000</v>
      </c>
      <c r="E98" s="165">
        <f>VLOOKUP(B98,'Snapshot (Volume)'!$A$7:$G$168,7,0)</f>
        <v>47370000</v>
      </c>
      <c r="F98" s="165">
        <f t="shared" si="32"/>
        <v>-3649000</v>
      </c>
      <c r="G98" s="166">
        <f t="shared" si="33"/>
        <v>-7.7031876715220604E-2</v>
      </c>
      <c r="H98" s="165">
        <f>VLOOKUP($B98,'Data shares'!$C:$FB,66)</f>
        <v>45452000</v>
      </c>
      <c r="I98" s="165">
        <f>VLOOKUP($B98,'Data shares'!$C:$FB,67)</f>
        <v>36010000</v>
      </c>
      <c r="J98" s="81">
        <f t="shared" si="34"/>
        <v>26.220494307136903</v>
      </c>
      <c r="K98" s="5">
        <f>VLOOKUP($B98,'Data Vlaue (Cr)'!$C:$FB,99)</f>
        <v>3264</v>
      </c>
      <c r="L98" s="81">
        <f>VLOOKUP(B98,'OI(Value)'!$A$7:$C$209,3,0)</f>
        <v>-272</v>
      </c>
      <c r="M98" s="33">
        <f t="shared" si="31"/>
        <v>-8.3333333333333321</v>
      </c>
      <c r="N98" s="5">
        <f>VLOOKUP($B98,'Data Vlaue (Cr)'!$C:$FB,67)</f>
        <v>3393</v>
      </c>
      <c r="O98" s="5">
        <f>VLOOKUP($B98,'Data Vlaue (Cr)'!$C:$FB,68)</f>
        <v>2688</v>
      </c>
      <c r="P98" s="5">
        <f t="shared" si="35"/>
        <v>20.778072502210435</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INDIANB</v>
      </c>
      <c r="C99" s="4">
        <f>VLOOKUP($B99,'Data shares'!$C:$FB,7)</f>
        <v>825.85</v>
      </c>
      <c r="D99" s="82">
        <f>VLOOKUP($B99,'Data shares'!$C:$FB,98)</f>
        <v>17670000</v>
      </c>
      <c r="E99" s="165">
        <f>VLOOKUP(B99,'Snapshot (Volume)'!$A$7:$G$168,7,0)</f>
        <v>18205000</v>
      </c>
      <c r="F99" s="165">
        <f t="shared" si="32"/>
        <v>-535000</v>
      </c>
      <c r="G99" s="166">
        <f t="shared" si="33"/>
        <v>-2.9387530898104915E-2</v>
      </c>
      <c r="H99" s="165">
        <f>VLOOKUP($B99,'Data shares'!$C:$FB,66)</f>
        <v>20727000</v>
      </c>
      <c r="I99" s="165">
        <f>VLOOKUP($B99,'Data shares'!$C:$FB,67)</f>
        <v>23390000</v>
      </c>
      <c r="J99" s="81">
        <f t="shared" si="34"/>
        <v>-11.385207353569902</v>
      </c>
      <c r="K99" s="5">
        <f>VLOOKUP($B99,'Data Vlaue (Cr)'!$C:$FB,99)</f>
        <v>1466</v>
      </c>
      <c r="L99" s="81">
        <f>VLOOKUP(B99,'OI(Value)'!$A$7:$C$209,3,0)</f>
        <v>-44</v>
      </c>
      <c r="M99" s="33">
        <f t="shared" si="31"/>
        <v>-3.0013642564802185</v>
      </c>
      <c r="N99" s="5">
        <f>VLOOKUP($B99,'Data Vlaue (Cr)'!$C:$FB,67)</f>
        <v>1720</v>
      </c>
      <c r="O99" s="5">
        <f>VLOOKUP($B99,'Data Vlaue (Cr)'!$C:$FB,68)</f>
        <v>1941</v>
      </c>
      <c r="P99" s="5">
        <f t="shared" si="35"/>
        <v>-12.848837209302324</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Index</v>
      </c>
      <c r="B100" s="79" t="str">
        <f>'Data shares'!C95</f>
        <v>INDIAVIX</v>
      </c>
      <c r="C100" s="4">
        <f>VLOOKUP($B100,'Data shares'!$C:$FB,7)</f>
        <v>11.86</v>
      </c>
      <c r="D100" s="82">
        <f>VLOOKUP($B100,'Data shares'!$C:$FB,98)</f>
        <v>0</v>
      </c>
      <c r="E100" s="165">
        <f>VLOOKUP(B100,'Snapshot (Volume)'!$A$7:$G$168,7,0)</f>
        <v>0</v>
      </c>
      <c r="F100" s="165">
        <f t="shared" si="32"/>
        <v>0</v>
      </c>
      <c r="G100" s="166" t="e">
        <f t="shared" si="33"/>
        <v>#DIV/0!</v>
      </c>
      <c r="H100" s="165">
        <f>VLOOKUP($B100,'Data shares'!$C:$FB,66)</f>
        <v>0</v>
      </c>
      <c r="I100" s="165">
        <f>VLOOKUP($B100,'Data shares'!$C:$FB,67)</f>
        <v>0</v>
      </c>
      <c r="J100" s="81" t="e">
        <f t="shared" si="34"/>
        <v>#DIV/0!</v>
      </c>
      <c r="K100" s="5">
        <f>VLOOKUP($B100,'Data Vlaue (Cr)'!$C:$FB,99)</f>
        <v>0</v>
      </c>
      <c r="L100" s="81">
        <f>VLOOKUP(B100,'OI(Value)'!$A$7:$C$209,3,0)</f>
        <v>0</v>
      </c>
      <c r="M100" s="33" t="e">
        <f t="shared" si="31"/>
        <v>#DIV/0!</v>
      </c>
      <c r="N100" s="5">
        <f>VLOOKUP($B100,'Data Vlaue (Cr)'!$C:$FB,67)</f>
        <v>0</v>
      </c>
      <c r="O100" s="5">
        <f>VLOOKUP($B100,'Data Vlaue (Cr)'!$C:$FB,68)</f>
        <v>0</v>
      </c>
      <c r="P100" s="5" t="e">
        <f t="shared" si="35"/>
        <v>#DIV/0!</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Infrastructure</v>
      </c>
      <c r="B101" s="79" t="str">
        <f>'Data shares'!C96</f>
        <v>INDIGO</v>
      </c>
      <c r="C101" s="4">
        <f>VLOOKUP($B101,'Data shares'!$C:$FB,7)</f>
        <v>5835</v>
      </c>
      <c r="D101" s="82">
        <f>VLOOKUP($B101,'Data shares'!$C:$FB,98)</f>
        <v>11612400</v>
      </c>
      <c r="E101" s="165">
        <f>VLOOKUP(B101,'Snapshot (Volume)'!$A$7:$G$168,7,0)</f>
        <v>11754750</v>
      </c>
      <c r="F101" s="165">
        <f t="shared" si="32"/>
        <v>-142350</v>
      </c>
      <c r="G101" s="166">
        <f t="shared" si="33"/>
        <v>-1.2109998085880177E-2</v>
      </c>
      <c r="H101" s="165">
        <f>VLOOKUP($B101,'Data shares'!$C:$FB,66)</f>
        <v>14798550</v>
      </c>
      <c r="I101" s="165">
        <f>VLOOKUP($B101,'Data shares'!$C:$FB,67)</f>
        <v>15196350</v>
      </c>
      <c r="J101" s="81">
        <f t="shared" si="34"/>
        <v>-2.617733863723855</v>
      </c>
      <c r="K101" s="5">
        <f>VLOOKUP($B101,'Data Vlaue (Cr)'!$C:$FB,99)</f>
        <v>6778</v>
      </c>
      <c r="L101" s="81">
        <f>VLOOKUP(B101,'OI(Value)'!$A$7:$C$209,3,0)</f>
        <v>-83</v>
      </c>
      <c r="M101" s="33">
        <f t="shared" si="31"/>
        <v>-1.2245500147536146</v>
      </c>
      <c r="N101" s="5">
        <f>VLOOKUP($B101,'Data Vlaue (Cr)'!$C:$FB,67)</f>
        <v>8637</v>
      </c>
      <c r="O101" s="5">
        <f>VLOOKUP($B101,'Data Vlaue (Cr)'!$C:$FB,68)</f>
        <v>8869</v>
      </c>
      <c r="P101" s="5">
        <f t="shared" si="35"/>
        <v>-2.6861178649994208</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Banking</v>
      </c>
      <c r="B102" s="79" t="str">
        <f>'Data shares'!C97</f>
        <v>INDUSINDBK</v>
      </c>
      <c r="C102" s="4">
        <f>VLOOKUP($B102,'Data shares'!$C:$FB,7)</f>
        <v>770.05</v>
      </c>
      <c r="D102" s="82">
        <f>VLOOKUP($B102,'Data shares'!$C:$FB,98)</f>
        <v>92870400</v>
      </c>
      <c r="E102" s="165">
        <f>VLOOKUP(B102,'Snapshot (Volume)'!$A$7:$G$168,7,0)</f>
        <v>92621200</v>
      </c>
      <c r="F102" s="165">
        <f t="shared" si="32"/>
        <v>249200</v>
      </c>
      <c r="G102" s="166">
        <f t="shared" si="33"/>
        <v>2.6905287342422683E-3</v>
      </c>
      <c r="H102" s="165">
        <f>VLOOKUP($B102,'Data shares'!$C:$FB,66)</f>
        <v>81194400</v>
      </c>
      <c r="I102" s="165">
        <f>VLOOKUP($B102,'Data shares'!$C:$FB,67)</f>
        <v>62460300</v>
      </c>
      <c r="J102" s="81">
        <f t="shared" si="34"/>
        <v>29.993611942305755</v>
      </c>
      <c r="K102" s="5">
        <f>VLOOKUP($B102,'Data Vlaue (Cr)'!$C:$FB,99)</f>
        <v>7151</v>
      </c>
      <c r="L102" s="81">
        <f>VLOOKUP(B102,'OI(Value)'!$A$7:$C$209,3,0)</f>
        <v>19</v>
      </c>
      <c r="M102" s="33">
        <f t="shared" si="31"/>
        <v>0.26569710529995805</v>
      </c>
      <c r="N102" s="5">
        <f>VLOOKUP($B102,'Data Vlaue (Cr)'!$C:$FB,67)</f>
        <v>6252</v>
      </c>
      <c r="O102" s="5">
        <f>VLOOKUP($B102,'Data Vlaue (Cr)'!$C:$FB,68)</f>
        <v>4809</v>
      </c>
      <c r="P102" s="5">
        <f t="shared" si="35"/>
        <v>23.080614203454893</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Telecom</v>
      </c>
      <c r="B103" s="79" t="str">
        <f>'Data shares'!C98</f>
        <v>INDUSTOWER</v>
      </c>
      <c r="C103" s="4">
        <f>VLOOKUP($B103,'Data shares'!$C:$FB,7)</f>
        <v>371.3</v>
      </c>
      <c r="D103" s="82">
        <f>VLOOKUP($B103,'Data shares'!$C:$FB,98)</f>
        <v>154562300</v>
      </c>
      <c r="E103" s="165">
        <f>VLOOKUP(B103,'Snapshot (Volume)'!$A$7:$G$168,7,0)</f>
        <v>131901300</v>
      </c>
      <c r="F103" s="165">
        <f t="shared" si="32"/>
        <v>22661000</v>
      </c>
      <c r="G103" s="166">
        <f t="shared" si="33"/>
        <v>0.17180270399154518</v>
      </c>
      <c r="H103" s="165">
        <f>VLOOKUP($B103,'Data shares'!$C:$FB,66)</f>
        <v>391372300</v>
      </c>
      <c r="I103" s="165">
        <f>VLOOKUP($B103,'Data shares'!$C:$FB,67)</f>
        <v>95405700</v>
      </c>
      <c r="J103" s="81">
        <f t="shared" si="34"/>
        <v>310.21899110849773</v>
      </c>
      <c r="K103" s="5">
        <f>VLOOKUP($B103,'Data Vlaue (Cr)'!$C:$FB,99)</f>
        <v>5750</v>
      </c>
      <c r="L103" s="81">
        <f>VLOOKUP(B103,'OI(Value)'!$A$7:$C$209,3,0)</f>
        <v>843</v>
      </c>
      <c r="M103" s="33">
        <f t="shared" si="31"/>
        <v>14.660869565217391</v>
      </c>
      <c r="N103" s="5">
        <f>VLOOKUP($B103,'Data Vlaue (Cr)'!$C:$FB,67)</f>
        <v>14561</v>
      </c>
      <c r="O103" s="5">
        <f>VLOOKUP($B103,'Data Vlaue (Cr)'!$C:$FB,68)</f>
        <v>3550</v>
      </c>
      <c r="P103" s="5">
        <f t="shared" si="35"/>
        <v>75.619806331982701</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Technology</v>
      </c>
      <c r="B104" s="79" t="str">
        <f>'Data shares'!C99</f>
        <v>INFY</v>
      </c>
      <c r="C104" s="4">
        <f>VLOOKUP($B104,'Data shares'!$C:$FB,7)</f>
        <v>1504.5</v>
      </c>
      <c r="D104" s="82">
        <f>VLOOKUP($B104,'Data shares'!$C:$FB,98)</f>
        <v>131326800</v>
      </c>
      <c r="E104" s="165">
        <f>VLOOKUP(B104,'Snapshot (Volume)'!$A$7:$G$168,7,0)</f>
        <v>136416000</v>
      </c>
      <c r="F104" s="165">
        <f t="shared" si="32"/>
        <v>-5089200</v>
      </c>
      <c r="G104" s="166">
        <f t="shared" si="33"/>
        <v>-3.7306474313863476E-2</v>
      </c>
      <c r="H104" s="165">
        <f>VLOOKUP($B104,'Data shares'!$C:$FB,66)</f>
        <v>123122400</v>
      </c>
      <c r="I104" s="165">
        <f>VLOOKUP($B104,'Data shares'!$C:$FB,67)</f>
        <v>154102400</v>
      </c>
      <c r="J104" s="81">
        <f t="shared" si="34"/>
        <v>-20.103515584442551</v>
      </c>
      <c r="K104" s="5">
        <f>VLOOKUP($B104,'Data Vlaue (Cr)'!$C:$FB,99)</f>
        <v>19770</v>
      </c>
      <c r="L104" s="81">
        <f>VLOOKUP(B104,'OI(Value)'!$A$7:$C$209,3,0)</f>
        <v>-766</v>
      </c>
      <c r="M104" s="33">
        <f t="shared" si="31"/>
        <v>-3.8745574102175011</v>
      </c>
      <c r="N104" s="5">
        <f>VLOOKUP($B104,'Data Vlaue (Cr)'!$C:$FB,67)</f>
        <v>18535</v>
      </c>
      <c r="O104" s="5">
        <f>VLOOKUP($B104,'Data Vlaue (Cr)'!$C:$FB,68)</f>
        <v>23199</v>
      </c>
      <c r="P104" s="5">
        <f t="shared" si="35"/>
        <v>-25.163204747774483</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Power</v>
      </c>
      <c r="B105" s="79" t="str">
        <f>'Data shares'!C100</f>
        <v>INOXWIND</v>
      </c>
      <c r="C105" s="4">
        <f>VLOOKUP($B105,'Data shares'!$C:$FB,7)</f>
        <v>153.1</v>
      </c>
      <c r="D105" s="82">
        <f>VLOOKUP($B105,'Data shares'!$C:$FB,98)</f>
        <v>90372640</v>
      </c>
      <c r="E105" s="165">
        <f>VLOOKUP(B105,'Snapshot (Volume)'!$A$7:$G$168,7,0)</f>
        <v>93127664</v>
      </c>
      <c r="F105" s="165">
        <f t="shared" si="32"/>
        <v>-2755024</v>
      </c>
      <c r="G105" s="166">
        <f t="shared" si="33"/>
        <v>-2.9583304054528844E-2</v>
      </c>
      <c r="H105" s="165">
        <f>VLOOKUP($B105,'Data shares'!$C:$FB,66)</f>
        <v>60839568</v>
      </c>
      <c r="I105" s="165">
        <f>VLOOKUP($B105,'Data shares'!$C:$FB,67)</f>
        <v>126217400</v>
      </c>
      <c r="J105" s="81">
        <f t="shared" si="34"/>
        <v>-51.797796500324047</v>
      </c>
      <c r="K105" s="5">
        <f>VLOOKUP($B105,'Data Vlaue (Cr)'!$C:$FB,99)</f>
        <v>1385</v>
      </c>
      <c r="L105" s="81">
        <f>VLOOKUP(B105,'OI(Value)'!$A$7:$C$209,3,0)</f>
        <v>-42</v>
      </c>
      <c r="M105" s="33">
        <f t="shared" si="31"/>
        <v>-3.0324909747292419</v>
      </c>
      <c r="N105" s="5">
        <f>VLOOKUP($B105,'Data Vlaue (Cr)'!$C:$FB,67)</f>
        <v>932</v>
      </c>
      <c r="O105" s="5">
        <f>VLOOKUP($B105,'Data Vlaue (Cr)'!$C:$FB,68)</f>
        <v>1934</v>
      </c>
      <c r="P105" s="5">
        <f t="shared" si="35"/>
        <v>-107.51072961373391</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Oil_Gas</v>
      </c>
      <c r="B106" s="79" t="str">
        <f>'Data shares'!C101</f>
        <v>IOC</v>
      </c>
      <c r="C106" s="79">
        <f>VLOOKUP($B106,'Data shares'!$C:$FB,7)</f>
        <v>155.19999999999999</v>
      </c>
      <c r="D106" s="80">
        <f>VLOOKUP($B106,'Data shares'!$C:$FB,98)</f>
        <v>233951250</v>
      </c>
      <c r="E106" s="165">
        <f>VLOOKUP(B106,'Snapshot (Volume)'!$A$7:$G$168,7,0)</f>
        <v>221724750</v>
      </c>
      <c r="F106" s="165">
        <f t="shared" ref="F106:F114" si="36">D106-E106</f>
        <v>12226500</v>
      </c>
      <c r="G106" s="166">
        <f t="shared" ref="G106:G114" si="37">F106/E106</f>
        <v>5.5142693812936988E-2</v>
      </c>
      <c r="H106" s="165">
        <f>VLOOKUP($B106,'Data shares'!$C:$FB,66)</f>
        <v>315100500</v>
      </c>
      <c r="I106" s="165">
        <f>VLOOKUP($B106,'Data shares'!$C:$FB,67)</f>
        <v>187999500</v>
      </c>
      <c r="J106" s="81">
        <f t="shared" ref="J106:J114" si="38">(H106-I106)/I106*100</f>
        <v>67.607094699719951</v>
      </c>
      <c r="K106" s="81">
        <f>VLOOKUP($B106,'Data Vlaue (Cr)'!$C:$FB,99)</f>
        <v>3630</v>
      </c>
      <c r="L106" s="81">
        <f>VLOOKUP(B106,'OI(Value)'!$A$7:$C$209,3,0)</f>
        <v>190</v>
      </c>
      <c r="M106" s="81">
        <f t="shared" si="31"/>
        <v>5.2341597796143251</v>
      </c>
      <c r="N106" s="81">
        <f>VLOOKUP($B106,'Data Vlaue (Cr)'!$C:$FB,67)</f>
        <v>4889</v>
      </c>
      <c r="O106" s="81">
        <f>VLOOKUP($B106,'Data Vlaue (Cr)'!$C:$FB,68)</f>
        <v>2917</v>
      </c>
      <c r="P106" s="81">
        <f t="shared" ref="P106:P114" si="39">(N106-O106)/N106*100</f>
        <v>40.335446921660875</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IRCTC</v>
      </c>
      <c r="C107" s="79">
        <f>VLOOKUP($B107,'Data shares'!$C:$FB,7)</f>
        <v>724.1</v>
      </c>
      <c r="D107" s="80">
        <f>VLOOKUP($B107,'Data shares'!$C:$FB,98)</f>
        <v>30556750</v>
      </c>
      <c r="E107" s="165">
        <f>VLOOKUP(B107,'Snapshot (Volume)'!$A$7:$G$168,7,0)</f>
        <v>30419375</v>
      </c>
      <c r="F107" s="165">
        <f t="shared" si="36"/>
        <v>137375</v>
      </c>
      <c r="G107" s="166">
        <f t="shared" si="37"/>
        <v>4.5160362433481951E-3</v>
      </c>
      <c r="H107" s="165">
        <f>VLOOKUP($B107,'Data shares'!$C:$FB,66)</f>
        <v>22083250</v>
      </c>
      <c r="I107" s="165">
        <f>VLOOKUP($B107,'Data shares'!$C:$FB,67)</f>
        <v>36448125</v>
      </c>
      <c r="J107" s="81">
        <f t="shared" si="38"/>
        <v>-39.411835313887892</v>
      </c>
      <c r="K107" s="81">
        <f>VLOOKUP($B107,'Data Vlaue (Cr)'!$C:$FB,99)</f>
        <v>2210</v>
      </c>
      <c r="L107" s="81">
        <f>VLOOKUP(B107,'OI(Value)'!$A$7:$C$209,3,0)</f>
        <v>10</v>
      </c>
      <c r="M107" s="81">
        <f t="shared" si="31"/>
        <v>0.45248868778280549</v>
      </c>
      <c r="N107" s="81">
        <f>VLOOKUP($B107,'Data Vlaue (Cr)'!$C:$FB,67)</f>
        <v>1597</v>
      </c>
      <c r="O107" s="81">
        <f>VLOOKUP($B107,'Data Vlaue (Cr)'!$C:$FB,68)</f>
        <v>2636</v>
      </c>
      <c r="P107" s="81">
        <f t="shared" si="39"/>
        <v>-65.059486537257357</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153.37</v>
      </c>
      <c r="D108" s="82">
        <f>VLOOKUP($B108,'Data shares'!$C:$FB,98)</f>
        <v>88030200</v>
      </c>
      <c r="E108" s="165">
        <f>VLOOKUP(B108,'Snapshot (Volume)'!$A$7:$G$168,7,0)</f>
        <v>98666550</v>
      </c>
      <c r="F108" s="165">
        <f t="shared" si="36"/>
        <v>-10636350</v>
      </c>
      <c r="G108" s="166">
        <f t="shared" si="37"/>
        <v>-0.10780097206196021</v>
      </c>
      <c r="H108" s="165">
        <f>VLOOKUP($B108,'Data shares'!$C:$FB,66)</f>
        <v>85052850</v>
      </c>
      <c r="I108" s="165">
        <f>VLOOKUP($B108,'Data shares'!$C:$FB,67)</f>
        <v>84732000</v>
      </c>
      <c r="J108" s="81">
        <f t="shared" si="38"/>
        <v>0.37866449511400652</v>
      </c>
      <c r="K108" s="5">
        <f>VLOOKUP($B108,'Data Vlaue (Cr)'!$C:$FB,99)</f>
        <v>1354</v>
      </c>
      <c r="L108" s="81">
        <f>VLOOKUP(B108,'OI(Value)'!$A$7:$C$209,3,0)</f>
        <v>-164</v>
      </c>
      <c r="M108" s="33">
        <f t="shared" si="31"/>
        <v>-12.112259970457902</v>
      </c>
      <c r="N108" s="5">
        <f>VLOOKUP($B108,'Data Vlaue (Cr)'!$C:$FB,67)</f>
        <v>1308</v>
      </c>
      <c r="O108" s="5">
        <f>VLOOKUP($B108,'Data Vlaue (Cr)'!$C:$FB,68)</f>
        <v>1303</v>
      </c>
      <c r="P108" s="5">
        <f t="shared" si="39"/>
        <v>0.38226299694189603</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123.45</v>
      </c>
      <c r="D109" s="82">
        <f>VLOOKUP($B109,'Data shares'!$C:$FB,98)</f>
        <v>98935750</v>
      </c>
      <c r="E109" s="165">
        <f>VLOOKUP(B109,'Snapshot (Volume)'!$A$7:$G$168,7,0)</f>
        <v>101269000</v>
      </c>
      <c r="F109" s="165">
        <f t="shared" si="36"/>
        <v>-2333250</v>
      </c>
      <c r="G109" s="166">
        <f t="shared" si="37"/>
        <v>-2.3040120866207821E-2</v>
      </c>
      <c r="H109" s="165">
        <f>VLOOKUP($B109,'Data shares'!$C:$FB,66)</f>
        <v>56567500</v>
      </c>
      <c r="I109" s="165">
        <f>VLOOKUP($B109,'Data shares'!$C:$FB,67)</f>
        <v>58284500</v>
      </c>
      <c r="J109" s="81">
        <f t="shared" si="38"/>
        <v>-2.9458947061397112</v>
      </c>
      <c r="K109" s="5">
        <f>VLOOKUP($B109,'Data Vlaue (Cr)'!$C:$FB,99)</f>
        <v>1223</v>
      </c>
      <c r="L109" s="81">
        <f>VLOOKUP(B109,'OI(Value)'!$A$7:$C$209,3,0)</f>
        <v>-29</v>
      </c>
      <c r="M109" s="33">
        <f t="shared" si="31"/>
        <v>-2.3712183156173343</v>
      </c>
      <c r="N109" s="5">
        <f>VLOOKUP($B109,'Data Vlaue (Cr)'!$C:$FB,67)</f>
        <v>700</v>
      </c>
      <c r="O109" s="5">
        <f>VLOOKUP($B109,'Data Vlaue (Cr)'!$C:$FB,68)</f>
        <v>721</v>
      </c>
      <c r="P109" s="5">
        <f t="shared" si="39"/>
        <v>-3</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420.65</v>
      </c>
      <c r="D110" s="82">
        <f>VLOOKUP($B110,'Data shares'!$C:$FB,98)</f>
        <v>231707200</v>
      </c>
      <c r="E110" s="165">
        <f>VLOOKUP(B110,'Snapshot (Volume)'!$A$7:$G$168,7,0)</f>
        <v>229435200</v>
      </c>
      <c r="F110" s="165">
        <f t="shared" si="36"/>
        <v>2272000</v>
      </c>
      <c r="G110" s="166">
        <f t="shared" si="37"/>
        <v>9.9025781571441523E-3</v>
      </c>
      <c r="H110" s="165">
        <f>VLOOKUP($B110,'Data shares'!$C:$FB,66)</f>
        <v>237641600</v>
      </c>
      <c r="I110" s="165">
        <f>VLOOKUP($B110,'Data shares'!$C:$FB,67)</f>
        <v>185897600</v>
      </c>
      <c r="J110" s="81">
        <f t="shared" si="38"/>
        <v>27.834678876973129</v>
      </c>
      <c r="K110" s="5">
        <f>VLOOKUP($B110,'Data Vlaue (Cr)'!$C:$FB,99)</f>
        <v>9748</v>
      </c>
      <c r="L110" s="81">
        <f>VLOOKUP(B110,'OI(Value)'!$A$7:$C$209,3,0)</f>
        <v>96</v>
      </c>
      <c r="M110" s="33">
        <f t="shared" si="31"/>
        <v>0.98481739844070582</v>
      </c>
      <c r="N110" s="5">
        <f>VLOOKUP($B110,'Data Vlaue (Cr)'!$C:$FB,67)</f>
        <v>9998</v>
      </c>
      <c r="O110" s="5">
        <f>VLOOKUP($B110,'Data Vlaue (Cr)'!$C:$FB,68)</f>
        <v>7821</v>
      </c>
      <c r="P110" s="5">
        <f t="shared" si="39"/>
        <v>21.774354870974193</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1034.3</v>
      </c>
      <c r="D111" s="82">
        <f>VLOOKUP($B111,'Data shares'!$C:$FB,98)</f>
        <v>24306875</v>
      </c>
      <c r="E111" s="165">
        <f>VLOOKUP(B111,'Snapshot (Volume)'!$A$7:$G$168,7,0)</f>
        <v>25912500</v>
      </c>
      <c r="F111" s="165">
        <f t="shared" si="36"/>
        <v>-1605625</v>
      </c>
      <c r="G111" s="166">
        <f t="shared" si="37"/>
        <v>-6.196333815726001E-2</v>
      </c>
      <c r="H111" s="165">
        <f>VLOOKUP($B111,'Data shares'!$C:$FB,66)</f>
        <v>28626875</v>
      </c>
      <c r="I111" s="165">
        <f>VLOOKUP($B111,'Data shares'!$C:$FB,67)</f>
        <v>26681250</v>
      </c>
      <c r="J111" s="81">
        <f t="shared" si="38"/>
        <v>7.292105879597095</v>
      </c>
      <c r="K111" s="5">
        <f>VLOOKUP($B111,'Data Vlaue (Cr)'!$C:$FB,99)</f>
        <v>2513</v>
      </c>
      <c r="L111" s="81">
        <f>VLOOKUP(B111,'OI(Value)'!$A$7:$C$209,3,0)</f>
        <v>-166</v>
      </c>
      <c r="M111" s="33">
        <f t="shared" si="31"/>
        <v>-6.6056506167926781</v>
      </c>
      <c r="N111" s="5">
        <f>VLOOKUP($B111,'Data Vlaue (Cr)'!$C:$FB,67)</f>
        <v>2959</v>
      </c>
      <c r="O111" s="5">
        <f>VLOOKUP($B111,'Data Vlaue (Cr)'!$C:$FB,68)</f>
        <v>2758</v>
      </c>
      <c r="P111" s="5">
        <f t="shared" si="39"/>
        <v>6.7928354173707337</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305.55</v>
      </c>
      <c r="D112" s="82">
        <f>VLOOKUP($B112,'Data shares'!$C:$FB,98)</f>
        <v>273995900</v>
      </c>
      <c r="E112" s="165">
        <f>VLOOKUP(B112,'Snapshot (Volume)'!$A$7:$G$168,7,0)</f>
        <v>270383950</v>
      </c>
      <c r="F112" s="165">
        <f t="shared" si="36"/>
        <v>3611950</v>
      </c>
      <c r="G112" s="166">
        <f t="shared" si="37"/>
        <v>1.3358596174070243E-2</v>
      </c>
      <c r="H112" s="165">
        <f>VLOOKUP($B112,'Data shares'!$C:$FB,66)</f>
        <v>164986450</v>
      </c>
      <c r="I112" s="165">
        <f>VLOOKUP($B112,'Data shares'!$C:$FB,67)</f>
        <v>180129850</v>
      </c>
      <c r="J112" s="81">
        <f t="shared" si="38"/>
        <v>-8.4069353302631402</v>
      </c>
      <c r="K112" s="5">
        <f>VLOOKUP($B112,'Data Vlaue (Cr)'!$C:$FB,99)</f>
        <v>8380</v>
      </c>
      <c r="L112" s="81">
        <f>VLOOKUP(B112,'OI(Value)'!$A$7:$C$209,3,0)</f>
        <v>110</v>
      </c>
      <c r="M112" s="33">
        <f t="shared" si="31"/>
        <v>1.3126491646778042</v>
      </c>
      <c r="N112" s="5">
        <f>VLOOKUP($B112,'Data Vlaue (Cr)'!$C:$FB,67)</f>
        <v>5046</v>
      </c>
      <c r="O112" s="5">
        <f>VLOOKUP($B112,'Data Vlaue (Cr)'!$C:$FB,68)</f>
        <v>5509</v>
      </c>
      <c r="P112" s="5">
        <f t="shared" si="39"/>
        <v>-9.1755846214823613</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529.35</v>
      </c>
      <c r="D113" s="82">
        <f>VLOOKUP($B113,'Data shares'!$C:$FB,98)</f>
        <v>57795000</v>
      </c>
      <c r="E113" s="165">
        <f>VLOOKUP(B113,'Snapshot (Volume)'!$A$7:$G$168,7,0)</f>
        <v>56077000</v>
      </c>
      <c r="F113" s="165">
        <f t="shared" si="36"/>
        <v>1718000</v>
      </c>
      <c r="G113" s="166">
        <f t="shared" si="37"/>
        <v>3.0636446314888457E-2</v>
      </c>
      <c r="H113" s="165">
        <f>VLOOKUP($B113,'Data shares'!$C:$FB,66)</f>
        <v>45325000</v>
      </c>
      <c r="I113" s="165">
        <f>VLOOKUP($B113,'Data shares'!$C:$FB,67)</f>
        <v>61007000</v>
      </c>
      <c r="J113" s="81">
        <f t="shared" si="38"/>
        <v>-25.705246938875863</v>
      </c>
      <c r="K113" s="5">
        <f>VLOOKUP($B113,'Data Vlaue (Cr)'!$C:$FB,99)</f>
        <v>3062</v>
      </c>
      <c r="L113" s="81">
        <f>VLOOKUP(B113,'OI(Value)'!$A$7:$C$209,3,0)</f>
        <v>91</v>
      </c>
      <c r="M113" s="33">
        <f t="shared" si="31"/>
        <v>2.9719137818419337</v>
      </c>
      <c r="N113" s="5">
        <f>VLOOKUP($B113,'Data Vlaue (Cr)'!$C:$FB,67)</f>
        <v>2401</v>
      </c>
      <c r="O113" s="5">
        <f>VLOOKUP($B113,'Data Vlaue (Cr)'!$C:$FB,68)</f>
        <v>3232</v>
      </c>
      <c r="P113" s="5">
        <f t="shared" si="39"/>
        <v>-34.610578925447733</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1150.5999999999999</v>
      </c>
      <c r="D114" s="82">
        <f>VLOOKUP($B114,'Data shares'!$C:$FB,98)</f>
        <v>62569125</v>
      </c>
      <c r="E114" s="165">
        <f>VLOOKUP(B114,'Snapshot (Volume)'!$A$7:$G$168,7,0)</f>
        <v>62344350</v>
      </c>
      <c r="F114" s="165">
        <f t="shared" si="36"/>
        <v>224775</v>
      </c>
      <c r="G114" s="166">
        <f t="shared" si="37"/>
        <v>3.6053788354518091E-3</v>
      </c>
      <c r="H114" s="165">
        <f>VLOOKUP($B114,'Data shares'!$C:$FB,66)</f>
        <v>38535075</v>
      </c>
      <c r="I114" s="165">
        <f>VLOOKUP($B114,'Data shares'!$C:$FB,67)</f>
        <v>47673900</v>
      </c>
      <c r="J114" s="81">
        <f t="shared" si="38"/>
        <v>-19.169451209152179</v>
      </c>
      <c r="K114" s="5">
        <f>VLOOKUP($B114,'Data Vlaue (Cr)'!$C:$FB,99)</f>
        <v>7190</v>
      </c>
      <c r="L114" s="81">
        <f>VLOOKUP(B114,'OI(Value)'!$A$7:$C$209,3,0)</f>
        <v>26</v>
      </c>
      <c r="M114" s="33">
        <f t="shared" si="31"/>
        <v>0.36161335187760779</v>
      </c>
      <c r="N114" s="5">
        <f>VLOOKUP($B114,'Data Vlaue (Cr)'!$C:$FB,67)</f>
        <v>4428</v>
      </c>
      <c r="O114" s="5">
        <f>VLOOKUP($B114,'Data Vlaue (Cr)'!$C:$FB,68)</f>
        <v>5479</v>
      </c>
      <c r="P114" s="5">
        <f t="shared" si="39"/>
        <v>-23.735320686540199</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595.70000000000005</v>
      </c>
      <c r="D115" s="80">
        <f>VLOOKUP($B115,'Data shares'!$C:$FB,98)</f>
        <v>35867500</v>
      </c>
      <c r="E115" s="165">
        <f>VLOOKUP(B115,'Snapshot (Volume)'!$A$7:$G$168,7,0)</f>
        <v>38460000</v>
      </c>
      <c r="F115" s="165">
        <f t="shared" ref="F115:F126" si="40">D115-E115</f>
        <v>-2592500</v>
      </c>
      <c r="G115" s="166">
        <f t="shared" ref="G115:G126" si="41">F115/E115</f>
        <v>-6.7407696307852316E-2</v>
      </c>
      <c r="H115" s="165">
        <f>VLOOKUP($B115,'Data shares'!$C:$FB,66)</f>
        <v>29695000</v>
      </c>
      <c r="I115" s="165">
        <f>VLOOKUP($B115,'Data shares'!$C:$FB,67)</f>
        <v>29577500</v>
      </c>
      <c r="J115" s="81">
        <f t="shared" ref="J115:J126" si="42">(H115-I115)/I115*100</f>
        <v>0.39726143183162876</v>
      </c>
      <c r="K115" s="81">
        <f>VLOOKUP($B115,'Data Vlaue (Cr)'!$C:$FB,99)</f>
        <v>2136</v>
      </c>
      <c r="L115" s="81">
        <f>VLOOKUP(B115,'OI(Value)'!$A$7:$C$209,3,0)</f>
        <v>-154</v>
      </c>
      <c r="M115" s="81">
        <f t="shared" si="31"/>
        <v>-7.2097378277153554</v>
      </c>
      <c r="N115" s="81">
        <f>VLOOKUP($B115,'Data Vlaue (Cr)'!$C:$FB,67)</f>
        <v>1768</v>
      </c>
      <c r="O115" s="81">
        <f>VLOOKUP($B115,'Data Vlaue (Cr)'!$C:$FB,68)</f>
        <v>1761</v>
      </c>
      <c r="P115" s="81">
        <f t="shared" ref="P115:P126" si="43">(N115-O115)/N115*100</f>
        <v>0.39592760180995473</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505.85</v>
      </c>
      <c r="D116" s="82">
        <f>VLOOKUP($B116,'Data shares'!$C:$FB,98)</f>
        <v>47905925</v>
      </c>
      <c r="E116" s="165">
        <f>VLOOKUP(B116,'Snapshot (Volume)'!$A$7:$G$168,7,0)</f>
        <v>50791725</v>
      </c>
      <c r="F116" s="165">
        <f t="shared" si="40"/>
        <v>-2885800</v>
      </c>
      <c r="G116" s="166">
        <f t="shared" si="41"/>
        <v>-5.6816341638327897E-2</v>
      </c>
      <c r="H116" s="165">
        <f>VLOOKUP($B116,'Data shares'!$C:$FB,66)</f>
        <v>54572875</v>
      </c>
      <c r="I116" s="165">
        <f>VLOOKUP($B116,'Data shares'!$C:$FB,67)</f>
        <v>38851375</v>
      </c>
      <c r="J116" s="81">
        <f t="shared" si="42"/>
        <v>40.465749281717827</v>
      </c>
      <c r="K116" s="5">
        <f>VLOOKUP($B116,'Data Vlaue (Cr)'!$C:$FB,99)</f>
        <v>2427</v>
      </c>
      <c r="L116" s="81">
        <f>VLOOKUP(B116,'OI(Value)'!$A$7:$C$209,3,0)</f>
        <v>-146</v>
      </c>
      <c r="M116" s="33">
        <f t="shared" si="31"/>
        <v>-6.0156571899464355</v>
      </c>
      <c r="N116" s="5">
        <f>VLOOKUP($B116,'Data Vlaue (Cr)'!$C:$FB,67)</f>
        <v>2765</v>
      </c>
      <c r="O116" s="5">
        <f>VLOOKUP($B116,'Data Vlaue (Cr)'!$C:$FB,68)</f>
        <v>1969</v>
      </c>
      <c r="P116" s="5">
        <f t="shared" si="43"/>
        <v>28.788426763110309</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6737.5</v>
      </c>
      <c r="D117" s="82">
        <f>VLOOKUP($B117,'Data shares'!$C:$FB,98)</f>
        <v>3647900</v>
      </c>
      <c r="E117" s="165">
        <f>VLOOKUP(B117,'Snapshot (Volume)'!$A$7:$G$168,7,0)</f>
        <v>4099400</v>
      </c>
      <c r="F117" s="165">
        <f t="shared" si="40"/>
        <v>-451500</v>
      </c>
      <c r="G117" s="166">
        <f t="shared" si="41"/>
        <v>-0.11013806898570523</v>
      </c>
      <c r="H117" s="165">
        <f>VLOOKUP($B117,'Data shares'!$C:$FB,66)</f>
        <v>4020500</v>
      </c>
      <c r="I117" s="165">
        <f>VLOOKUP($B117,'Data shares'!$C:$FB,67)</f>
        <v>5673300</v>
      </c>
      <c r="J117" s="81">
        <f t="shared" si="42"/>
        <v>-29.132956127826837</v>
      </c>
      <c r="K117" s="5">
        <f>VLOOKUP($B117,'Data Vlaue (Cr)'!$C:$FB,99)</f>
        <v>2456</v>
      </c>
      <c r="L117" s="81">
        <f>VLOOKUP(B117,'OI(Value)'!$A$7:$C$209,3,0)</f>
        <v>-304</v>
      </c>
      <c r="M117" s="33">
        <f t="shared" si="31"/>
        <v>-12.37785016286645</v>
      </c>
      <c r="N117" s="5">
        <f>VLOOKUP($B117,'Data Vlaue (Cr)'!$C:$FB,67)</f>
        <v>2707</v>
      </c>
      <c r="O117" s="5">
        <f>VLOOKUP($B117,'Data Vlaue (Cr)'!$C:$FB,68)</f>
        <v>3820</v>
      </c>
      <c r="P117" s="5">
        <f t="shared" si="43"/>
        <v>-41.115626154414478</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4084.8</v>
      </c>
      <c r="D118" s="82">
        <f>VLOOKUP($B118,'Data shares'!$C:$FB,98)</f>
        <v>3070550</v>
      </c>
      <c r="E118" s="165">
        <f>VLOOKUP(B118,'Snapshot (Volume)'!$A$7:$G$168,7,0)</f>
        <v>3556875</v>
      </c>
      <c r="F118" s="165">
        <f t="shared" si="40"/>
        <v>-486325</v>
      </c>
      <c r="G118" s="166">
        <f t="shared" si="41"/>
        <v>-0.13672816728167281</v>
      </c>
      <c r="H118" s="165">
        <f>VLOOKUP($B118,'Data shares'!$C:$FB,66)</f>
        <v>3881850</v>
      </c>
      <c r="I118" s="165">
        <f>VLOOKUP($B118,'Data shares'!$C:$FB,67)</f>
        <v>4506425</v>
      </c>
      <c r="J118" s="81">
        <f t="shared" si="42"/>
        <v>-13.859655935691817</v>
      </c>
      <c r="K118" s="5">
        <f>VLOOKUP($B118,'Data Vlaue (Cr)'!$C:$FB,99)</f>
        <v>1258</v>
      </c>
      <c r="L118" s="81">
        <f>VLOOKUP(B118,'OI(Value)'!$A$7:$C$209,3,0)</f>
        <v>-199</v>
      </c>
      <c r="M118" s="33">
        <f t="shared" si="31"/>
        <v>-15.818759936406995</v>
      </c>
      <c r="N118" s="5">
        <f>VLOOKUP($B118,'Data Vlaue (Cr)'!$C:$FB,67)</f>
        <v>1590</v>
      </c>
      <c r="O118" s="5">
        <f>VLOOKUP($B118,'Data Vlaue (Cr)'!$C:$FB,68)</f>
        <v>1846</v>
      </c>
      <c r="P118" s="5">
        <f t="shared" si="43"/>
        <v>-16.10062893081761</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1168.9000000000001</v>
      </c>
      <c r="D119" s="82">
        <f>VLOOKUP($B119,'Data shares'!$C:$FB,98)</f>
        <v>7952400</v>
      </c>
      <c r="E119" s="165">
        <f>VLOOKUP(B119,'Snapshot (Volume)'!$A$7:$G$168,7,0)</f>
        <v>7149600</v>
      </c>
      <c r="F119" s="165">
        <f t="shared" si="40"/>
        <v>802800</v>
      </c>
      <c r="G119" s="166">
        <f t="shared" si="41"/>
        <v>0.11228600201409869</v>
      </c>
      <c r="H119" s="165">
        <f>VLOOKUP($B119,'Data shares'!$C:$FB,66)</f>
        <v>18743400</v>
      </c>
      <c r="I119" s="165">
        <f>VLOOKUP($B119,'Data shares'!$C:$FB,67)</f>
        <v>8805600</v>
      </c>
      <c r="J119" s="81">
        <f t="shared" si="42"/>
        <v>112.85772690106295</v>
      </c>
      <c r="K119" s="5">
        <f>VLOOKUP($B119,'Data Vlaue (Cr)'!$C:$FB,99)</f>
        <v>928</v>
      </c>
      <c r="L119" s="81">
        <f>VLOOKUP(B119,'OI(Value)'!$A$7:$C$209,3,0)</f>
        <v>94</v>
      </c>
      <c r="M119" s="33">
        <f t="shared" si="31"/>
        <v>10.129310344827585</v>
      </c>
      <c r="N119" s="5">
        <f>VLOOKUP($B119,'Data Vlaue (Cr)'!$C:$FB,67)</f>
        <v>2188</v>
      </c>
      <c r="O119" s="5">
        <f>VLOOKUP($B119,'Data Vlaue (Cr)'!$C:$FB,68)</f>
        <v>1028</v>
      </c>
      <c r="P119" s="5">
        <f t="shared" si="43"/>
        <v>53.016453382084094</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2148.6</v>
      </c>
      <c r="D120" s="82">
        <f>VLOOKUP($B120,'Data shares'!$C:$FB,98)</f>
        <v>52754800</v>
      </c>
      <c r="E120" s="165">
        <f>VLOOKUP(B120,'Snapshot (Volume)'!$A$7:$G$168,7,0)</f>
        <v>53194000</v>
      </c>
      <c r="F120" s="165">
        <f t="shared" si="40"/>
        <v>-439200</v>
      </c>
      <c r="G120" s="166">
        <f t="shared" si="41"/>
        <v>-8.2565702898823173E-3</v>
      </c>
      <c r="H120" s="165">
        <f>VLOOKUP($B120,'Data shares'!$C:$FB,66)</f>
        <v>111008000</v>
      </c>
      <c r="I120" s="165">
        <f>VLOOKUP($B120,'Data shares'!$C:$FB,67)</f>
        <v>88624800</v>
      </c>
      <c r="J120" s="81">
        <f t="shared" si="42"/>
        <v>25.256135979996568</v>
      </c>
      <c r="K120" s="5">
        <f>VLOOKUP($B120,'Data Vlaue (Cr)'!$C:$FB,99)</f>
        <v>11348</v>
      </c>
      <c r="L120" s="81">
        <f>VLOOKUP(B120,'OI(Value)'!$A$7:$C$209,3,0)</f>
        <v>-94</v>
      </c>
      <c r="M120" s="33">
        <f t="shared" si="31"/>
        <v>-0.82833979555868875</v>
      </c>
      <c r="N120" s="5">
        <f>VLOOKUP($B120,'Data Vlaue (Cr)'!$C:$FB,67)</f>
        <v>23879</v>
      </c>
      <c r="O120" s="5">
        <f>VLOOKUP($B120,'Data Vlaue (Cr)'!$C:$FB,68)</f>
        <v>19064</v>
      </c>
      <c r="P120" s="5">
        <f t="shared" si="43"/>
        <v>20.164160978265421</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1207</v>
      </c>
      <c r="D121" s="82">
        <f>VLOOKUP($B121,'Data shares'!$C:$FB,98)</f>
        <v>7615200</v>
      </c>
      <c r="E121" s="165">
        <f>VLOOKUP(B121,'Snapshot (Volume)'!$A$7:$G$168,7,0)</f>
        <v>8513200</v>
      </c>
      <c r="F121" s="165">
        <f t="shared" si="40"/>
        <v>-898000</v>
      </c>
      <c r="G121" s="166">
        <f t="shared" si="41"/>
        <v>-0.1054832495418879</v>
      </c>
      <c r="H121" s="165">
        <f>VLOOKUP($B121,'Data shares'!$C:$FB,66)</f>
        <v>15799200</v>
      </c>
      <c r="I121" s="165">
        <f>VLOOKUP($B121,'Data shares'!$C:$FB,67)</f>
        <v>11565200</v>
      </c>
      <c r="J121" s="81">
        <f t="shared" si="42"/>
        <v>36.609829488465394</v>
      </c>
      <c r="K121" s="5">
        <f>VLOOKUP($B121,'Data Vlaue (Cr)'!$C:$FB,99)</f>
        <v>921</v>
      </c>
      <c r="L121" s="81">
        <f>VLOOKUP(B121,'OI(Value)'!$A$7:$C$209,3,0)</f>
        <v>-109</v>
      </c>
      <c r="M121" s="33">
        <f t="shared" si="31"/>
        <v>-11.834961997828447</v>
      </c>
      <c r="N121" s="5">
        <f>VLOOKUP($B121,'Data Vlaue (Cr)'!$C:$FB,67)</f>
        <v>1911</v>
      </c>
      <c r="O121" s="5">
        <f>VLOOKUP($B121,'Data Vlaue (Cr)'!$C:$FB,68)</f>
        <v>1399</v>
      </c>
      <c r="P121" s="5">
        <f t="shared" si="43"/>
        <v>26.792255363683935</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940.15</v>
      </c>
      <c r="D122" s="82">
        <f>VLOOKUP($B122,'Data shares'!$C:$FB,98)</f>
        <v>55833100</v>
      </c>
      <c r="E122" s="165">
        <f>VLOOKUP(B122,'Snapshot (Volume)'!$A$7:$G$168,7,0)</f>
        <v>61449900</v>
      </c>
      <c r="F122" s="165">
        <f t="shared" si="40"/>
        <v>-5616800</v>
      </c>
      <c r="G122" s="166">
        <f t="shared" si="41"/>
        <v>-9.1404542562314992E-2</v>
      </c>
      <c r="H122" s="165">
        <f>VLOOKUP($B122,'Data shares'!$C:$FB,66)</f>
        <v>158851400</v>
      </c>
      <c r="I122" s="165">
        <f>VLOOKUP($B122,'Data shares'!$C:$FB,67)</f>
        <v>311270000</v>
      </c>
      <c r="J122" s="81">
        <f t="shared" si="42"/>
        <v>-48.966684871654834</v>
      </c>
      <c r="K122" s="5">
        <f>VLOOKUP($B122,'Data Vlaue (Cr)'!$C:$FB,99)</f>
        <v>5246</v>
      </c>
      <c r="L122" s="81">
        <f>VLOOKUP(B122,'OI(Value)'!$A$7:$C$209,3,0)</f>
        <v>-528</v>
      </c>
      <c r="M122" s="33">
        <f t="shared" si="31"/>
        <v>-10.06481128478841</v>
      </c>
      <c r="N122" s="5">
        <f>VLOOKUP($B122,'Data Vlaue (Cr)'!$C:$FB,67)</f>
        <v>14924</v>
      </c>
      <c r="O122" s="5">
        <f>VLOOKUP($B122,'Data Vlaue (Cr)'!$C:$FB,68)</f>
        <v>29244</v>
      </c>
      <c r="P122" s="5">
        <f t="shared" si="43"/>
        <v>-95.952827660144735</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584.35</v>
      </c>
      <c r="D123" s="82">
        <f>VLOOKUP($B123,'Data shares'!$C:$FB,98)</f>
        <v>47886000</v>
      </c>
      <c r="E123" s="165">
        <f>VLOOKUP(B123,'Snapshot (Volume)'!$A$7:$G$168,7,0)</f>
        <v>47778000</v>
      </c>
      <c r="F123" s="165">
        <f t="shared" si="40"/>
        <v>108000</v>
      </c>
      <c r="G123" s="166">
        <f t="shared" si="41"/>
        <v>2.2604546025367326E-3</v>
      </c>
      <c r="H123" s="165">
        <f>VLOOKUP($B123,'Data shares'!$C:$FB,66)</f>
        <v>44575000</v>
      </c>
      <c r="I123" s="165">
        <f>VLOOKUP($B123,'Data shares'!$C:$FB,67)</f>
        <v>31470000</v>
      </c>
      <c r="J123" s="81">
        <f t="shared" si="42"/>
        <v>41.642834445503659</v>
      </c>
      <c r="K123" s="5">
        <f>VLOOKUP($B123,'Data Vlaue (Cr)'!$C:$FB,99)</f>
        <v>2802</v>
      </c>
      <c r="L123" s="81">
        <f>VLOOKUP(B123,'OI(Value)'!$A$7:$C$209,3,0)</f>
        <v>6</v>
      </c>
      <c r="M123" s="33">
        <f t="shared" ref="M123:M144" si="44">L123/K123*100</f>
        <v>0.21413276231263384</v>
      </c>
      <c r="N123" s="5">
        <f>VLOOKUP($B123,'Data Vlaue (Cr)'!$C:$FB,67)</f>
        <v>2608</v>
      </c>
      <c r="O123" s="5">
        <f>VLOOKUP($B123,'Data Vlaue (Cr)'!$C:$FB,68)</f>
        <v>1841</v>
      </c>
      <c r="P123" s="5">
        <f t="shared" si="43"/>
        <v>29.409509202453986</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897.65</v>
      </c>
      <c r="D124" s="82">
        <f>VLOOKUP($B124,'Data shares'!$C:$FB,98)</f>
        <v>14509600</v>
      </c>
      <c r="E124" s="165">
        <f>VLOOKUP(B124,'Snapshot (Volume)'!$A$7:$G$168,7,0)</f>
        <v>15412600</v>
      </c>
      <c r="F124" s="165">
        <f t="shared" si="40"/>
        <v>-903000</v>
      </c>
      <c r="G124" s="166">
        <f t="shared" si="41"/>
        <v>-5.8588427650104462E-2</v>
      </c>
      <c r="H124" s="165">
        <f>VLOOKUP($B124,'Data shares'!$C:$FB,66)</f>
        <v>14116900</v>
      </c>
      <c r="I124" s="165">
        <f>VLOOKUP($B124,'Data shares'!$C:$FB,67)</f>
        <v>13690600</v>
      </c>
      <c r="J124" s="81">
        <f t="shared" si="42"/>
        <v>3.1138153185397277</v>
      </c>
      <c r="K124" s="5">
        <f>VLOOKUP($B124,'Data Vlaue (Cr)'!$C:$FB,99)</f>
        <v>1304</v>
      </c>
      <c r="L124" s="81">
        <f>VLOOKUP(B124,'OI(Value)'!$A$7:$C$209,3,0)</f>
        <v>-81</v>
      </c>
      <c r="M124" s="33">
        <f t="shared" si="44"/>
        <v>-6.2116564417177917</v>
      </c>
      <c r="N124" s="5">
        <f>VLOOKUP($B124,'Data Vlaue (Cr)'!$C:$FB,67)</f>
        <v>1269</v>
      </c>
      <c r="O124" s="5">
        <f>VLOOKUP($B124,'Data Vlaue (Cr)'!$C:$FB,68)</f>
        <v>1230</v>
      </c>
      <c r="P124" s="5">
        <f t="shared" si="43"/>
        <v>3.0732860520094563</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1177</v>
      </c>
      <c r="D125" s="82">
        <f>VLOOKUP($B125,'Data shares'!$C:$FB,98)</f>
        <v>16667550</v>
      </c>
      <c r="E125" s="165">
        <f>VLOOKUP(B125,'Snapshot (Volume)'!$A$7:$G$168,7,0)</f>
        <v>16699950</v>
      </c>
      <c r="F125" s="165">
        <f t="shared" si="40"/>
        <v>-32400</v>
      </c>
      <c r="G125" s="166">
        <f t="shared" si="41"/>
        <v>-1.9401255692382312E-3</v>
      </c>
      <c r="H125" s="165">
        <f>VLOOKUP($B125,'Data shares'!$C:$FB,66)</f>
        <v>17414550</v>
      </c>
      <c r="I125" s="165">
        <f>VLOOKUP($B125,'Data shares'!$C:$FB,67)</f>
        <v>13793850</v>
      </c>
      <c r="J125" s="81">
        <f t="shared" si="42"/>
        <v>26.248654291586465</v>
      </c>
      <c r="K125" s="5">
        <f>VLOOKUP($B125,'Data Vlaue (Cr)'!$C:$FB,99)</f>
        <v>1961</v>
      </c>
      <c r="L125" s="81">
        <f>VLOOKUP(B125,'OI(Value)'!$A$7:$C$209,3,0)</f>
        <v>-4</v>
      </c>
      <c r="M125" s="33">
        <f t="shared" si="44"/>
        <v>-0.20397756246812851</v>
      </c>
      <c r="N125" s="5">
        <f>VLOOKUP($B125,'Data Vlaue (Cr)'!$C:$FB,67)</f>
        <v>2049</v>
      </c>
      <c r="O125" s="5">
        <f>VLOOKUP($B125,'Data Vlaue (Cr)'!$C:$FB,68)</f>
        <v>1623</v>
      </c>
      <c r="P125" s="5">
        <f t="shared" si="43"/>
        <v>20.790629575402637</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3923.8</v>
      </c>
      <c r="D126" s="82">
        <f>VLOOKUP($B126,'Data shares'!$C:$FB,98)</f>
        <v>31638775</v>
      </c>
      <c r="E126" s="165">
        <f>VLOOKUP(B126,'Snapshot (Volume)'!$A$7:$G$168,7,0)</f>
        <v>31313450</v>
      </c>
      <c r="F126" s="165">
        <f t="shared" si="40"/>
        <v>325325</v>
      </c>
      <c r="G126" s="166">
        <f t="shared" si="41"/>
        <v>1.0389305554003152E-2</v>
      </c>
      <c r="H126" s="165">
        <f>VLOOKUP($B126,'Data shares'!$C:$FB,66)</f>
        <v>20199725</v>
      </c>
      <c r="I126" s="165">
        <f>VLOOKUP($B126,'Data shares'!$C:$FB,67)</f>
        <v>22292900</v>
      </c>
      <c r="J126" s="81">
        <f t="shared" si="42"/>
        <v>-9.3894244355826295</v>
      </c>
      <c r="K126" s="5">
        <f>VLOOKUP($B126,'Data Vlaue (Cr)'!$C:$FB,99)</f>
        <v>12424</v>
      </c>
      <c r="L126" s="81">
        <f>VLOOKUP(B126,'OI(Value)'!$A$7:$C$209,3,0)</f>
        <v>128</v>
      </c>
      <c r="M126" s="33">
        <f t="shared" si="44"/>
        <v>1.0302640051513201</v>
      </c>
      <c r="N126" s="5">
        <f>VLOOKUP($B126,'Data Vlaue (Cr)'!$C:$FB,67)</f>
        <v>7932</v>
      </c>
      <c r="O126" s="5">
        <f>VLOOKUP($B126,'Data Vlaue (Cr)'!$C:$FB,68)</f>
        <v>8754</v>
      </c>
      <c r="P126" s="5">
        <f t="shared" si="43"/>
        <v>-10.363086232980333</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267.14999999999998</v>
      </c>
      <c r="D127" s="82">
        <f>VLOOKUP($B127,'Data shares'!$C:$FB,98)</f>
        <v>104883772</v>
      </c>
      <c r="E127" s="165">
        <f>VLOOKUP(B127,'Snapshot (Volume)'!$A$7:$G$168,7,0)</f>
        <v>107926856</v>
      </c>
      <c r="F127" s="165">
        <f>D127-E127</f>
        <v>-3043084</v>
      </c>
      <c r="G127" s="166">
        <f>F127/E127</f>
        <v>-2.8195799570034728E-2</v>
      </c>
      <c r="H127" s="165">
        <f>VLOOKUP($B127,'Data shares'!$C:$FB,66)</f>
        <v>93465514</v>
      </c>
      <c r="I127" s="165">
        <f>VLOOKUP($B127,'Data shares'!$C:$FB,67)</f>
        <v>106989836</v>
      </c>
      <c r="J127" s="81">
        <f>(H127-I127)/I127*100</f>
        <v>-12.640754024522479</v>
      </c>
      <c r="K127" s="5">
        <f>VLOOKUP($B127,'Data Vlaue (Cr)'!$C:$FB,99)</f>
        <v>2805</v>
      </c>
      <c r="L127" s="81">
        <f>VLOOKUP(B127,'OI(Value)'!$A$7:$C$209,3,0)</f>
        <v>-81</v>
      </c>
      <c r="M127" s="33">
        <f t="shared" si="44"/>
        <v>-2.8877005347593583</v>
      </c>
      <c r="N127" s="5">
        <f>VLOOKUP($B127,'Data Vlaue (Cr)'!$C:$FB,67)</f>
        <v>2500</v>
      </c>
      <c r="O127" s="5">
        <f>VLOOKUP($B127,'Data Vlaue (Cr)'!$C:$FB,68)</f>
        <v>2862</v>
      </c>
      <c r="P127" s="5">
        <f>(N127-O127)/N127*100</f>
        <v>-14.48</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LTIM</v>
      </c>
      <c r="C128" s="4">
        <f>VLOOKUP($B128,'Data shares'!$C:$FB,7)</f>
        <v>5640</v>
      </c>
      <c r="D128" s="82">
        <f>VLOOKUP($B128,'Data shares'!$C:$FB,98)</f>
        <v>5024550</v>
      </c>
      <c r="E128" s="165">
        <f>VLOOKUP(B128,'Snapshot (Volume)'!$A$7:$G$168,7,0)</f>
        <v>5670900</v>
      </c>
      <c r="F128" s="165">
        <f>D128-E128</f>
        <v>-646350</v>
      </c>
      <c r="G128" s="166">
        <f>F128/E128</f>
        <v>-0.11397661746812675</v>
      </c>
      <c r="H128" s="165">
        <f>VLOOKUP($B128,'Data shares'!$C:$FB,66)</f>
        <v>5385750</v>
      </c>
      <c r="I128" s="165">
        <f>VLOOKUP($B128,'Data shares'!$C:$FB,67)</f>
        <v>7712550</v>
      </c>
      <c r="J128" s="81">
        <f>(H128-I128)/I128*100</f>
        <v>-30.169010249528366</v>
      </c>
      <c r="K128" s="5">
        <f>VLOOKUP($B128,'Data Vlaue (Cr)'!$C:$FB,99)</f>
        <v>2834</v>
      </c>
      <c r="L128" s="81">
        <f>VLOOKUP(B128,'OI(Value)'!$A$7:$C$209,3,0)</f>
        <v>-365</v>
      </c>
      <c r="M128" s="33">
        <f t="shared" si="44"/>
        <v>-12.879322512350036</v>
      </c>
      <c r="N128" s="5">
        <f>VLOOKUP($B128,'Data Vlaue (Cr)'!$C:$FB,67)</f>
        <v>3037</v>
      </c>
      <c r="O128" s="5">
        <f>VLOOKUP($B128,'Data Vlaue (Cr)'!$C:$FB,68)</f>
        <v>4349</v>
      </c>
      <c r="P128" s="5">
        <f>(N128-O128)/N128*100</f>
        <v>-43.200526835693118</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1922.9</v>
      </c>
      <c r="D129" s="82">
        <f>VLOOKUP($B129,'Data shares'!$C:$FB,98)</f>
        <v>17421175</v>
      </c>
      <c r="E129" s="165">
        <f>VLOOKUP(B129,'Snapshot (Volume)'!$A$7:$G$168,7,0)</f>
        <v>17597975</v>
      </c>
      <c r="F129" s="165">
        <f>D129-E129</f>
        <v>-176800</v>
      </c>
      <c r="G129" s="166">
        <f>F129/E129</f>
        <v>-1.0046610476489483E-2</v>
      </c>
      <c r="H129" s="165">
        <f>VLOOKUP($B129,'Data shares'!$C:$FB,66)</f>
        <v>10845575</v>
      </c>
      <c r="I129" s="165">
        <f>VLOOKUP($B129,'Data shares'!$C:$FB,67)</f>
        <v>16333175</v>
      </c>
      <c r="J129" s="81">
        <f>(H129-I129)/I129*100</f>
        <v>-33.597876714111003</v>
      </c>
      <c r="K129" s="5">
        <f>VLOOKUP($B129,'Data Vlaue (Cr)'!$C:$FB,99)</f>
        <v>3353</v>
      </c>
      <c r="L129" s="81">
        <f>VLOOKUP(B129,'OI(Value)'!$A$7:$C$209,3,0)</f>
        <v>-34</v>
      </c>
      <c r="M129" s="33">
        <f t="shared" si="44"/>
        <v>-1.0140172979421413</v>
      </c>
      <c r="N129" s="5">
        <f>VLOOKUP($B129,'Data Vlaue (Cr)'!$C:$FB,67)</f>
        <v>2087</v>
      </c>
      <c r="O129" s="5">
        <f>VLOOKUP($B129,'Data Vlaue (Cr)'!$C:$FB,68)</f>
        <v>3144</v>
      </c>
      <c r="P129" s="5">
        <f>(N129-O129)/N129*100</f>
        <v>-50.646861523718258</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3611.6</v>
      </c>
      <c r="D130" s="82">
        <f>VLOOKUP($B130,'Data shares'!$C:$FB,98)</f>
        <v>27237800</v>
      </c>
      <c r="E130" s="165">
        <f>VLOOKUP(B130,'Snapshot (Volume)'!$A$7:$G$168,7,0)</f>
        <v>27650800</v>
      </c>
      <c r="F130" s="165">
        <f>D130-E130</f>
        <v>-413000</v>
      </c>
      <c r="G130" s="166">
        <f>F130/E130</f>
        <v>-1.4936276708088012E-2</v>
      </c>
      <c r="H130" s="165">
        <f>VLOOKUP($B130,'Data shares'!$C:$FB,66)</f>
        <v>20325000</v>
      </c>
      <c r="I130" s="165">
        <f>VLOOKUP($B130,'Data shares'!$C:$FB,67)</f>
        <v>21923600</v>
      </c>
      <c r="J130" s="81">
        <f>(H130-I130)/I130*100</f>
        <v>-7.2916856720611571</v>
      </c>
      <c r="K130" s="5">
        <f>VLOOKUP($B130,'Data Vlaue (Cr)'!$C:$FB,99)</f>
        <v>9848</v>
      </c>
      <c r="L130" s="81">
        <f>VLOOKUP(B130,'OI(Value)'!$A$7:$C$209,3,0)</f>
        <v>-149</v>
      </c>
      <c r="M130" s="33">
        <f t="shared" si="44"/>
        <v>-1.5129975629569457</v>
      </c>
      <c r="N130" s="5">
        <f>VLOOKUP($B130,'Data Vlaue (Cr)'!$C:$FB,67)</f>
        <v>7349</v>
      </c>
      <c r="O130" s="5">
        <f>VLOOKUP($B130,'Data Vlaue (Cr)'!$C:$FB,68)</f>
        <v>7927</v>
      </c>
      <c r="P130" s="5">
        <f>(N130-O130)/N130*100</f>
        <v>-7.8650156483875353</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276.39999999999998</v>
      </c>
      <c r="D131" s="82">
        <f>VLOOKUP($B131,'Data shares'!$C:$FB,98)</f>
        <v>53889000</v>
      </c>
      <c r="E131" s="165">
        <f>VLOOKUP(B131,'Snapshot (Volume)'!$A$7:$G$168,7,0)</f>
        <v>54762000</v>
      </c>
      <c r="F131" s="165">
        <f>D131-E131</f>
        <v>-873000</v>
      </c>
      <c r="G131" s="166">
        <f>F131/E131</f>
        <v>-1.5941711405719296E-2</v>
      </c>
      <c r="H131" s="165">
        <f>VLOOKUP($B131,'Data shares'!$C:$FB,66)</f>
        <v>44292000</v>
      </c>
      <c r="I131" s="165">
        <f>VLOOKUP($B131,'Data shares'!$C:$FB,67)</f>
        <v>50943000</v>
      </c>
      <c r="J131" s="81">
        <f>(H131-I131)/I131*100</f>
        <v>-13.055768211530532</v>
      </c>
      <c r="K131" s="5">
        <f>VLOOKUP($B131,'Data Vlaue (Cr)'!$C:$FB,99)</f>
        <v>1488</v>
      </c>
      <c r="L131" s="81">
        <f>VLOOKUP(B131,'OI(Value)'!$A$7:$C$209,3,0)</f>
        <v>-24</v>
      </c>
      <c r="M131" s="33">
        <f t="shared" si="44"/>
        <v>-1.6129032258064515</v>
      </c>
      <c r="N131" s="5">
        <f>VLOOKUP($B131,'Data Vlaue (Cr)'!$C:$FB,67)</f>
        <v>1223</v>
      </c>
      <c r="O131" s="5">
        <f>VLOOKUP($B131,'Data Vlaue (Cr)'!$C:$FB,68)</f>
        <v>1406</v>
      </c>
      <c r="P131" s="5">
        <f>(N131-O131)/N131*100</f>
        <v>-14.963205233033525</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2416.6999999999998</v>
      </c>
      <c r="D132" s="165">
        <f>VLOOKUP($B132,'Data shares'!$C:$FB,98)</f>
        <v>2885400</v>
      </c>
      <c r="E132" s="165">
        <f>VLOOKUP(B132,'Snapshot (Volume)'!$A$7:$G$168,7,0)</f>
        <v>3105675</v>
      </c>
      <c r="F132" s="165">
        <f t="shared" ref="F132:F139" si="45">D132-E132</f>
        <v>-220275</v>
      </c>
      <c r="G132" s="166">
        <f t="shared" ref="G132:G139" si="46">F132/E132</f>
        <v>-7.0926610157212203E-2</v>
      </c>
      <c r="H132" s="165">
        <f>VLOOKUP($B132,'Data shares'!$C:$FB,66)</f>
        <v>2191500</v>
      </c>
      <c r="I132" s="165">
        <f>VLOOKUP($B132,'Data shares'!$C:$FB,67)</f>
        <v>2994750</v>
      </c>
      <c r="J132" s="81">
        <f t="shared" ref="J132:J139" si="47">(H132-I132)/I132*100</f>
        <v>-26.821938392186329</v>
      </c>
      <c r="K132" s="81">
        <f>VLOOKUP($B132,'Data Vlaue (Cr)'!$C:$FB,99)</f>
        <v>697</v>
      </c>
      <c r="L132" s="81">
        <f>VLOOKUP(B132,'OI(Value)'!$A$7:$C$209,3,0)</f>
        <v>-53</v>
      </c>
      <c r="M132" s="81">
        <f t="shared" si="44"/>
        <v>-7.6040172166427542</v>
      </c>
      <c r="N132" s="81">
        <f>VLOOKUP($B132,'Data Vlaue (Cr)'!$C:$FB,67)</f>
        <v>530</v>
      </c>
      <c r="O132" s="81">
        <f>VLOOKUP($B132,'Data Vlaue (Cr)'!$C:$FB,68)</f>
        <v>724</v>
      </c>
      <c r="P132" s="81">
        <f t="shared" ref="P132:P139" si="48">(N132-O132)/N132*100</f>
        <v>-36.60377358490566</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723.6</v>
      </c>
      <c r="D133" s="165">
        <f>VLOOKUP($B133,'Data shares'!$C:$FB,98)</f>
        <v>32876400</v>
      </c>
      <c r="E133" s="165">
        <f>VLOOKUP(B133,'Snapshot (Volume)'!$A$7:$G$168,7,0)</f>
        <v>33256800</v>
      </c>
      <c r="F133" s="165">
        <f t="shared" si="45"/>
        <v>-380400</v>
      </c>
      <c r="G133" s="166">
        <f t="shared" si="46"/>
        <v>-1.1438262250126291E-2</v>
      </c>
      <c r="H133" s="165">
        <f>VLOOKUP($B133,'Data shares'!$C:$FB,66)</f>
        <v>20095200</v>
      </c>
      <c r="I133" s="165">
        <f>VLOOKUP($B133,'Data shares'!$C:$FB,67)</f>
        <v>36786000</v>
      </c>
      <c r="J133" s="81">
        <f t="shared" si="47"/>
        <v>-45.372696134398957</v>
      </c>
      <c r="K133" s="81">
        <f>VLOOKUP($B133,'Data Vlaue (Cr)'!$C:$FB,99)</f>
        <v>2377</v>
      </c>
      <c r="L133" s="81">
        <f>VLOOKUP(B133,'OI(Value)'!$A$7:$C$209,3,0)</f>
        <v>-27</v>
      </c>
      <c r="M133" s="81">
        <f t="shared" si="44"/>
        <v>-1.1358855700462769</v>
      </c>
      <c r="N133" s="81">
        <f>VLOOKUP($B133,'Data Vlaue (Cr)'!$C:$FB,67)</f>
        <v>1453</v>
      </c>
      <c r="O133" s="81">
        <f>VLOOKUP($B133,'Data Vlaue (Cr)'!$C:$FB,68)</f>
        <v>2659</v>
      </c>
      <c r="P133" s="81">
        <f t="shared" si="48"/>
        <v>-83.000688231245704</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16388</v>
      </c>
      <c r="D134" s="82">
        <f>VLOOKUP($B134,'Data shares'!$C:$FB,98)</f>
        <v>6879000</v>
      </c>
      <c r="E134" s="165">
        <f>VLOOKUP(B134,'Snapshot (Volume)'!$A$7:$G$168,7,0)</f>
        <v>7569800</v>
      </c>
      <c r="F134" s="165">
        <f t="shared" si="45"/>
        <v>-690800</v>
      </c>
      <c r="G134" s="166">
        <f t="shared" si="46"/>
        <v>-9.1257364791672166E-2</v>
      </c>
      <c r="H134" s="165">
        <f>VLOOKUP($B134,'Data shares'!$C:$FB,66)</f>
        <v>9608550</v>
      </c>
      <c r="I134" s="165">
        <f>VLOOKUP($B134,'Data shares'!$C:$FB,67)</f>
        <v>9156550</v>
      </c>
      <c r="J134" s="81">
        <f t="shared" si="47"/>
        <v>4.936357034035745</v>
      </c>
      <c r="K134" s="5">
        <f>VLOOKUP($B134,'Data Vlaue (Cr)'!$C:$FB,99)</f>
        <v>11284</v>
      </c>
      <c r="L134" s="81">
        <f>VLOOKUP(B134,'OI(Value)'!$A$7:$C$209,3,0)</f>
        <v>-1133</v>
      </c>
      <c r="M134" s="33">
        <f t="shared" si="44"/>
        <v>-10.040765685926976</v>
      </c>
      <c r="N134" s="5">
        <f>VLOOKUP($B134,'Data Vlaue (Cr)'!$C:$FB,67)</f>
        <v>15762</v>
      </c>
      <c r="O134" s="5">
        <f>VLOOKUP($B134,'Data Vlaue (Cr)'!$C:$FB,68)</f>
        <v>15020</v>
      </c>
      <c r="P134" s="5">
        <f t="shared" si="48"/>
        <v>4.7075244258342845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1186.4000000000001</v>
      </c>
      <c r="D135" s="82">
        <f>VLOOKUP($B135,'Data shares'!$C:$FB,98)</f>
        <v>21515550</v>
      </c>
      <c r="E135" s="165">
        <f>VLOOKUP(B135,'Snapshot (Volume)'!$A$7:$G$168,7,0)</f>
        <v>21863625</v>
      </c>
      <c r="F135" s="165">
        <f t="shared" si="45"/>
        <v>-348075</v>
      </c>
      <c r="G135" s="166">
        <f t="shared" si="46"/>
        <v>-1.5920278544843319E-2</v>
      </c>
      <c r="H135" s="165">
        <f>VLOOKUP($B135,'Data shares'!$C:$FB,66)</f>
        <v>15586200</v>
      </c>
      <c r="I135" s="165">
        <f>VLOOKUP($B135,'Data shares'!$C:$FB,67)</f>
        <v>22744050</v>
      </c>
      <c r="J135" s="81">
        <f t="shared" si="47"/>
        <v>-31.471307880522598</v>
      </c>
      <c r="K135" s="5">
        <f>VLOOKUP($B135,'Data Vlaue (Cr)'!$C:$FB,99)</f>
        <v>2556</v>
      </c>
      <c r="L135" s="81">
        <f>VLOOKUP(B135,'OI(Value)'!$A$7:$C$209,3,0)</f>
        <v>-41</v>
      </c>
      <c r="M135" s="33">
        <f t="shared" si="44"/>
        <v>-1.6040688575899842</v>
      </c>
      <c r="N135" s="5">
        <f>VLOOKUP($B135,'Data Vlaue (Cr)'!$C:$FB,67)</f>
        <v>1851</v>
      </c>
      <c r="O135" s="5">
        <f>VLOOKUP($B135,'Data Vlaue (Cr)'!$C:$FB,68)</f>
        <v>2702</v>
      </c>
      <c r="P135" s="5">
        <f t="shared" si="48"/>
        <v>-45.975148568341439</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2810.4</v>
      </c>
      <c r="D136" s="82">
        <f>VLOOKUP($B136,'Data shares'!$C:$FB,98)</f>
        <v>8843800</v>
      </c>
      <c r="E136" s="165">
        <f>VLOOKUP(B136,'Snapshot (Volume)'!$A$7:$G$168,7,0)</f>
        <v>8304800</v>
      </c>
      <c r="F136" s="165">
        <f t="shared" si="45"/>
        <v>539000</v>
      </c>
      <c r="G136" s="166">
        <f t="shared" si="46"/>
        <v>6.4902225219150372E-2</v>
      </c>
      <c r="H136" s="165">
        <f>VLOOKUP($B136,'Data shares'!$C:$FB,66)</f>
        <v>11007675</v>
      </c>
      <c r="I136" s="165">
        <f>VLOOKUP($B136,'Data shares'!$C:$FB,67)</f>
        <v>10757600</v>
      </c>
      <c r="J136" s="81">
        <f t="shared" si="47"/>
        <v>2.3246356064549714</v>
      </c>
      <c r="K136" s="5">
        <f>VLOOKUP($B136,'Data Vlaue (Cr)'!$C:$FB,99)</f>
        <v>2485</v>
      </c>
      <c r="L136" s="81">
        <f>VLOOKUP(B136,'OI(Value)'!$A$7:$C$209,3,0)</f>
        <v>151</v>
      </c>
      <c r="M136" s="33">
        <f t="shared" si="44"/>
        <v>6.0764587525150908</v>
      </c>
      <c r="N136" s="5">
        <f>VLOOKUP($B136,'Data Vlaue (Cr)'!$C:$FB,67)</f>
        <v>3093</v>
      </c>
      <c r="O136" s="5">
        <f>VLOOKUP($B136,'Data Vlaue (Cr)'!$C:$FB,68)</f>
        <v>3023</v>
      </c>
      <c r="P136" s="5">
        <f t="shared" si="48"/>
        <v>2.2631749110895569</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9305.5</v>
      </c>
      <c r="D137" s="82">
        <f>VLOOKUP($B137,'Data shares'!$C:$FB,98)</f>
        <v>9098125</v>
      </c>
      <c r="E137" s="165">
        <f>VLOOKUP(B137,'Snapshot (Volume)'!$A$7:$G$168,7,0)</f>
        <v>9376500</v>
      </c>
      <c r="F137" s="165">
        <f t="shared" si="45"/>
        <v>-278375</v>
      </c>
      <c r="G137" s="166">
        <f t="shared" si="46"/>
        <v>-2.9688583160027728E-2</v>
      </c>
      <c r="H137" s="165">
        <f>VLOOKUP($B137,'Data shares'!$C:$FB,66)</f>
        <v>26485750</v>
      </c>
      <c r="I137" s="165">
        <f>VLOOKUP($B137,'Data shares'!$C:$FB,67)</f>
        <v>18658875</v>
      </c>
      <c r="J137" s="81">
        <f t="shared" si="47"/>
        <v>41.94719670934073</v>
      </c>
      <c r="K137" s="5">
        <f>VLOOKUP($B137,'Data Vlaue (Cr)'!$C:$FB,99)</f>
        <v>8471</v>
      </c>
      <c r="L137" s="81">
        <f>VLOOKUP(B137,'OI(Value)'!$A$7:$C$209,3,0)</f>
        <v>-259</v>
      </c>
      <c r="M137" s="33">
        <f t="shared" si="44"/>
        <v>-3.0574902608900953</v>
      </c>
      <c r="N137" s="5">
        <f>VLOOKUP($B137,'Data Vlaue (Cr)'!$C:$FB,67)</f>
        <v>24660</v>
      </c>
      <c r="O137" s="5">
        <f>VLOOKUP($B137,'Data Vlaue (Cr)'!$C:$FB,68)</f>
        <v>17372</v>
      </c>
      <c r="P137" s="5">
        <f t="shared" si="48"/>
        <v>29.553933495539336</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1513.6</v>
      </c>
      <c r="D138" s="82">
        <f>VLOOKUP($B138,'Data shares'!$C:$FB,98)</f>
        <v>8850400</v>
      </c>
      <c r="E138" s="165">
        <f>VLOOKUP(B138,'Snapshot (Volume)'!$A$7:$G$168,7,0)</f>
        <v>8888800</v>
      </c>
      <c r="F138" s="165">
        <f t="shared" si="45"/>
        <v>-38400</v>
      </c>
      <c r="G138" s="166">
        <f t="shared" si="46"/>
        <v>-4.3200432004320043E-3</v>
      </c>
      <c r="H138" s="165">
        <f>VLOOKUP($B138,'Data shares'!$C:$FB,66)</f>
        <v>7854400</v>
      </c>
      <c r="I138" s="165">
        <f>VLOOKUP($B138,'Data shares'!$C:$FB,67)</f>
        <v>8483200</v>
      </c>
      <c r="J138" s="81">
        <f t="shared" si="47"/>
        <v>-7.4122972463221428</v>
      </c>
      <c r="K138" s="5">
        <f>VLOOKUP($B138,'Data Vlaue (Cr)'!$C:$FB,99)</f>
        <v>1338</v>
      </c>
      <c r="L138" s="81">
        <f>VLOOKUP(B138,'OI(Value)'!$A$7:$C$209,3,0)</f>
        <v>-6</v>
      </c>
      <c r="M138" s="33">
        <f t="shared" si="44"/>
        <v>-0.44843049327354262</v>
      </c>
      <c r="N138" s="5">
        <f>VLOOKUP($B138,'Data Vlaue (Cr)'!$C:$FB,67)</f>
        <v>1188</v>
      </c>
      <c r="O138" s="5">
        <f>VLOOKUP($B138,'Data Vlaue (Cr)'!$C:$FB,68)</f>
        <v>1283</v>
      </c>
      <c r="P138" s="5">
        <f t="shared" si="48"/>
        <v>-7.9966329966329965</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13345.3</v>
      </c>
      <c r="D139" s="82">
        <f>VLOOKUP($B139,'Data shares'!$C:$FB,98)</f>
        <v>31021760</v>
      </c>
      <c r="E139" s="165">
        <f>VLOOKUP(B139,'Snapshot (Volume)'!$A$7:$G$168,7,0)</f>
        <v>28332080</v>
      </c>
      <c r="F139" s="165">
        <f t="shared" si="45"/>
        <v>2689680</v>
      </c>
      <c r="G139" s="166">
        <f t="shared" si="46"/>
        <v>9.4934081789970939E-2</v>
      </c>
      <c r="H139" s="165">
        <f>VLOOKUP($B139,'Data shares'!$C:$FB,66)</f>
        <v>315279160</v>
      </c>
      <c r="I139" s="165">
        <f>VLOOKUP($B139,'Data shares'!$C:$FB,67)</f>
        <v>280954940</v>
      </c>
      <c r="J139" s="81">
        <f t="shared" si="47"/>
        <v>12.216983976149344</v>
      </c>
      <c r="K139" s="5">
        <f>VLOOKUP($B139,'Data Vlaue (Cr)'!$C:$FB,99)</f>
        <v>41469</v>
      </c>
      <c r="L139" s="81">
        <f>VLOOKUP(B139,'OI(Value)'!$A$7:$C$209,3,0)</f>
        <v>3595</v>
      </c>
      <c r="M139" s="33">
        <f t="shared" si="44"/>
        <v>8.6691263353348287</v>
      </c>
      <c r="N139" s="5">
        <f>VLOOKUP($B139,'Data Vlaue (Cr)'!$C:$FB,67)</f>
        <v>421457</v>
      </c>
      <c r="O139" s="5">
        <f>VLOOKUP($B139,'Data Vlaue (Cr)'!$C:$FB,68)</f>
        <v>375574</v>
      </c>
      <c r="P139" s="5">
        <f t="shared" si="48"/>
        <v>10.88675713062068</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106.93</v>
      </c>
      <c r="D140" s="165">
        <f>VLOOKUP($B140,'Data shares'!$C:$FB,98)</f>
        <v>305144550</v>
      </c>
      <c r="E140" s="165">
        <f>VLOOKUP(B140,'Snapshot (Volume)'!$A$7:$G$168,7,0)</f>
        <v>311079300</v>
      </c>
      <c r="F140" s="165">
        <f>D140-E140</f>
        <v>-5934750</v>
      </c>
      <c r="G140" s="166">
        <f>F140/E140</f>
        <v>-1.9077932861492231E-2</v>
      </c>
      <c r="H140" s="165">
        <f>VLOOKUP($B140,'Data shares'!$C:$FB,66)</f>
        <v>176738700</v>
      </c>
      <c r="I140" s="165">
        <f>VLOOKUP($B140,'Data shares'!$C:$FB,67)</f>
        <v>216480000</v>
      </c>
      <c r="J140" s="81">
        <f>(H140-I140)/I140*100</f>
        <v>-18.357954545454547</v>
      </c>
      <c r="K140" s="81">
        <f>VLOOKUP($B140,'Data Vlaue (Cr)'!$C:$FB,99)</f>
        <v>3267</v>
      </c>
      <c r="L140" s="81">
        <f>VLOOKUP(B140,'OI(Value)'!$A$7:$C$209,3,0)</f>
        <v>-64</v>
      </c>
      <c r="M140" s="81">
        <f t="shared" si="44"/>
        <v>-1.9589837771655954</v>
      </c>
      <c r="N140" s="81">
        <f>VLOOKUP($B140,'Data Vlaue (Cr)'!$C:$FB,67)</f>
        <v>1893</v>
      </c>
      <c r="O140" s="81">
        <f>VLOOKUP($B140,'Data Vlaue (Cr)'!$C:$FB,68)</f>
        <v>2318</v>
      </c>
      <c r="P140" s="81">
        <f>(N140-O140)/N140*100</f>
        <v>-22.451135763338616</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Technology</v>
      </c>
      <c r="B141" s="79" t="str">
        <f>'Data shares'!C136</f>
        <v>MPHASIS</v>
      </c>
      <c r="C141" s="4">
        <f>VLOOKUP($B141,'Data shares'!$C:$FB,7)</f>
        <v>2888.7</v>
      </c>
      <c r="D141" s="82">
        <f>VLOOKUP($B141,'Data shares'!$C:$FB,98)</f>
        <v>5913050</v>
      </c>
      <c r="E141" s="165">
        <f>VLOOKUP(B141,'Snapshot (Volume)'!$A$7:$G$168,7,0)</f>
        <v>6088225</v>
      </c>
      <c r="F141" s="165">
        <f>D141-E141</f>
        <v>-175175</v>
      </c>
      <c r="G141" s="166">
        <f>F141/E141</f>
        <v>-2.8772753963593658E-2</v>
      </c>
      <c r="H141" s="165">
        <f>VLOOKUP($B141,'Data shares'!$C:$FB,66)</f>
        <v>8586325</v>
      </c>
      <c r="I141" s="165">
        <f>VLOOKUP($B141,'Data shares'!$C:$FB,67)</f>
        <v>6865100</v>
      </c>
      <c r="J141" s="81">
        <f>(H141-I141)/I141*100</f>
        <v>25.072103829514504</v>
      </c>
      <c r="K141" s="5">
        <f>VLOOKUP($B141,'Data Vlaue (Cr)'!$C:$FB,99)</f>
        <v>1708</v>
      </c>
      <c r="L141" s="81">
        <f>VLOOKUP(B141,'OI(Value)'!$A$7:$C$209,3,0)</f>
        <v>-51</v>
      </c>
      <c r="M141" s="33">
        <f t="shared" si="44"/>
        <v>-2.9859484777517564</v>
      </c>
      <c r="N141" s="5">
        <f>VLOOKUP($B141,'Data Vlaue (Cr)'!$C:$FB,67)</f>
        <v>2481</v>
      </c>
      <c r="O141" s="5">
        <f>VLOOKUP($B141,'Data Vlaue (Cr)'!$C:$FB,68)</f>
        <v>1984</v>
      </c>
      <c r="P141" s="5">
        <f>(N141-O141)/N141*100</f>
        <v>20.032245062474807</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Finance</v>
      </c>
      <c r="B142" s="79" t="str">
        <f>'Data shares'!C137</f>
        <v>MUTHOOTFIN</v>
      </c>
      <c r="C142" s="4">
        <f>VLOOKUP($B142,'Data shares'!$C:$FB,7)</f>
        <v>3145.9</v>
      </c>
      <c r="D142" s="82">
        <f>VLOOKUP($B142,'Data shares'!$C:$FB,98)</f>
        <v>7855375</v>
      </c>
      <c r="E142" s="165">
        <f>VLOOKUP(B142,'Snapshot (Volume)'!$A$7:$G$168,7,0)</f>
        <v>8594025</v>
      </c>
      <c r="F142" s="165">
        <f>D142-E142</f>
        <v>-738650</v>
      </c>
      <c r="G142" s="166">
        <f>F142/E142</f>
        <v>-8.5949249624012028E-2</v>
      </c>
      <c r="H142" s="165">
        <f>VLOOKUP($B142,'Data shares'!$C:$FB,66)</f>
        <v>8708425</v>
      </c>
      <c r="I142" s="165">
        <f>VLOOKUP($B142,'Data shares'!$C:$FB,67)</f>
        <v>18735750</v>
      </c>
      <c r="J142" s="81">
        <f>(H142-I142)/I142*100</f>
        <v>-53.519741670336117</v>
      </c>
      <c r="K142" s="5">
        <f>VLOOKUP($B142,'Data Vlaue (Cr)'!$C:$FB,99)</f>
        <v>2477</v>
      </c>
      <c r="L142" s="81">
        <f>VLOOKUP(B142,'OI(Value)'!$A$7:$C$209,3,0)</f>
        <v>-233</v>
      </c>
      <c r="M142" s="33">
        <f t="shared" si="44"/>
        <v>-9.4065401695599515</v>
      </c>
      <c r="N142" s="5">
        <f>VLOOKUP($B142,'Data Vlaue (Cr)'!$C:$FB,67)</f>
        <v>2746</v>
      </c>
      <c r="O142" s="5">
        <f>VLOOKUP($B142,'Data Vlaue (Cr)'!$C:$FB,68)</f>
        <v>5909</v>
      </c>
      <c r="P142" s="5">
        <f>(N142-O142)/N142*100</f>
        <v>-115.18572469045884</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Metals</v>
      </c>
      <c r="B143" s="79" t="str">
        <f>'Data shares'!C138</f>
        <v>NATIONALUM</v>
      </c>
      <c r="C143" s="4">
        <f>VLOOKUP($B143,'Data shares'!$C:$FB,7)</f>
        <v>237.87</v>
      </c>
      <c r="D143" s="82">
        <f>VLOOKUP($B143,'Data shares'!$C:$FB,98)</f>
        <v>146460000</v>
      </c>
      <c r="E143" s="165">
        <f>VLOOKUP(B143,'Snapshot (Volume)'!$A$7:$G$168,7,0)</f>
        <v>147592500</v>
      </c>
      <c r="F143" s="165">
        <f>D143-E143</f>
        <v>-1132500</v>
      </c>
      <c r="G143" s="166">
        <f>F143/E143</f>
        <v>-7.6731541236851469E-3</v>
      </c>
      <c r="H143" s="165">
        <f>VLOOKUP($B143,'Data shares'!$C:$FB,66)</f>
        <v>166166250</v>
      </c>
      <c r="I143" s="165">
        <f>VLOOKUP($B143,'Data shares'!$C:$FB,67)</f>
        <v>383175000</v>
      </c>
      <c r="J143" s="81">
        <f>(H143-I143)/I143*100</f>
        <v>-56.634370718340186</v>
      </c>
      <c r="K143" s="5">
        <f>VLOOKUP($B143,'Data Vlaue (Cr)'!$C:$FB,99)</f>
        <v>3488</v>
      </c>
      <c r="L143" s="81">
        <f>VLOOKUP(B143,'OI(Value)'!$A$7:$C$209,3,0)</f>
        <v>-27</v>
      </c>
      <c r="M143" s="33">
        <f t="shared" si="44"/>
        <v>-0.7740825688073395</v>
      </c>
      <c r="N143" s="5">
        <f>VLOOKUP($B143,'Data Vlaue (Cr)'!$C:$FB,67)</f>
        <v>3958</v>
      </c>
      <c r="O143" s="5">
        <f>VLOOKUP($B143,'Data Vlaue (Cr)'!$C:$FB,68)</f>
        <v>9126</v>
      </c>
      <c r="P143" s="5">
        <f>(N143-O143)/N143*100</f>
        <v>-130.57099545224861</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New_Age</v>
      </c>
      <c r="B144" s="79" t="str">
        <f>'Data shares'!C139</f>
        <v>NAUKRI</v>
      </c>
      <c r="C144" s="4">
        <f>VLOOKUP($B144,'Data shares'!$C:$FB,7)</f>
        <v>1364.7</v>
      </c>
      <c r="D144" s="82">
        <f>VLOOKUP($B144,'Data shares'!$C:$FB,98)</f>
        <v>12603750</v>
      </c>
      <c r="E144" s="165">
        <f>VLOOKUP(B144,'Snapshot (Volume)'!$A$7:$G$168,7,0)</f>
        <v>12966000</v>
      </c>
      <c r="F144" s="165">
        <f>D144-E144</f>
        <v>-362250</v>
      </c>
      <c r="G144" s="166">
        <f>F144/E144</f>
        <v>-2.7938454419250348E-2</v>
      </c>
      <c r="H144" s="165">
        <f>VLOOKUP($B144,'Data shares'!$C:$FB,66)</f>
        <v>11063625</v>
      </c>
      <c r="I144" s="165">
        <f>VLOOKUP($B144,'Data shares'!$C:$FB,67)</f>
        <v>35147250</v>
      </c>
      <c r="J144" s="81">
        <f>(H144-I144)/I144*100</f>
        <v>-68.522074984529368</v>
      </c>
      <c r="K144" s="5">
        <f>VLOOKUP($B144,'Data Vlaue (Cr)'!$C:$FB,99)</f>
        <v>1723</v>
      </c>
      <c r="L144" s="81">
        <f>VLOOKUP(B144,'OI(Value)'!$A$7:$C$209,3,0)</f>
        <v>-50</v>
      </c>
      <c r="M144" s="33">
        <f t="shared" si="44"/>
        <v>-2.9019152640742889</v>
      </c>
      <c r="N144" s="5">
        <f>VLOOKUP($B144,'Data Vlaue (Cr)'!$C:$FB,67)</f>
        <v>1512</v>
      </c>
      <c r="O144" s="5">
        <f>VLOOKUP($B144,'Data Vlaue (Cr)'!$C:$FB,68)</f>
        <v>4804</v>
      </c>
      <c r="P144" s="5">
        <f>(N144-O144)/N144*100</f>
        <v>-217.72486772486772</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Realty</v>
      </c>
      <c r="B145" s="79" t="str">
        <f>'Data shares'!C140</f>
        <v>NBCC</v>
      </c>
      <c r="C145" s="4">
        <f>VLOOKUP($B145,'Data shares'!$C:$FB,7)</f>
        <v>111.5</v>
      </c>
      <c r="D145" s="82">
        <f>VLOOKUP($B145,'Data shares'!$C:$FB,98)</f>
        <v>107880500</v>
      </c>
      <c r="E145" s="165">
        <f>VLOOKUP(B145,'Snapshot (Volume)'!$A$7:$G$168,7,0)</f>
        <v>108056000</v>
      </c>
      <c r="F145" s="165">
        <f t="shared" ref="F145:F152" si="49">D145-E145</f>
        <v>-175500</v>
      </c>
      <c r="G145" s="166">
        <f t="shared" ref="G145:G153" si="50">F145/E145</f>
        <v>-1.6241578440808469E-3</v>
      </c>
      <c r="H145" s="165">
        <f>VLOOKUP($B145,'Data shares'!$C:$FB,66)</f>
        <v>57323500</v>
      </c>
      <c r="I145" s="165">
        <f>VLOOKUP($B145,'Data shares'!$C:$FB,67)</f>
        <v>66313000</v>
      </c>
      <c r="J145" s="81">
        <f t="shared" ref="J145:J153" si="51">(H145-I145)/I145*100</f>
        <v>-13.556165457753384</v>
      </c>
      <c r="K145" s="5">
        <f>VLOOKUP($B145,'Data Vlaue (Cr)'!$C:$FB,99)</f>
        <v>1205</v>
      </c>
      <c r="L145" s="81">
        <f>VLOOKUP(B145,'OI(Value)'!$A$7:$C$209,3,0)</f>
        <v>-2</v>
      </c>
      <c r="M145" s="33">
        <f t="shared" ref="M145:M153" si="52">L145/K145*100</f>
        <v>-0.16597510373443983</v>
      </c>
      <c r="N145" s="5">
        <f>VLOOKUP($B145,'Data Vlaue (Cr)'!$C:$FB,67)</f>
        <v>640</v>
      </c>
      <c r="O145" s="5">
        <f>VLOOKUP($B145,'Data Vlaue (Cr)'!$C:$FB,68)</f>
        <v>741</v>
      </c>
      <c r="P145" s="5">
        <f t="shared" ref="P145:P152" si="53">(N145-O145)/N145*100</f>
        <v>-15.78125</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Infrastructure</v>
      </c>
      <c r="B146" s="79" t="str">
        <f>'Data shares'!C141</f>
        <v>NCC</v>
      </c>
      <c r="C146" s="4">
        <f>VLOOKUP($B146,'Data shares'!$C:$FB,7)</f>
        <v>213.55</v>
      </c>
      <c r="D146" s="82">
        <f>VLOOKUP($B146,'Data shares'!$C:$FB,98)</f>
        <v>31498200</v>
      </c>
      <c r="E146" s="165">
        <f>VLOOKUP(B146,'Snapshot (Volume)'!$A$7:$G$168,7,0)</f>
        <v>33420600</v>
      </c>
      <c r="F146" s="165">
        <f t="shared" si="49"/>
        <v>-1922400</v>
      </c>
      <c r="G146" s="166">
        <f t="shared" si="50"/>
        <v>-5.7521408951365323E-2</v>
      </c>
      <c r="H146" s="165">
        <f>VLOOKUP($B146,'Data shares'!$C:$FB,66)</f>
        <v>41733900</v>
      </c>
      <c r="I146" s="165">
        <f>VLOOKUP($B146,'Data shares'!$C:$FB,67)</f>
        <v>22056300</v>
      </c>
      <c r="J146" s="81">
        <f t="shared" si="51"/>
        <v>89.215326233321093</v>
      </c>
      <c r="K146" s="5">
        <f>VLOOKUP($B146,'Data Vlaue (Cr)'!$C:$FB,99)</f>
        <v>674</v>
      </c>
      <c r="L146" s="81">
        <f>VLOOKUP(B146,'OI(Value)'!$A$7:$C$209,3,0)</f>
        <v>-41</v>
      </c>
      <c r="M146" s="33">
        <f t="shared" si="52"/>
        <v>-6.0830860534124627</v>
      </c>
      <c r="N146" s="5">
        <f>VLOOKUP($B146,'Data Vlaue (Cr)'!$C:$FB,67)</f>
        <v>893</v>
      </c>
      <c r="O146" s="5">
        <f>VLOOKUP($B146,'Data Vlaue (Cr)'!$C:$FB,68)</f>
        <v>472</v>
      </c>
      <c r="P146" s="5">
        <f t="shared" si="53"/>
        <v>47.144456886898098</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FMCG</v>
      </c>
      <c r="B147" s="79" t="str">
        <f>'Data shares'!C142</f>
        <v>NESTLEIND</v>
      </c>
      <c r="C147" s="4">
        <f>VLOOKUP($B147,'Data shares'!$C:$FB,7)</f>
        <v>1283</v>
      </c>
      <c r="D147" s="82">
        <f>VLOOKUP($B147,'Data shares'!$C:$FB,98)</f>
        <v>34714500</v>
      </c>
      <c r="E147" s="165">
        <f>VLOOKUP(B147,'Snapshot (Volume)'!$A$7:$G$168,7,0)</f>
        <v>35551000</v>
      </c>
      <c r="F147" s="165">
        <f t="shared" si="49"/>
        <v>-836500</v>
      </c>
      <c r="G147" s="166">
        <f t="shared" si="50"/>
        <v>-2.3529577227082221E-2</v>
      </c>
      <c r="H147" s="165">
        <f>VLOOKUP($B147,'Data shares'!$C:$FB,66)</f>
        <v>27215500</v>
      </c>
      <c r="I147" s="165">
        <f>VLOOKUP($B147,'Data shares'!$C:$FB,67)</f>
        <v>33563000</v>
      </c>
      <c r="J147" s="81">
        <f t="shared" si="51"/>
        <v>-18.912194976611151</v>
      </c>
      <c r="K147" s="5">
        <f>VLOOKUP($B147,'Data Vlaue (Cr)'!$C:$FB,99)</f>
        <v>4459</v>
      </c>
      <c r="L147" s="81">
        <f>VLOOKUP(B147,'OI(Value)'!$A$7:$C$209,3,0)</f>
        <v>-107</v>
      </c>
      <c r="M147" s="33">
        <f t="shared" si="52"/>
        <v>-2.3996411751513791</v>
      </c>
      <c r="N147" s="5">
        <f>VLOOKUP($B147,'Data Vlaue (Cr)'!$C:$FB,67)</f>
        <v>3496</v>
      </c>
      <c r="O147" s="5">
        <f>VLOOKUP($B147,'Data Vlaue (Cr)'!$C:$FB,68)</f>
        <v>4312</v>
      </c>
      <c r="P147" s="5">
        <f t="shared" si="53"/>
        <v>-23.340961098398168</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NHPC</v>
      </c>
      <c r="C148" s="4">
        <f>VLOOKUP($B148,'Data shares'!$C:$FB,7)</f>
        <v>85.02</v>
      </c>
      <c r="D148" s="82">
        <f>VLOOKUP($B148,'Data shares'!$C:$FB,98)</f>
        <v>93964800</v>
      </c>
      <c r="E148" s="165">
        <f>VLOOKUP(B148,'Snapshot (Volume)'!$A$7:$G$168,7,0)</f>
        <v>93913600</v>
      </c>
      <c r="F148" s="165">
        <f t="shared" si="49"/>
        <v>51200</v>
      </c>
      <c r="G148" s="166">
        <f t="shared" si="50"/>
        <v>5.4518195447730681E-4</v>
      </c>
      <c r="H148" s="165">
        <f>VLOOKUP($B148,'Data shares'!$C:$FB,66)</f>
        <v>48243200</v>
      </c>
      <c r="I148" s="165">
        <f>VLOOKUP($B148,'Data shares'!$C:$FB,67)</f>
        <v>85971200</v>
      </c>
      <c r="J148" s="81">
        <f t="shared" si="51"/>
        <v>-43.884463634333358</v>
      </c>
      <c r="K148" s="5">
        <f>VLOOKUP($B148,'Data Vlaue (Cr)'!$C:$FB,99)</f>
        <v>800</v>
      </c>
      <c r="L148" s="81">
        <f>VLOOKUP(B148,'OI(Value)'!$A$7:$C$209,3,0)</f>
        <v>0</v>
      </c>
      <c r="M148" s="33">
        <f t="shared" si="52"/>
        <v>0</v>
      </c>
      <c r="N148" s="5">
        <f>VLOOKUP($B148,'Data Vlaue (Cr)'!$C:$FB,67)</f>
        <v>411</v>
      </c>
      <c r="O148" s="5">
        <f>VLOOKUP($B148,'Data Vlaue (Cr)'!$C:$FB,68)</f>
        <v>732</v>
      </c>
      <c r="P148" s="5">
        <f t="shared" si="53"/>
        <v>-78.102189781021906</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v>
      </c>
      <c r="C149" s="4">
        <f>VLOOKUP($B149,'Data shares'!$C:$FB,7)</f>
        <v>25966.05</v>
      </c>
      <c r="D149" s="82">
        <f>VLOOKUP($B149,'Data shares'!$C:$FB,98)</f>
        <v>624042625</v>
      </c>
      <c r="E149" s="165">
        <f>VLOOKUP(B149,'Snapshot (Volume)'!$A$7:$G$168,7,0)</f>
        <v>598496825</v>
      </c>
      <c r="F149" s="165">
        <f t="shared" si="49"/>
        <v>25545800</v>
      </c>
      <c r="G149" s="166">
        <f t="shared" si="50"/>
        <v>4.2683267367374926E-2</v>
      </c>
      <c r="H149" s="165">
        <f>VLOOKUP($B149,'Data shares'!$C:$FB,66)</f>
        <v>9833357025</v>
      </c>
      <c r="I149" s="165">
        <f>VLOOKUP($B149,'Data shares'!$C:$FB,67)</f>
        <v>9111358500</v>
      </c>
      <c r="J149" s="81">
        <f t="shared" si="51"/>
        <v>7.9241588946368431</v>
      </c>
      <c r="K149" s="5">
        <f>VLOOKUP($B149,'Data Vlaue (Cr)'!$C:$FB,99)</f>
        <v>1623353</v>
      </c>
      <c r="L149" s="81">
        <f>VLOOKUP(B149,'OI(Value)'!$A$7:$C$209,3,0)</f>
        <v>66454</v>
      </c>
      <c r="M149" s="33">
        <f t="shared" si="52"/>
        <v>4.0936259704451219</v>
      </c>
      <c r="N149" s="5">
        <f>VLOOKUP($B149,'Data Vlaue (Cr)'!$C:$FB,67)</f>
        <v>25580003</v>
      </c>
      <c r="O149" s="5">
        <f>VLOOKUP($B149,'Data Vlaue (Cr)'!$C:$FB,68)</f>
        <v>23701832</v>
      </c>
      <c r="P149" s="5">
        <f t="shared" si="53"/>
        <v>7.3423408120788718</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NIFTYNXT50</v>
      </c>
      <c r="C150" s="4">
        <f>VLOOKUP($B150,'Data shares'!$C:$FB,7)</f>
        <v>69612.2</v>
      </c>
      <c r="D150" s="82">
        <f>VLOOKUP($B150,'Data shares'!$C:$FB,98)</f>
        <v>63025</v>
      </c>
      <c r="E150" s="165">
        <f>VLOOKUP(B150,'Snapshot (Volume)'!$A$7:$G$168,7,0)</f>
        <v>48775</v>
      </c>
      <c r="F150" s="165">
        <f t="shared" si="49"/>
        <v>14250</v>
      </c>
      <c r="G150" s="166">
        <f t="shared" si="50"/>
        <v>0.29215786776012304</v>
      </c>
      <c r="H150" s="165">
        <f>VLOOKUP($B150,'Data shares'!$C:$FB,66)</f>
        <v>80000</v>
      </c>
      <c r="I150" s="165">
        <f>VLOOKUP($B150,'Data shares'!$C:$FB,67)</f>
        <v>55950</v>
      </c>
      <c r="J150" s="81">
        <f t="shared" si="51"/>
        <v>42.984807864164431</v>
      </c>
      <c r="K150" s="5">
        <f>VLOOKUP($B150,'Data Vlaue (Cr)'!$C:$FB,99)</f>
        <v>438</v>
      </c>
      <c r="L150" s="81">
        <f>VLOOKUP(B150,'OI(Value)'!$A$7:$C$209,3,0)</f>
        <v>99</v>
      </c>
      <c r="M150" s="33">
        <f t="shared" si="52"/>
        <v>22.602739726027394</v>
      </c>
      <c r="N150" s="5">
        <f>VLOOKUP($B150,'Data Vlaue (Cr)'!$C:$FB,67)</f>
        <v>557</v>
      </c>
      <c r="O150" s="5">
        <f>VLOOKUP($B150,'Data Vlaue (Cr)'!$C:$FB,68)</f>
        <v>389</v>
      </c>
      <c r="P150" s="5">
        <f t="shared" si="53"/>
        <v>30.16157989228007</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Metals</v>
      </c>
      <c r="B151" s="79" t="str">
        <f>'Data shares'!C146</f>
        <v>NMDC</v>
      </c>
      <c r="C151" s="4">
        <f>VLOOKUP($B151,'Data shares'!$C:$FB,7)</f>
        <v>74.37</v>
      </c>
      <c r="D151" s="82">
        <f>VLOOKUP($B151,'Data shares'!$C:$FB,98)</f>
        <v>566298000</v>
      </c>
      <c r="E151" s="165">
        <f>VLOOKUP(B151,'Snapshot (Volume)'!$A$7:$G$168,7,0)</f>
        <v>558873000</v>
      </c>
      <c r="F151" s="165">
        <f t="shared" si="49"/>
        <v>7425000</v>
      </c>
      <c r="G151" s="166">
        <f t="shared" si="50"/>
        <v>1.3285665974201652E-2</v>
      </c>
      <c r="H151" s="165">
        <f>VLOOKUP($B151,'Data shares'!$C:$FB,66)</f>
        <v>336298500</v>
      </c>
      <c r="I151" s="165">
        <f>VLOOKUP($B151,'Data shares'!$C:$FB,67)</f>
        <v>286848000</v>
      </c>
      <c r="J151" s="81">
        <f t="shared" si="51"/>
        <v>17.239269578313255</v>
      </c>
      <c r="K151" s="5">
        <f>VLOOKUP($B151,'Data Vlaue (Cr)'!$C:$FB,99)</f>
        <v>4215</v>
      </c>
      <c r="L151" s="81">
        <f>VLOOKUP(B151,'OI(Value)'!$A$7:$C$209,3,0)</f>
        <v>55</v>
      </c>
      <c r="M151" s="33">
        <f t="shared" si="52"/>
        <v>1.3048635824436536</v>
      </c>
      <c r="N151" s="5">
        <f>VLOOKUP($B151,'Data Vlaue (Cr)'!$C:$FB,67)</f>
        <v>2503</v>
      </c>
      <c r="O151" s="5">
        <f>VLOOKUP($B151,'Data Vlaue (Cr)'!$C:$FB,68)</f>
        <v>2135</v>
      </c>
      <c r="P151" s="5">
        <f t="shared" si="53"/>
        <v>14.702357171394326</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Power</v>
      </c>
      <c r="B152" s="79" t="str">
        <f>'Data shares'!C147</f>
        <v>NTPC</v>
      </c>
      <c r="C152" s="4">
        <f>VLOOKUP($B152,'Data shares'!$C:$FB,7)</f>
        <v>341.75</v>
      </c>
      <c r="D152" s="82">
        <f>VLOOKUP($B152,'Data shares'!$C:$FB,98)</f>
        <v>172006500</v>
      </c>
      <c r="E152" s="165">
        <f>VLOOKUP(B152,'Snapshot (Volume)'!$A$7:$G$168,7,0)</f>
        <v>170431500</v>
      </c>
      <c r="F152" s="165">
        <f t="shared" si="49"/>
        <v>1575000</v>
      </c>
      <c r="G152" s="166">
        <f t="shared" si="50"/>
        <v>9.2412494169211677E-3</v>
      </c>
      <c r="H152" s="165">
        <f>VLOOKUP($B152,'Data shares'!$C:$FB,66)</f>
        <v>131401500</v>
      </c>
      <c r="I152" s="165">
        <f>VLOOKUP($B152,'Data shares'!$C:$FB,67)</f>
        <v>133375500</v>
      </c>
      <c r="J152" s="81">
        <f t="shared" si="51"/>
        <v>-1.4800319398990069</v>
      </c>
      <c r="K152" s="5">
        <f>VLOOKUP($B152,'Data Vlaue (Cr)'!$C:$FB,99)</f>
        <v>5878</v>
      </c>
      <c r="L152" s="81">
        <f>VLOOKUP(B152,'OI(Value)'!$A$7:$C$209,3,0)</f>
        <v>54</v>
      </c>
      <c r="M152" s="33">
        <f t="shared" si="52"/>
        <v>0.91867982306907103</v>
      </c>
      <c r="N152" s="5">
        <f>VLOOKUP($B152,'Data Vlaue (Cr)'!$C:$FB,67)</f>
        <v>4491</v>
      </c>
      <c r="O152" s="5">
        <f>VLOOKUP($B152,'Data Vlaue (Cr)'!$C:$FB,68)</f>
        <v>4558</v>
      </c>
      <c r="P152" s="5">
        <f t="shared" si="53"/>
        <v>-1.4918726341572033</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Finance</v>
      </c>
      <c r="B153" s="79" t="str">
        <f>'Data shares'!C148</f>
        <v>NUVAMA</v>
      </c>
      <c r="C153" s="4">
        <f>VLOOKUP($B153,'Data shares'!$C:$FB,7)</f>
        <v>7420.5</v>
      </c>
      <c r="D153" s="82">
        <f>VLOOKUP($B153,'Data shares'!$C:$FB,98)</f>
        <v>1108800</v>
      </c>
      <c r="E153" s="165">
        <f>VLOOKUP(B153,'Snapshot (Volume)'!$A$7:$G$168,7,0)</f>
        <v>1165425</v>
      </c>
      <c r="F153" s="165">
        <f>D153-E153</f>
        <v>-56625</v>
      </c>
      <c r="G153" s="166">
        <f t="shared" si="50"/>
        <v>-4.8587425188236048E-2</v>
      </c>
      <c r="H153" s="165">
        <f>VLOOKUP($B153,'Data shares'!$C:$FB,66)</f>
        <v>3753450</v>
      </c>
      <c r="I153" s="165">
        <f>VLOOKUP($B153,'Data shares'!$C:$FB,67)</f>
        <v>2599275</v>
      </c>
      <c r="J153" s="81">
        <f t="shared" si="51"/>
        <v>44.403727962604954</v>
      </c>
      <c r="K153" s="5">
        <f>VLOOKUP($B153,'Data Vlaue (Cr)'!$C:$FB,99)</f>
        <v>822</v>
      </c>
      <c r="L153" s="81">
        <f>VLOOKUP(B153,'OI(Value)'!$A$7:$C$209,3,0)</f>
        <v>-42</v>
      </c>
      <c r="M153" s="33">
        <f t="shared" si="52"/>
        <v>-5.1094890510948909</v>
      </c>
      <c r="N153" s="5">
        <f>VLOOKUP($B153,'Data Vlaue (Cr)'!$C:$FB,67)</f>
        <v>2784</v>
      </c>
      <c r="O153" s="5">
        <f>VLOOKUP($B153,'Data Vlaue (Cr)'!$C:$FB,68)</f>
        <v>1928</v>
      </c>
      <c r="P153" s="5">
        <f>(N153-O153)/N153*100</f>
        <v>30.747126436781606</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New_Age</v>
      </c>
      <c r="B154" s="79" t="str">
        <f>'Data shares'!C149</f>
        <v>NYKAA</v>
      </c>
      <c r="C154" s="4">
        <f>VLOOKUP($B154,'Data shares'!$C:$FB,7)</f>
        <v>255.14</v>
      </c>
      <c r="D154" s="82">
        <f>VLOOKUP($B154,'Data shares'!$C:$FB,98)</f>
        <v>90043750</v>
      </c>
      <c r="E154" s="165">
        <f>VLOOKUP(B154,'Snapshot (Volume)'!$A$7:$G$168,7,0)</f>
        <v>94671875</v>
      </c>
      <c r="F154" s="165">
        <f t="shared" ref="F154:F166" si="54">D154-E154</f>
        <v>-4628125</v>
      </c>
      <c r="G154" s="166">
        <f t="shared" ref="G154:G166" si="55">F154/E154</f>
        <v>-4.8885954778016175E-2</v>
      </c>
      <c r="H154" s="165">
        <f>VLOOKUP($B154,'Data shares'!$C:$FB,66)</f>
        <v>78521875</v>
      </c>
      <c r="I154" s="165">
        <f>VLOOKUP($B154,'Data shares'!$C:$FB,67)</f>
        <v>82984375</v>
      </c>
      <c r="J154" s="81">
        <f t="shared" ref="J154:J166" si="56">(H154-I154)/I154*100</f>
        <v>-5.3775183581246475</v>
      </c>
      <c r="K154" s="5">
        <f>VLOOKUP($B154,'Data Vlaue (Cr)'!$C:$FB,99)</f>
        <v>2303</v>
      </c>
      <c r="L154" s="81">
        <f>VLOOKUP(B154,'OI(Value)'!$A$7:$C$209,3,0)</f>
        <v>-118</v>
      </c>
      <c r="M154" s="33">
        <f t="shared" ref="M154:M166" si="57">L154/K154*100</f>
        <v>-5.1237516283108988</v>
      </c>
      <c r="N154" s="5">
        <f>VLOOKUP($B154,'Data Vlaue (Cr)'!$C:$FB,67)</f>
        <v>2009</v>
      </c>
      <c r="O154" s="5">
        <f>VLOOKUP($B154,'Data Vlaue (Cr)'!$C:$FB,68)</f>
        <v>2123</v>
      </c>
      <c r="P154" s="5">
        <f t="shared" ref="P154:P161" si="58">(N154-O154)/N154*100</f>
        <v>-5.674464907914385</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Realty</v>
      </c>
      <c r="B155" s="79" t="str">
        <f>'Data shares'!C150</f>
        <v>OBEROIRLTY</v>
      </c>
      <c r="C155" s="4">
        <f>VLOOKUP($B155,'Data shares'!$C:$FB,7)</f>
        <v>1736</v>
      </c>
      <c r="D155" s="82">
        <f>VLOOKUP($B155,'Data shares'!$C:$FB,98)</f>
        <v>8438150</v>
      </c>
      <c r="E155" s="165">
        <f>VLOOKUP(B155,'Snapshot (Volume)'!$A$7:$G$168,7,0)</f>
        <v>8649200</v>
      </c>
      <c r="F155" s="165">
        <f t="shared" si="54"/>
        <v>-211050</v>
      </c>
      <c r="G155" s="166">
        <f t="shared" si="55"/>
        <v>-2.4401100679831662E-2</v>
      </c>
      <c r="H155" s="165">
        <f>VLOOKUP($B155,'Data shares'!$C:$FB,66)</f>
        <v>15643950</v>
      </c>
      <c r="I155" s="165">
        <f>VLOOKUP($B155,'Data shares'!$C:$FB,67)</f>
        <v>9430400</v>
      </c>
      <c r="J155" s="81">
        <f t="shared" si="56"/>
        <v>65.888509501187656</v>
      </c>
      <c r="K155" s="5">
        <f>VLOOKUP($B155,'Data Vlaue (Cr)'!$C:$FB,99)</f>
        <v>1463</v>
      </c>
      <c r="L155" s="81">
        <f>VLOOKUP(B155,'OI(Value)'!$A$7:$C$209,3,0)</f>
        <v>-37</v>
      </c>
      <c r="M155" s="33">
        <f t="shared" si="57"/>
        <v>-2.5290498974709501</v>
      </c>
      <c r="N155" s="5">
        <f>VLOOKUP($B155,'Data Vlaue (Cr)'!$C:$FB,67)</f>
        <v>2712</v>
      </c>
      <c r="O155" s="5">
        <f>VLOOKUP($B155,'Data Vlaue (Cr)'!$C:$FB,68)</f>
        <v>1635</v>
      </c>
      <c r="P155" s="5">
        <f t="shared" si="58"/>
        <v>39.712389380530972</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Technology</v>
      </c>
      <c r="B156" s="79" t="str">
        <f>'Data shares'!C151</f>
        <v>OFSS</v>
      </c>
      <c r="C156" s="4">
        <f>VLOOKUP($B156,'Data shares'!$C:$FB,7)</f>
        <v>8695.5</v>
      </c>
      <c r="D156" s="82">
        <f>VLOOKUP($B156,'Data shares'!$C:$FB,98)</f>
        <v>2650650</v>
      </c>
      <c r="E156" s="165">
        <f>VLOOKUP(B156,'Snapshot (Volume)'!$A$7:$G$168,7,0)</f>
        <v>3006300</v>
      </c>
      <c r="F156" s="165">
        <f t="shared" si="54"/>
        <v>-355650</v>
      </c>
      <c r="G156" s="166">
        <f t="shared" si="55"/>
        <v>-0.11830156670990918</v>
      </c>
      <c r="H156" s="165">
        <f>VLOOKUP($B156,'Data shares'!$C:$FB,66)</f>
        <v>3850200</v>
      </c>
      <c r="I156" s="165">
        <f>VLOOKUP($B156,'Data shares'!$C:$FB,67)</f>
        <v>2938875</v>
      </c>
      <c r="J156" s="81">
        <f t="shared" si="56"/>
        <v>31.009314788822252</v>
      </c>
      <c r="K156" s="5">
        <f>VLOOKUP($B156,'Data Vlaue (Cr)'!$C:$FB,99)</f>
        <v>2312</v>
      </c>
      <c r="L156" s="81">
        <f>VLOOKUP(B156,'OI(Value)'!$A$7:$C$209,3,0)</f>
        <v>-310</v>
      </c>
      <c r="M156" s="33">
        <f t="shared" si="57"/>
        <v>-13.408304498269896</v>
      </c>
      <c r="N156" s="5">
        <f>VLOOKUP($B156,'Data Vlaue (Cr)'!$C:$FB,67)</f>
        <v>3358</v>
      </c>
      <c r="O156" s="5">
        <f>VLOOKUP($B156,'Data Vlaue (Cr)'!$C:$FB,68)</f>
        <v>2563</v>
      </c>
      <c r="P156" s="5">
        <f t="shared" si="58"/>
        <v>23.674806432400239</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OIL</v>
      </c>
      <c r="C157" s="4">
        <f>VLOOKUP($B157,'Data shares'!$C:$FB,7)</f>
        <v>422.35</v>
      </c>
      <c r="D157" s="82">
        <f>VLOOKUP($B157,'Data shares'!$C:$FB,98)</f>
        <v>19383000</v>
      </c>
      <c r="E157" s="165">
        <f>VLOOKUP(B157,'Snapshot (Volume)'!$A$7:$G$168,7,0)</f>
        <v>21086800</v>
      </c>
      <c r="F157" s="165">
        <f t="shared" si="54"/>
        <v>-1703800</v>
      </c>
      <c r="G157" s="166">
        <f t="shared" si="55"/>
        <v>-8.0799362634444302E-2</v>
      </c>
      <c r="H157" s="165">
        <f>VLOOKUP($B157,'Data shares'!$C:$FB,66)</f>
        <v>18734800</v>
      </c>
      <c r="I157" s="165">
        <f>VLOOKUP($B157,'Data shares'!$C:$FB,67)</f>
        <v>31981600</v>
      </c>
      <c r="J157" s="81">
        <f t="shared" si="56"/>
        <v>-41.420066538259498</v>
      </c>
      <c r="K157" s="5">
        <f>VLOOKUP($B157,'Data Vlaue (Cr)'!$C:$FB,99)</f>
        <v>819</v>
      </c>
      <c r="L157" s="81">
        <f>VLOOKUP(B157,'OI(Value)'!$A$7:$C$209,3,0)</f>
        <v>-72</v>
      </c>
      <c r="M157" s="33">
        <f t="shared" si="57"/>
        <v>-8.791208791208792</v>
      </c>
      <c r="N157" s="5">
        <f>VLOOKUP($B157,'Data Vlaue (Cr)'!$C:$FB,67)</f>
        <v>792</v>
      </c>
      <c r="O157" s="5">
        <f>VLOOKUP($B157,'Data Vlaue (Cr)'!$C:$FB,68)</f>
        <v>1351</v>
      </c>
      <c r="P157" s="5">
        <f t="shared" si="58"/>
        <v>-70.580808080808083</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ONGC</v>
      </c>
      <c r="C158" s="4">
        <f>VLOOKUP($B158,'Data shares'!$C:$FB,7)</f>
        <v>253.27</v>
      </c>
      <c r="D158" s="82">
        <f>VLOOKUP($B158,'Data shares'!$C:$FB,98)</f>
        <v>214229250</v>
      </c>
      <c r="E158" s="165">
        <f>VLOOKUP(B158,'Snapshot (Volume)'!$A$7:$G$168,7,0)</f>
        <v>219127500</v>
      </c>
      <c r="F158" s="165">
        <f t="shared" si="54"/>
        <v>-4898250</v>
      </c>
      <c r="G158" s="166">
        <f t="shared" si="55"/>
        <v>-2.2353424376219323E-2</v>
      </c>
      <c r="H158" s="165">
        <f>VLOOKUP($B158,'Data shares'!$C:$FB,66)</f>
        <v>174303000</v>
      </c>
      <c r="I158" s="165">
        <f>VLOOKUP($B158,'Data shares'!$C:$FB,67)</f>
        <v>246939750</v>
      </c>
      <c r="J158" s="81">
        <f t="shared" si="56"/>
        <v>-29.414766152472417</v>
      </c>
      <c r="K158" s="5">
        <f>VLOOKUP($B158,'Data Vlaue (Cr)'!$C:$FB,99)</f>
        <v>5418</v>
      </c>
      <c r="L158" s="81">
        <f>VLOOKUP(B158,'OI(Value)'!$A$7:$C$209,3,0)</f>
        <v>-124</v>
      </c>
      <c r="M158" s="33">
        <f t="shared" si="57"/>
        <v>-2.2886674049464748</v>
      </c>
      <c r="N158" s="5">
        <f>VLOOKUP($B158,'Data Vlaue (Cr)'!$C:$FB,67)</f>
        <v>4408</v>
      </c>
      <c r="O158" s="5">
        <f>VLOOKUP($B158,'Data Vlaue (Cr)'!$C:$FB,68)</f>
        <v>6246</v>
      </c>
      <c r="P158" s="5">
        <f t="shared" si="58"/>
        <v>-41.696914700544461</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Textile</v>
      </c>
      <c r="B159" s="79" t="str">
        <f>'Data shares'!C154</f>
        <v>PAGEIND</v>
      </c>
      <c r="C159" s="4">
        <f>VLOOKUP($B159,'Data shares'!$C:$FB,7)</f>
        <v>40985</v>
      </c>
      <c r="D159" s="82">
        <f>VLOOKUP($B159,'Data shares'!$C:$FB,98)</f>
        <v>357885</v>
      </c>
      <c r="E159" s="165">
        <f>VLOOKUP(B159,'Snapshot (Volume)'!$A$7:$G$168,7,0)</f>
        <v>383160</v>
      </c>
      <c r="F159" s="165">
        <f t="shared" si="54"/>
        <v>-25275</v>
      </c>
      <c r="G159" s="166">
        <f t="shared" si="55"/>
        <v>-6.5964610084559977E-2</v>
      </c>
      <c r="H159" s="165">
        <f>VLOOKUP($B159,'Data shares'!$C:$FB,66)</f>
        <v>422865</v>
      </c>
      <c r="I159" s="165">
        <f>VLOOKUP($B159,'Data shares'!$C:$FB,67)</f>
        <v>473700</v>
      </c>
      <c r="J159" s="81">
        <f t="shared" si="56"/>
        <v>-10.731475617479418</v>
      </c>
      <c r="K159" s="5">
        <f>VLOOKUP($B159,'Data Vlaue (Cr)'!$C:$FB,99)</f>
        <v>1471</v>
      </c>
      <c r="L159" s="81">
        <f>VLOOKUP(B159,'OI(Value)'!$A$7:$C$209,3,0)</f>
        <v>-104</v>
      </c>
      <c r="M159" s="33">
        <f t="shared" si="57"/>
        <v>-7.0700203942895987</v>
      </c>
      <c r="N159" s="5">
        <f>VLOOKUP($B159,'Data Vlaue (Cr)'!$C:$FB,67)</f>
        <v>1738</v>
      </c>
      <c r="O159" s="5">
        <f>VLOOKUP($B159,'Data Vlaue (Cr)'!$C:$FB,68)</f>
        <v>1947</v>
      </c>
      <c r="P159" s="5">
        <f t="shared" si="58"/>
        <v>-12.025316455696203</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FMCG</v>
      </c>
      <c r="B160" s="79" t="str">
        <f>'Data shares'!C155</f>
        <v>PATANJALI</v>
      </c>
      <c r="C160" s="4">
        <f>VLOOKUP($B160,'Data shares'!$C:$FB,7)</f>
        <v>590.5</v>
      </c>
      <c r="D160" s="82">
        <f>VLOOKUP($B160,'Data shares'!$C:$FB,98)</f>
        <v>41664600</v>
      </c>
      <c r="E160" s="165">
        <f>VLOOKUP(B160,'Snapshot (Volume)'!$A$7:$G$168,7,0)</f>
        <v>42201000</v>
      </c>
      <c r="F160" s="165">
        <f t="shared" si="54"/>
        <v>-536400</v>
      </c>
      <c r="G160" s="166">
        <f t="shared" si="55"/>
        <v>-1.2710599274898699E-2</v>
      </c>
      <c r="H160" s="165">
        <f>VLOOKUP($B160,'Data shares'!$C:$FB,66)</f>
        <v>36004500</v>
      </c>
      <c r="I160" s="165">
        <f>VLOOKUP($B160,'Data shares'!$C:$FB,67)</f>
        <v>23911200</v>
      </c>
      <c r="J160" s="81">
        <f t="shared" si="56"/>
        <v>50.575880758807592</v>
      </c>
      <c r="K160" s="5">
        <f>VLOOKUP($B160,'Data Vlaue (Cr)'!$C:$FB,99)</f>
        <v>2462</v>
      </c>
      <c r="L160" s="81">
        <f>VLOOKUP(B160,'OI(Value)'!$A$7:$C$209,3,0)</f>
        <v>-32</v>
      </c>
      <c r="M160" s="33">
        <f t="shared" si="57"/>
        <v>-1.2997562956945572</v>
      </c>
      <c r="N160" s="5">
        <f>VLOOKUP($B160,'Data Vlaue (Cr)'!$C:$FB,67)</f>
        <v>2128</v>
      </c>
      <c r="O160" s="5">
        <f>VLOOKUP($B160,'Data Vlaue (Cr)'!$C:$FB,68)</f>
        <v>1413</v>
      </c>
      <c r="P160" s="5">
        <f t="shared" si="58"/>
        <v>33.599624060150376</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New_Age</v>
      </c>
      <c r="B161" s="79" t="str">
        <f>'Data shares'!C156</f>
        <v>PAYTM</v>
      </c>
      <c r="C161" s="4">
        <f>VLOOKUP($B161,'Data shares'!$C:$FB,7)</f>
        <v>1306.2</v>
      </c>
      <c r="D161" s="82">
        <f>VLOOKUP($B161,'Data shares'!$C:$FB,98)</f>
        <v>36784325</v>
      </c>
      <c r="E161" s="165">
        <f>VLOOKUP(B161,'Snapshot (Volume)'!$A$7:$G$168,7,0)</f>
        <v>37195400</v>
      </c>
      <c r="F161" s="165">
        <f t="shared" si="54"/>
        <v>-411075</v>
      </c>
      <c r="G161" s="166">
        <f t="shared" si="55"/>
        <v>-1.1051769842507407E-2</v>
      </c>
      <c r="H161" s="165">
        <f>VLOOKUP($B161,'Data shares'!$C:$FB,66)</f>
        <v>36044825</v>
      </c>
      <c r="I161" s="165">
        <f>VLOOKUP($B161,'Data shares'!$C:$FB,67)</f>
        <v>30454350</v>
      </c>
      <c r="J161" s="81">
        <f t="shared" si="56"/>
        <v>18.356901395038804</v>
      </c>
      <c r="K161" s="5">
        <f>VLOOKUP($B161,'Data Vlaue (Cr)'!$C:$FB,99)</f>
        <v>4797</v>
      </c>
      <c r="L161" s="81">
        <f>VLOOKUP(B161,'OI(Value)'!$A$7:$C$209,3,0)</f>
        <v>-54</v>
      </c>
      <c r="M161" s="33">
        <f t="shared" si="57"/>
        <v>-1.125703564727955</v>
      </c>
      <c r="N161" s="5">
        <f>VLOOKUP($B161,'Data Vlaue (Cr)'!$C:$FB,67)</f>
        <v>4701</v>
      </c>
      <c r="O161" s="5">
        <f>VLOOKUP($B161,'Data Vlaue (Cr)'!$C:$FB,68)</f>
        <v>3972</v>
      </c>
      <c r="P161" s="5">
        <f t="shared" si="58"/>
        <v>15.507338864071475</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Technology</v>
      </c>
      <c r="B162" s="79" t="str">
        <f>'Data shares'!C157</f>
        <v>PERSISTENT</v>
      </c>
      <c r="C162" s="4">
        <f>VLOOKUP($B162,'Data shares'!$C:$FB,7)</f>
        <v>5878.1</v>
      </c>
      <c r="D162" s="82">
        <f>VLOOKUP($B162,'Data shares'!$C:$FB,98)</f>
        <v>5535200</v>
      </c>
      <c r="E162" s="165">
        <f>VLOOKUP(B162,'Snapshot (Volume)'!$A$7:$G$168,7,0)</f>
        <v>6143600</v>
      </c>
      <c r="F162" s="165">
        <f t="shared" si="54"/>
        <v>-608400</v>
      </c>
      <c r="G162" s="166">
        <f t="shared" si="55"/>
        <v>-9.9029884758122272E-2</v>
      </c>
      <c r="H162" s="165">
        <f>VLOOKUP($B162,'Data shares'!$C:$FB,66)</f>
        <v>6238000</v>
      </c>
      <c r="I162" s="165">
        <f>VLOOKUP($B162,'Data shares'!$C:$FB,67)</f>
        <v>8168000</v>
      </c>
      <c r="J162" s="81">
        <f t="shared" si="56"/>
        <v>-23.628795298726736</v>
      </c>
      <c r="K162" s="5">
        <f>VLOOKUP($B162,'Data Vlaue (Cr)'!$C:$FB,99)</f>
        <v>3256</v>
      </c>
      <c r="L162" s="81">
        <f>VLOOKUP(B162,'OI(Value)'!$A$7:$C$209,3,0)</f>
        <v>-358</v>
      </c>
      <c r="M162" s="33">
        <f t="shared" si="57"/>
        <v>-10.995085995085994</v>
      </c>
      <c r="N162" s="5">
        <f>VLOOKUP($B162,'Data Vlaue (Cr)'!$C:$FB,67)</f>
        <v>3669</v>
      </c>
      <c r="O162" s="5">
        <f>VLOOKUP($B162,'Data Vlaue (Cr)'!$C:$FB,68)</f>
        <v>4805</v>
      </c>
      <c r="P162" s="5">
        <f>(N162-O162)/N162*100</f>
        <v>-30.962115017715995</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Oil_Gas</v>
      </c>
      <c r="B163" s="79" t="str">
        <f>'Data shares'!C158</f>
        <v>PETRONET</v>
      </c>
      <c r="C163" s="4">
        <f>VLOOKUP($B163,'Data shares'!$C:$FB,7)</f>
        <v>280.10000000000002</v>
      </c>
      <c r="D163" s="82">
        <f>VLOOKUP($B163,'Data shares'!$C:$FB,98)</f>
        <v>76120200</v>
      </c>
      <c r="E163" s="165">
        <f>VLOOKUP(B163,'Snapshot (Volume)'!$A$7:$G$168,7,0)</f>
        <v>74097000</v>
      </c>
      <c r="F163" s="165">
        <f t="shared" si="54"/>
        <v>2023200</v>
      </c>
      <c r="G163" s="166">
        <f t="shared" si="55"/>
        <v>2.7304749180128752E-2</v>
      </c>
      <c r="H163" s="165">
        <f>VLOOKUP($B163,'Data shares'!$C:$FB,66)</f>
        <v>46787400</v>
      </c>
      <c r="I163" s="165">
        <f>VLOOKUP($B163,'Data shares'!$C:$FB,67)</f>
        <v>55139400</v>
      </c>
      <c r="J163" s="81">
        <f t="shared" si="56"/>
        <v>-15.147063624196127</v>
      </c>
      <c r="K163" s="5">
        <f>VLOOKUP($B163,'Data Vlaue (Cr)'!$C:$FB,99)</f>
        <v>2134</v>
      </c>
      <c r="L163" s="81">
        <f>VLOOKUP(B163,'OI(Value)'!$A$7:$C$209,3,0)</f>
        <v>57</v>
      </c>
      <c r="M163" s="33">
        <f t="shared" si="57"/>
        <v>2.671040299906279</v>
      </c>
      <c r="N163" s="5">
        <f>VLOOKUP($B163,'Data Vlaue (Cr)'!$C:$FB,67)</f>
        <v>1311</v>
      </c>
      <c r="O163" s="5">
        <f>VLOOKUP($B163,'Data Vlaue (Cr)'!$C:$FB,68)</f>
        <v>1546</v>
      </c>
      <c r="P163" s="5">
        <f>(N163-O163)/N163*100</f>
        <v>-17.925247902364607</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Finance</v>
      </c>
      <c r="B164" s="79" t="str">
        <f>'Data shares'!C159</f>
        <v>PFC</v>
      </c>
      <c r="C164" s="4">
        <f>VLOOKUP($B164,'Data shares'!$C:$FB,7)</f>
        <v>396.9</v>
      </c>
      <c r="D164" s="82">
        <f>VLOOKUP($B164,'Data shares'!$C:$FB,98)</f>
        <v>112448700</v>
      </c>
      <c r="E164" s="165">
        <f>VLOOKUP(B164,'Snapshot (Volume)'!$A$7:$G$168,7,0)</f>
        <v>113348300</v>
      </c>
      <c r="F164" s="165">
        <f t="shared" si="54"/>
        <v>-899600</v>
      </c>
      <c r="G164" s="166">
        <f t="shared" si="55"/>
        <v>-7.9365989609019288E-3</v>
      </c>
      <c r="H164" s="165">
        <f>VLOOKUP($B164,'Data shares'!$C:$FB,66)</f>
        <v>76833900</v>
      </c>
      <c r="I164" s="165">
        <f>VLOOKUP($B164,'Data shares'!$C:$FB,67)</f>
        <v>64529400</v>
      </c>
      <c r="J164" s="81">
        <f t="shared" si="56"/>
        <v>19.068052701559289</v>
      </c>
      <c r="K164" s="5">
        <f>VLOOKUP($B164,'Data Vlaue (Cr)'!$C:$FB,99)</f>
        <v>4466</v>
      </c>
      <c r="L164" s="81">
        <f>VLOOKUP(B164,'OI(Value)'!$A$7:$C$209,3,0)</f>
        <v>-36</v>
      </c>
      <c r="M164" s="33">
        <f t="shared" si="57"/>
        <v>-0.80609046126287509</v>
      </c>
      <c r="N164" s="5">
        <f>VLOOKUP($B164,'Data Vlaue (Cr)'!$C:$FB,67)</f>
        <v>3052</v>
      </c>
      <c r="O164" s="5">
        <f>VLOOKUP($B164,'Data Vlaue (Cr)'!$C:$FB,68)</f>
        <v>2563</v>
      </c>
      <c r="P164" s="5">
        <f>(N164-O164)/N164*100</f>
        <v>16.022280471821755</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1013.85</v>
      </c>
      <c r="D166" s="82">
        <f>VLOOKUP($B166,'Data shares'!$C:$FB,98)</f>
        <v>12435300</v>
      </c>
      <c r="E166" s="165" t="e">
        <f>VLOOKUP(B166,'Snapshot (Volume)'!$A$7:$G$168,7,0)</f>
        <v>#N/A</v>
      </c>
      <c r="F166" s="165" t="e">
        <f t="shared" si="54"/>
        <v>#N/A</v>
      </c>
      <c r="G166" s="166" t="e">
        <f t="shared" si="55"/>
        <v>#N/A</v>
      </c>
      <c r="H166" s="165">
        <f>VLOOKUP($B166,'Data shares'!$C:$FB,66)</f>
        <v>9630900</v>
      </c>
      <c r="I166" s="165">
        <f>VLOOKUP($B166,'Data shares'!$C:$FB,67)</f>
        <v>12165300</v>
      </c>
      <c r="J166" s="81">
        <f t="shared" si="56"/>
        <v>-20.833025079529481</v>
      </c>
      <c r="K166" s="5">
        <f>VLOOKUP($B166,'Data Vlaue (Cr)'!$C:$FB,99)</f>
        <v>1260</v>
      </c>
      <c r="L166" s="81">
        <f>VLOOKUP(B166,'OI(Value)'!$A$7:$C$209,3,0)</f>
        <v>-60</v>
      </c>
      <c r="M166" s="33">
        <f t="shared" si="57"/>
        <v>-4.7619047619047619</v>
      </c>
      <c r="N166" s="5">
        <f>VLOOKUP($B166,'Data Vlaue (Cr)'!$C:$FB,67)</f>
        <v>976</v>
      </c>
      <c r="O166" s="5">
        <f>VLOOKUP($B166,'Data Vlaue (Cr)'!$C:$FB,68)</f>
        <v>1233</v>
      </c>
      <c r="P166" s="5">
        <f>(N166-O166)/N166*100</f>
        <v>-26.331967213114755</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8" activePane="bottomLeft" state="frozen"/>
      <selection pane="bottomLeft" activeCell="A149" sqref="A149"/>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45957</v>
      </c>
      <c r="C6" s="71" t="s">
        <v>333</v>
      </c>
      <c r="D6" s="71" t="s">
        <v>328</v>
      </c>
      <c r="E6" s="66">
        <f>B6</f>
        <v>45957</v>
      </c>
      <c r="F6" s="71" t="s">
        <v>333</v>
      </c>
      <c r="G6" s="71" t="s">
        <v>328</v>
      </c>
      <c r="H6" s="66">
        <f>B6</f>
        <v>45957</v>
      </c>
      <c r="I6" s="71" t="s">
        <v>333</v>
      </c>
      <c r="J6" s="71" t="s">
        <v>328</v>
      </c>
      <c r="K6" s="66">
        <f>B6</f>
        <v>45957</v>
      </c>
      <c r="L6" s="71" t="s">
        <v>333</v>
      </c>
      <c r="M6" s="71" t="s">
        <v>328</v>
      </c>
      <c r="N6" s="71" t="s">
        <v>339</v>
      </c>
      <c r="O6" s="71" t="s">
        <v>328</v>
      </c>
    </row>
    <row r="7" spans="1:15" x14ac:dyDescent="0.25">
      <c r="A7" s="100" t="str">
        <f>'OI(Value)'!A7</f>
        <v>360ONE</v>
      </c>
      <c r="B7" s="82">
        <f>VLOOKUP(A7,'Data shares'!$C$2:$CV$216,98,0)</f>
        <v>5950500</v>
      </c>
      <c r="C7" s="82">
        <f>VLOOKUP(A7,'Data shares'!$C$2:$CX$216,100,0)</f>
        <v>-917000</v>
      </c>
      <c r="D7" s="141">
        <f>VLOOKUP(A7,'Data shares'!$C$2:$CY$539,101,0)</f>
        <v>-0.13350000000000001</v>
      </c>
      <c r="E7" s="86">
        <f>VLOOKUP($A7,'Data shares'!$C:$FA,74)</f>
        <v>2717000</v>
      </c>
      <c r="F7" s="86">
        <f>VLOOKUP($A7,'Data shares'!$C:$FA,76)</f>
        <v>-621500</v>
      </c>
      <c r="G7" s="87">
        <f>VLOOKUP(A7,'Data shares'!$C$2:$CA$216,77,0)</f>
        <v>-0.1862</v>
      </c>
      <c r="H7" s="86">
        <f>VLOOKUP($A7,'Data shares'!$C:$FA,90)</f>
        <v>1920500</v>
      </c>
      <c r="I7" s="86">
        <f>VLOOKUP($A7,'Data shares'!$C:$FA,92)</f>
        <v>-223000</v>
      </c>
      <c r="J7" s="87">
        <f>VLOOKUP($A7,'Data shares'!$C:$FA,93)</f>
        <v>-0.104</v>
      </c>
      <c r="K7" s="86">
        <f>VLOOKUP($A7,'Data shares'!$C:$FA,94)</f>
        <v>1313000</v>
      </c>
      <c r="L7" s="86">
        <f>VLOOKUP($A7,'Data shares'!$C:$FA,96)</f>
        <v>-72500</v>
      </c>
      <c r="M7" s="87">
        <f>VLOOKUP($A7,'Data shares'!$C:$FA,97)</f>
        <v>-5.2299999999999999E-2</v>
      </c>
      <c r="N7" s="86">
        <f>VLOOKUP($A7,'Data shares'!$C:$FA,78)</f>
        <v>729000</v>
      </c>
      <c r="O7" s="87">
        <f>VLOOKUP($A7,'Data shares'!$C:$FA,81)</f>
        <v>-0.52780000000000005</v>
      </c>
    </row>
    <row r="8" spans="1:15" x14ac:dyDescent="0.25">
      <c r="A8" s="100" t="str">
        <f>'OI(Value)'!A8</f>
        <v>ABB</v>
      </c>
      <c r="B8" s="82">
        <f>VLOOKUP(A8,'Data shares'!$C$2:$CV$216,98,0)</f>
        <v>4563375</v>
      </c>
      <c r="C8" s="82">
        <f>VLOOKUP(A8,'Data shares'!$C$2:$CX$216,100,0)</f>
        <v>-81750</v>
      </c>
      <c r="D8" s="141">
        <f>VLOOKUP(A8,'Data shares'!$C$2:$CY$539,101,0)</f>
        <v>-1.7600000000000001E-2</v>
      </c>
      <c r="E8" s="86">
        <f>VLOOKUP($A8,'Data shares'!$C:$FA,74)</f>
        <v>2613750</v>
      </c>
      <c r="F8" s="86">
        <f>VLOOKUP($A8,'Data shares'!$C:$FA,76)</f>
        <v>-4000</v>
      </c>
      <c r="G8" s="87">
        <f>VLOOKUP(A8,'Data shares'!$C$2:$CA$216,77,0)</f>
        <v>-1.5E-3</v>
      </c>
      <c r="H8" s="86">
        <f>VLOOKUP($A8,'Data shares'!$C:$FA,90)</f>
        <v>1118000</v>
      </c>
      <c r="I8" s="86">
        <f>VLOOKUP($A8,'Data shares'!$C:$FA,92)</f>
        <v>-82000</v>
      </c>
      <c r="J8" s="87">
        <f>VLOOKUP($A8,'Data shares'!$C:$FA,93)</f>
        <v>-6.83E-2</v>
      </c>
      <c r="K8" s="86">
        <f>VLOOKUP($A8,'Data shares'!$C:$FA,94)</f>
        <v>831625</v>
      </c>
      <c r="L8" s="86">
        <f>VLOOKUP($A8,'Data shares'!$C:$FA,96)</f>
        <v>4250</v>
      </c>
      <c r="M8" s="87">
        <f>VLOOKUP($A8,'Data shares'!$C:$FA,97)</f>
        <v>5.1000000000000004E-3</v>
      </c>
      <c r="N8" s="86">
        <f>VLOOKUP($A8,'Data shares'!$C:$FA,78)</f>
        <v>346000</v>
      </c>
      <c r="O8" s="87">
        <f>VLOOKUP($A8,'Data shares'!$C:$FA,81)</f>
        <v>-0.58579999999999999</v>
      </c>
    </row>
    <row r="9" spans="1:15" x14ac:dyDescent="0.25">
      <c r="A9" s="100" t="str">
        <f>'OI(Value)'!A9</f>
        <v>ABCAPITAL</v>
      </c>
      <c r="B9" s="82">
        <f>VLOOKUP(A9,'Data shares'!$C$2:$CV$216,98,0)</f>
        <v>108221000</v>
      </c>
      <c r="C9" s="82">
        <f>VLOOKUP(A9,'Data shares'!$C$2:$CX$216,100,0)</f>
        <v>136400</v>
      </c>
      <c r="D9" s="141">
        <f>VLOOKUP(A9,'Data shares'!$C$2:$CY$539,101,0)</f>
        <v>1.2999999999999999E-3</v>
      </c>
      <c r="E9" s="86">
        <f>VLOOKUP($A9,'Data shares'!$C:$FA,74)</f>
        <v>76483200</v>
      </c>
      <c r="F9" s="86">
        <f>VLOOKUP($A9,'Data shares'!$C:$FA,76)</f>
        <v>530100</v>
      </c>
      <c r="G9" s="87">
        <f>VLOOKUP(A9,'Data shares'!$C$2:$CA$216,77,0)</f>
        <v>7.0000000000000001E-3</v>
      </c>
      <c r="H9" s="86">
        <f>VLOOKUP($A9,'Data shares'!$C:$FA,90)</f>
        <v>17325900</v>
      </c>
      <c r="I9" s="86">
        <f>VLOOKUP($A9,'Data shares'!$C:$FA,92)</f>
        <v>-1010600</v>
      </c>
      <c r="J9" s="87">
        <f>VLOOKUP($A9,'Data shares'!$C:$FA,93)</f>
        <v>-5.5100000000000003E-2</v>
      </c>
      <c r="K9" s="86">
        <f>VLOOKUP($A9,'Data shares'!$C:$FA,94)</f>
        <v>14411900</v>
      </c>
      <c r="L9" s="86">
        <f>VLOOKUP($A9,'Data shares'!$C:$FA,96)</f>
        <v>616900</v>
      </c>
      <c r="M9" s="87">
        <f>VLOOKUP($A9,'Data shares'!$C:$FA,97)</f>
        <v>4.4699999999999997E-2</v>
      </c>
      <c r="N9" s="86">
        <f>VLOOKUP($A9,'Data shares'!$C:$FA,78)</f>
        <v>5167700</v>
      </c>
      <c r="O9" s="87">
        <f>VLOOKUP($A9,'Data shares'!$C:$FA,81)</f>
        <v>-0.79610000000000003</v>
      </c>
    </row>
    <row r="10" spans="1:15" x14ac:dyDescent="0.25">
      <c r="A10" s="100" t="str">
        <f>'OI(Value)'!A10</f>
        <v>ADANIENSOL</v>
      </c>
      <c r="B10" s="82">
        <f>VLOOKUP(A10,'Data shares'!$C$2:$CV$216,98,0)</f>
        <v>25488675</v>
      </c>
      <c r="C10" s="82">
        <f>VLOOKUP(A10,'Data shares'!$C$2:$CX$216,100,0)</f>
        <v>1370925</v>
      </c>
      <c r="D10" s="141">
        <f>VLOOKUP(A10,'Data shares'!$C$2:$CY$539,101,0)</f>
        <v>5.6800000000000003E-2</v>
      </c>
      <c r="E10" s="86">
        <f>VLOOKUP($A10,'Data shares'!$C:$FA,74)</f>
        <v>18511200</v>
      </c>
      <c r="F10" s="86">
        <f>VLOOKUP($A10,'Data shares'!$C:$FA,76)</f>
        <v>123525</v>
      </c>
      <c r="G10" s="87">
        <f>VLOOKUP(A10,'Data shares'!$C$2:$CA$216,77,0)</f>
        <v>6.7000000000000002E-3</v>
      </c>
      <c r="H10" s="86">
        <f>VLOOKUP($A10,'Data shares'!$C:$FA,90)</f>
        <v>4400325</v>
      </c>
      <c r="I10" s="86">
        <f>VLOOKUP($A10,'Data shares'!$C:$FA,92)</f>
        <v>789075</v>
      </c>
      <c r="J10" s="87">
        <f>VLOOKUP($A10,'Data shares'!$C:$FA,93)</f>
        <v>0.2185</v>
      </c>
      <c r="K10" s="86">
        <f>VLOOKUP($A10,'Data shares'!$C:$FA,94)</f>
        <v>2577150</v>
      </c>
      <c r="L10" s="86">
        <f>VLOOKUP($A10,'Data shares'!$C:$FA,96)</f>
        <v>458325</v>
      </c>
      <c r="M10" s="87">
        <f>VLOOKUP($A10,'Data shares'!$C:$FA,97)</f>
        <v>0.21629999999999999</v>
      </c>
      <c r="N10" s="86">
        <f>VLOOKUP($A10,'Data shares'!$C:$FA,78)</f>
        <v>1873125</v>
      </c>
      <c r="O10" s="87">
        <f>VLOOKUP($A10,'Data shares'!$C:$FA,81)</f>
        <v>-0.65229999999999999</v>
      </c>
    </row>
    <row r="11" spans="1:15" x14ac:dyDescent="0.25">
      <c r="A11" s="100" t="str">
        <f>'OI(Value)'!A11</f>
        <v>ADANIENT</v>
      </c>
      <c r="B11" s="82">
        <f>VLOOKUP(A11,'Data shares'!$C$2:$CV$216,98,0)</f>
        <v>26167500</v>
      </c>
      <c r="C11" s="82">
        <f>VLOOKUP(A11,'Data shares'!$C$2:$CX$216,100,0)</f>
        <v>-434100</v>
      </c>
      <c r="D11" s="141">
        <f>VLOOKUP(A11,'Data shares'!$C$2:$CY$539,101,0)</f>
        <v>-1.6299999999999999E-2</v>
      </c>
      <c r="E11" s="86">
        <f>VLOOKUP($A11,'Data shares'!$C:$FA,74)</f>
        <v>14862000</v>
      </c>
      <c r="F11" s="86">
        <f>VLOOKUP($A11,'Data shares'!$C:$FA,76)</f>
        <v>186000</v>
      </c>
      <c r="G11" s="87">
        <f>VLOOKUP(A11,'Data shares'!$C$2:$CA$216,77,0)</f>
        <v>1.2699999999999999E-2</v>
      </c>
      <c r="H11" s="86">
        <f>VLOOKUP($A11,'Data shares'!$C:$FA,90)</f>
        <v>6975600</v>
      </c>
      <c r="I11" s="86">
        <f>VLOOKUP($A11,'Data shares'!$C:$FA,92)</f>
        <v>-617400</v>
      </c>
      <c r="J11" s="87">
        <f>VLOOKUP($A11,'Data shares'!$C:$FA,93)</f>
        <v>-8.1299999999999997E-2</v>
      </c>
      <c r="K11" s="86">
        <f>VLOOKUP($A11,'Data shares'!$C:$FA,94)</f>
        <v>4329900</v>
      </c>
      <c r="L11" s="86">
        <f>VLOOKUP($A11,'Data shares'!$C:$FA,96)</f>
        <v>-2700</v>
      </c>
      <c r="M11" s="87">
        <f>VLOOKUP($A11,'Data shares'!$C:$FA,97)</f>
        <v>-5.9999999999999995E-4</v>
      </c>
      <c r="N11" s="86">
        <f>VLOOKUP($A11,'Data shares'!$C:$FA,78)</f>
        <v>2946900</v>
      </c>
      <c r="O11" s="87">
        <f>VLOOKUP($A11,'Data shares'!$C:$FA,81)</f>
        <v>-0.50160000000000005</v>
      </c>
    </row>
    <row r="12" spans="1:15" x14ac:dyDescent="0.25">
      <c r="A12" s="100" t="str">
        <f>'OI(Value)'!A12</f>
        <v>ADANIGREEN</v>
      </c>
      <c r="B12" s="82">
        <f>VLOOKUP(A12,'Data shares'!$C$2:$CV$216,98,0)</f>
        <v>37507800</v>
      </c>
      <c r="C12" s="82">
        <f>VLOOKUP(A12,'Data shares'!$C$2:$CX$216,100,0)</f>
        <v>-141000</v>
      </c>
      <c r="D12" s="141">
        <f>VLOOKUP(A12,'Data shares'!$C$2:$CY$539,101,0)</f>
        <v>-3.7000000000000002E-3</v>
      </c>
      <c r="E12" s="86">
        <f>VLOOKUP($A12,'Data shares'!$C:$FA,74)</f>
        <v>21489600</v>
      </c>
      <c r="F12" s="86">
        <f>VLOOKUP($A12,'Data shares'!$C:$FA,76)</f>
        <v>618600</v>
      </c>
      <c r="G12" s="87">
        <f>VLOOKUP(A12,'Data shares'!$C$2:$CA$216,77,0)</f>
        <v>2.9600000000000001E-2</v>
      </c>
      <c r="H12" s="86">
        <f>VLOOKUP($A12,'Data shares'!$C:$FA,90)</f>
        <v>10924200</v>
      </c>
      <c r="I12" s="86">
        <f>VLOOKUP($A12,'Data shares'!$C:$FA,92)</f>
        <v>-338400</v>
      </c>
      <c r="J12" s="87">
        <f>VLOOKUP($A12,'Data shares'!$C:$FA,93)</f>
        <v>-0.03</v>
      </c>
      <c r="K12" s="86">
        <f>VLOOKUP($A12,'Data shares'!$C:$FA,94)</f>
        <v>5094000</v>
      </c>
      <c r="L12" s="86">
        <f>VLOOKUP($A12,'Data shares'!$C:$FA,96)</f>
        <v>-421200</v>
      </c>
      <c r="M12" s="87">
        <f>VLOOKUP($A12,'Data shares'!$C:$FA,97)</f>
        <v>-7.6399999999999996E-2</v>
      </c>
      <c r="N12" s="86">
        <f>VLOOKUP($A12,'Data shares'!$C:$FA,78)</f>
        <v>3729000</v>
      </c>
      <c r="O12" s="87">
        <f>VLOOKUP($A12,'Data shares'!$C:$FA,81)</f>
        <v>-0.51170000000000004</v>
      </c>
    </row>
    <row r="13" spans="1:15" x14ac:dyDescent="0.25">
      <c r="A13" s="100" t="str">
        <f>'OI(Value)'!A13</f>
        <v>ADANIPORTS</v>
      </c>
      <c r="B13" s="82">
        <f>VLOOKUP(A13,'Data shares'!$C$2:$CV$216,98,0)</f>
        <v>38202350</v>
      </c>
      <c r="C13" s="82">
        <f>VLOOKUP(A13,'Data shares'!$C$2:$CX$216,100,0)</f>
        <v>-435575</v>
      </c>
      <c r="D13" s="141">
        <f>VLOOKUP(A13,'Data shares'!$C$2:$CY$539,101,0)</f>
        <v>-1.1299999999999999E-2</v>
      </c>
      <c r="E13" s="86">
        <f>VLOOKUP($A13,'Data shares'!$C:$FA,74)</f>
        <v>25032975</v>
      </c>
      <c r="F13" s="86">
        <f>VLOOKUP($A13,'Data shares'!$C:$FA,76)</f>
        <v>307800</v>
      </c>
      <c r="G13" s="87">
        <f>VLOOKUP(A13,'Data shares'!$C$2:$CA$216,77,0)</f>
        <v>1.24E-2</v>
      </c>
      <c r="H13" s="86">
        <f>VLOOKUP($A13,'Data shares'!$C:$FA,90)</f>
        <v>7723500</v>
      </c>
      <c r="I13" s="86">
        <f>VLOOKUP($A13,'Data shares'!$C:$FA,92)</f>
        <v>-772350</v>
      </c>
      <c r="J13" s="87">
        <f>VLOOKUP($A13,'Data shares'!$C:$FA,93)</f>
        <v>-9.0899999999999995E-2</v>
      </c>
      <c r="K13" s="86">
        <f>VLOOKUP($A13,'Data shares'!$C:$FA,94)</f>
        <v>5445875</v>
      </c>
      <c r="L13" s="86">
        <f>VLOOKUP($A13,'Data shares'!$C:$FA,96)</f>
        <v>28975</v>
      </c>
      <c r="M13" s="87">
        <f>VLOOKUP($A13,'Data shares'!$C:$FA,97)</f>
        <v>5.3E-3</v>
      </c>
      <c r="N13" s="86">
        <f>VLOOKUP($A13,'Data shares'!$C:$FA,78)</f>
        <v>5498600</v>
      </c>
      <c r="O13" s="87">
        <f>VLOOKUP($A13,'Data shares'!$C:$FA,81)</f>
        <v>-0.53769999999999996</v>
      </c>
    </row>
    <row r="14" spans="1:15" x14ac:dyDescent="0.25">
      <c r="A14" s="100" t="str">
        <f>'OI(Value)'!A14</f>
        <v>ALKEM</v>
      </c>
      <c r="B14" s="82">
        <f>VLOOKUP(A14,'Data shares'!$C$2:$CV$216,98,0)</f>
        <v>1989375</v>
      </c>
      <c r="C14" s="82">
        <f>VLOOKUP(A14,'Data shares'!$C$2:$CX$216,100,0)</f>
        <v>-51125</v>
      </c>
      <c r="D14" s="141">
        <f>VLOOKUP(A14,'Data shares'!$C$2:$CY$539,101,0)</f>
        <v>-2.5100000000000001E-2</v>
      </c>
      <c r="E14" s="86">
        <f>VLOOKUP($A14,'Data shares'!$C:$FA,74)</f>
        <v>1573250</v>
      </c>
      <c r="F14" s="86">
        <f>VLOOKUP($A14,'Data shares'!$C:$FA,76)</f>
        <v>-22000</v>
      </c>
      <c r="G14" s="87">
        <f>VLOOKUP(A14,'Data shares'!$C$2:$CA$216,77,0)</f>
        <v>-1.38E-2</v>
      </c>
      <c r="H14" s="86">
        <f>VLOOKUP($A14,'Data shares'!$C:$FA,90)</f>
        <v>232375</v>
      </c>
      <c r="I14" s="86">
        <f>VLOOKUP($A14,'Data shares'!$C:$FA,92)</f>
        <v>1125</v>
      </c>
      <c r="J14" s="87">
        <f>VLOOKUP($A14,'Data shares'!$C:$FA,93)</f>
        <v>4.8999999999999998E-3</v>
      </c>
      <c r="K14" s="86">
        <f>VLOOKUP($A14,'Data shares'!$C:$FA,94)</f>
        <v>183750</v>
      </c>
      <c r="L14" s="86">
        <f>VLOOKUP($A14,'Data shares'!$C:$FA,96)</f>
        <v>-30250</v>
      </c>
      <c r="M14" s="87">
        <f>VLOOKUP($A14,'Data shares'!$C:$FA,97)</f>
        <v>-0.1414</v>
      </c>
      <c r="N14" s="86">
        <f>VLOOKUP($A14,'Data shares'!$C:$FA,78)</f>
        <v>171125</v>
      </c>
      <c r="O14" s="87">
        <f>VLOOKUP($A14,'Data shares'!$C:$FA,81)</f>
        <v>-0.75470000000000004</v>
      </c>
    </row>
    <row r="15" spans="1:15" x14ac:dyDescent="0.25">
      <c r="A15" s="100" t="str">
        <f>'OI(Value)'!A15</f>
        <v>AMBER</v>
      </c>
      <c r="B15" s="82">
        <f>VLOOKUP(A15,'Data shares'!$C$2:$CV$216,98,0)</f>
        <v>1584700</v>
      </c>
      <c r="C15" s="82">
        <f>VLOOKUP(A15,'Data shares'!$C$2:$CX$216,100,0)</f>
        <v>-162600</v>
      </c>
      <c r="D15" s="141">
        <f>VLOOKUP(A15,'Data shares'!$C$2:$CY$539,101,0)</f>
        <v>-9.3100000000000002E-2</v>
      </c>
      <c r="E15" s="86">
        <f>VLOOKUP($A15,'Data shares'!$C:$FA,74)</f>
        <v>779500</v>
      </c>
      <c r="F15" s="86">
        <f>VLOOKUP($A15,'Data shares'!$C:$FA,76)</f>
        <v>-101800</v>
      </c>
      <c r="G15" s="87">
        <f>VLOOKUP(A15,'Data shares'!$C$2:$CA$216,77,0)</f>
        <v>-0.11550000000000001</v>
      </c>
      <c r="H15" s="86">
        <f>VLOOKUP($A15,'Data shares'!$C:$FA,90)</f>
        <v>470800</v>
      </c>
      <c r="I15" s="86">
        <f>VLOOKUP($A15,'Data shares'!$C:$FA,92)</f>
        <v>-96800</v>
      </c>
      <c r="J15" s="87">
        <f>VLOOKUP($A15,'Data shares'!$C:$FA,93)</f>
        <v>-0.17050000000000001</v>
      </c>
      <c r="K15" s="86">
        <f>VLOOKUP($A15,'Data shares'!$C:$FA,94)</f>
        <v>334400</v>
      </c>
      <c r="L15" s="86">
        <f>VLOOKUP($A15,'Data shares'!$C:$FA,96)</f>
        <v>36000</v>
      </c>
      <c r="M15" s="87">
        <f>VLOOKUP($A15,'Data shares'!$C:$FA,97)</f>
        <v>0.1206</v>
      </c>
      <c r="N15" s="86">
        <f>VLOOKUP($A15,'Data shares'!$C:$FA,78)</f>
        <v>154000</v>
      </c>
      <c r="O15" s="87">
        <f>VLOOKUP($A15,'Data shares'!$C:$FA,81)</f>
        <v>-0.56240000000000001</v>
      </c>
    </row>
    <row r="16" spans="1:15" x14ac:dyDescent="0.25">
      <c r="A16" s="100" t="str">
        <f>'OI(Value)'!A16</f>
        <v>AMBUJACEM</v>
      </c>
      <c r="B16" s="82">
        <f>VLOOKUP(A16,'Data shares'!$C$2:$CV$216,98,0)</f>
        <v>66007200</v>
      </c>
      <c r="C16" s="82">
        <f>VLOOKUP(A16,'Data shares'!$C$2:$CX$216,100,0)</f>
        <v>-1184400</v>
      </c>
      <c r="D16" s="141">
        <f>VLOOKUP(A16,'Data shares'!$C$2:$CY$539,101,0)</f>
        <v>-1.7600000000000001E-2</v>
      </c>
      <c r="E16" s="86">
        <f>VLOOKUP($A16,'Data shares'!$C:$FA,74)</f>
        <v>46289250</v>
      </c>
      <c r="F16" s="86">
        <f>VLOOKUP($A16,'Data shares'!$C:$FA,76)</f>
        <v>354900</v>
      </c>
      <c r="G16" s="87">
        <f>VLOOKUP(A16,'Data shares'!$C$2:$CA$216,77,0)</f>
        <v>7.7000000000000002E-3</v>
      </c>
      <c r="H16" s="86">
        <f>VLOOKUP($A16,'Data shares'!$C:$FA,90)</f>
        <v>11308500</v>
      </c>
      <c r="I16" s="86">
        <f>VLOOKUP($A16,'Data shares'!$C:$FA,92)</f>
        <v>-1333500</v>
      </c>
      <c r="J16" s="87">
        <f>VLOOKUP($A16,'Data shares'!$C:$FA,93)</f>
        <v>-0.1055</v>
      </c>
      <c r="K16" s="86">
        <f>VLOOKUP($A16,'Data shares'!$C:$FA,94)</f>
        <v>8409450</v>
      </c>
      <c r="L16" s="86">
        <f>VLOOKUP($A16,'Data shares'!$C:$FA,96)</f>
        <v>-205800</v>
      </c>
      <c r="M16" s="87">
        <f>VLOOKUP($A16,'Data shares'!$C:$FA,97)</f>
        <v>-2.3900000000000001E-2</v>
      </c>
      <c r="N16" s="86">
        <f>VLOOKUP($A16,'Data shares'!$C:$FA,78)</f>
        <v>9963450</v>
      </c>
      <c r="O16" s="87">
        <f>VLOOKUP($A16,'Data shares'!$C:$FA,81)</f>
        <v>-0.47270000000000001</v>
      </c>
    </row>
    <row r="17" spans="1:15" x14ac:dyDescent="0.25">
      <c r="A17" s="100" t="str">
        <f>'OI(Value)'!A17</f>
        <v>ANGELONE</v>
      </c>
      <c r="B17" s="82">
        <f>VLOOKUP(A17,'Data shares'!$C$2:$CV$216,98,0)</f>
        <v>6971500</v>
      </c>
      <c r="C17" s="82">
        <f>VLOOKUP(A17,'Data shares'!$C$2:$CX$216,100,0)</f>
        <v>-297000</v>
      </c>
      <c r="D17" s="141">
        <f>VLOOKUP(A17,'Data shares'!$C$2:$CY$539,101,0)</f>
        <v>-4.0899999999999999E-2</v>
      </c>
      <c r="E17" s="86">
        <f>VLOOKUP($A17,'Data shares'!$C:$FA,74)</f>
        <v>3265500</v>
      </c>
      <c r="F17" s="86">
        <f>VLOOKUP($A17,'Data shares'!$C:$FA,76)</f>
        <v>68750</v>
      </c>
      <c r="G17" s="87">
        <f>VLOOKUP(A17,'Data shares'!$C$2:$CA$216,77,0)</f>
        <v>2.1499999999999998E-2</v>
      </c>
      <c r="H17" s="86">
        <f>VLOOKUP($A17,'Data shares'!$C:$FA,90)</f>
        <v>1948500</v>
      </c>
      <c r="I17" s="86">
        <f>VLOOKUP($A17,'Data shares'!$C:$FA,92)</f>
        <v>-225750</v>
      </c>
      <c r="J17" s="87">
        <f>VLOOKUP($A17,'Data shares'!$C:$FA,93)</f>
        <v>-0.1038</v>
      </c>
      <c r="K17" s="86">
        <f>VLOOKUP($A17,'Data shares'!$C:$FA,94)</f>
        <v>1757500</v>
      </c>
      <c r="L17" s="86">
        <f>VLOOKUP($A17,'Data shares'!$C:$FA,96)</f>
        <v>-140000</v>
      </c>
      <c r="M17" s="87">
        <f>VLOOKUP($A17,'Data shares'!$C:$FA,97)</f>
        <v>-7.3800000000000004E-2</v>
      </c>
      <c r="N17" s="86">
        <f>VLOOKUP($A17,'Data shares'!$C:$FA,78)</f>
        <v>592750</v>
      </c>
      <c r="O17" s="87">
        <f>VLOOKUP($A17,'Data shares'!$C:$FA,81)</f>
        <v>-0.54869999999999997</v>
      </c>
    </row>
    <row r="18" spans="1:15" x14ac:dyDescent="0.25">
      <c r="A18" s="100" t="str">
        <f>'OI(Value)'!A18</f>
        <v>APLAPOLLO</v>
      </c>
      <c r="B18" s="82">
        <f>VLOOKUP(A18,'Data shares'!$C$2:$CV$216,98,0)</f>
        <v>12608750</v>
      </c>
      <c r="C18" s="82">
        <f>VLOOKUP(A18,'Data shares'!$C$2:$CX$216,100,0)</f>
        <v>-100450</v>
      </c>
      <c r="D18" s="141">
        <f>VLOOKUP(A18,'Data shares'!$C$2:$CY$539,101,0)</f>
        <v>-7.9000000000000008E-3</v>
      </c>
      <c r="E18" s="86">
        <f>VLOOKUP($A18,'Data shares'!$C:$FA,74)</f>
        <v>9903250</v>
      </c>
      <c r="F18" s="86">
        <f>VLOOKUP($A18,'Data shares'!$C:$FA,76)</f>
        <v>-138950</v>
      </c>
      <c r="G18" s="87">
        <f>VLOOKUP(A18,'Data shares'!$C$2:$CA$216,77,0)</f>
        <v>-1.38E-2</v>
      </c>
      <c r="H18" s="86">
        <f>VLOOKUP($A18,'Data shares'!$C:$FA,90)</f>
        <v>1586550</v>
      </c>
      <c r="I18" s="86">
        <f>VLOOKUP($A18,'Data shares'!$C:$FA,92)</f>
        <v>-115150</v>
      </c>
      <c r="J18" s="87">
        <f>VLOOKUP($A18,'Data shares'!$C:$FA,93)</f>
        <v>-6.7699999999999996E-2</v>
      </c>
      <c r="K18" s="86">
        <f>VLOOKUP($A18,'Data shares'!$C:$FA,94)</f>
        <v>1118950</v>
      </c>
      <c r="L18" s="86">
        <f>VLOOKUP($A18,'Data shares'!$C:$FA,96)</f>
        <v>153650</v>
      </c>
      <c r="M18" s="87">
        <f>VLOOKUP($A18,'Data shares'!$C:$FA,97)</f>
        <v>0.15920000000000001</v>
      </c>
      <c r="N18" s="86">
        <f>VLOOKUP($A18,'Data shares'!$C:$FA,78)</f>
        <v>1077300</v>
      </c>
      <c r="O18" s="87">
        <f>VLOOKUP($A18,'Data shares'!$C:$FA,81)</f>
        <v>-0.72819999999999996</v>
      </c>
    </row>
    <row r="19" spans="1:15" x14ac:dyDescent="0.25">
      <c r="A19" s="100" t="str">
        <f>'OI(Value)'!A19</f>
        <v>APOLLOHOSP</v>
      </c>
      <c r="B19" s="82">
        <f>VLOOKUP(A19,'Data shares'!$C$2:$CV$216,98,0)</f>
        <v>3923000</v>
      </c>
      <c r="C19" s="82">
        <f>VLOOKUP(A19,'Data shares'!$C$2:$CX$216,100,0)</f>
        <v>-211875</v>
      </c>
      <c r="D19" s="141">
        <f>VLOOKUP(A19,'Data shares'!$C$2:$CY$539,101,0)</f>
        <v>-5.1200000000000002E-2</v>
      </c>
      <c r="E19" s="86">
        <f>VLOOKUP($A19,'Data shares'!$C:$FA,74)</f>
        <v>2750125</v>
      </c>
      <c r="F19" s="86">
        <f>VLOOKUP($A19,'Data shares'!$C:$FA,76)</f>
        <v>-23750</v>
      </c>
      <c r="G19" s="87">
        <f>VLOOKUP(A19,'Data shares'!$C$2:$CA$216,77,0)</f>
        <v>-8.6E-3</v>
      </c>
      <c r="H19" s="86">
        <f>VLOOKUP($A19,'Data shares'!$C:$FA,90)</f>
        <v>704875</v>
      </c>
      <c r="I19" s="86">
        <f>VLOOKUP($A19,'Data shares'!$C:$FA,92)</f>
        <v>-127625</v>
      </c>
      <c r="J19" s="87">
        <f>VLOOKUP($A19,'Data shares'!$C:$FA,93)</f>
        <v>-0.15329999999999999</v>
      </c>
      <c r="K19" s="86">
        <f>VLOOKUP($A19,'Data shares'!$C:$FA,94)</f>
        <v>468000</v>
      </c>
      <c r="L19" s="86">
        <f>VLOOKUP($A19,'Data shares'!$C:$FA,96)</f>
        <v>-60500</v>
      </c>
      <c r="M19" s="87">
        <f>VLOOKUP($A19,'Data shares'!$C:$FA,97)</f>
        <v>-0.1145</v>
      </c>
      <c r="N19" s="86">
        <f>VLOOKUP($A19,'Data shares'!$C:$FA,78)</f>
        <v>645125</v>
      </c>
      <c r="O19" s="87">
        <f>VLOOKUP($A19,'Data shares'!$C:$FA,81)</f>
        <v>-0.52880000000000005</v>
      </c>
    </row>
    <row r="20" spans="1:15" x14ac:dyDescent="0.25">
      <c r="A20" s="100" t="str">
        <f>'OI(Value)'!A20</f>
        <v>ASHOKLEY</v>
      </c>
      <c r="B20" s="82">
        <f>VLOOKUP(A20,'Data shares'!$C$2:$CV$216,98,0)</f>
        <v>276100000</v>
      </c>
      <c r="C20" s="82">
        <f>VLOOKUP(A20,'Data shares'!$C$2:$CX$216,100,0)</f>
        <v>13330000</v>
      </c>
      <c r="D20" s="141">
        <f>VLOOKUP(A20,'Data shares'!$C$2:$CY$539,101,0)</f>
        <v>5.0700000000000002E-2</v>
      </c>
      <c r="E20" s="86">
        <f>VLOOKUP($A20,'Data shares'!$C:$FA,74)</f>
        <v>155525000</v>
      </c>
      <c r="F20" s="86">
        <f>VLOOKUP($A20,'Data shares'!$C:$FA,76)</f>
        <v>11460000</v>
      </c>
      <c r="G20" s="87">
        <f>VLOOKUP(A20,'Data shares'!$C$2:$CA$216,77,0)</f>
        <v>7.9500000000000001E-2</v>
      </c>
      <c r="H20" s="86">
        <f>VLOOKUP($A20,'Data shares'!$C:$FA,90)</f>
        <v>78630000</v>
      </c>
      <c r="I20" s="86">
        <f>VLOOKUP($A20,'Data shares'!$C:$FA,92)</f>
        <v>-2075000</v>
      </c>
      <c r="J20" s="87">
        <f>VLOOKUP($A20,'Data shares'!$C:$FA,93)</f>
        <v>-2.5700000000000001E-2</v>
      </c>
      <c r="K20" s="86">
        <f>VLOOKUP($A20,'Data shares'!$C:$FA,94)</f>
        <v>41945000</v>
      </c>
      <c r="L20" s="86">
        <f>VLOOKUP($A20,'Data shares'!$C:$FA,96)</f>
        <v>3945000</v>
      </c>
      <c r="M20" s="87">
        <f>VLOOKUP($A20,'Data shares'!$C:$FA,97)</f>
        <v>0.1038</v>
      </c>
      <c r="N20" s="86">
        <f>VLOOKUP($A20,'Data shares'!$C:$FA,78)</f>
        <v>20085000</v>
      </c>
      <c r="O20" s="87">
        <f>VLOOKUP($A20,'Data shares'!$C:$FA,81)</f>
        <v>-0.58250000000000002</v>
      </c>
    </row>
    <row r="21" spans="1:15" x14ac:dyDescent="0.25">
      <c r="A21" s="100" t="str">
        <f>'OI(Value)'!A21</f>
        <v>ASIANPAINT</v>
      </c>
      <c r="B21" s="82">
        <f>VLOOKUP(A21,'Data shares'!$C$2:$CV$216,98,0)</f>
        <v>23237250</v>
      </c>
      <c r="C21" s="82">
        <f>VLOOKUP(A21,'Data shares'!$C$2:$CX$216,100,0)</f>
        <v>-446250</v>
      </c>
      <c r="D21" s="141">
        <f>VLOOKUP(A21,'Data shares'!$C$2:$CY$539,101,0)</f>
        <v>-1.8800000000000001E-2</v>
      </c>
      <c r="E21" s="86">
        <f>VLOOKUP($A21,'Data shares'!$C:$FA,74)</f>
        <v>13604250</v>
      </c>
      <c r="F21" s="86">
        <f>VLOOKUP($A21,'Data shares'!$C:$FA,76)</f>
        <v>113000</v>
      </c>
      <c r="G21" s="87">
        <f>VLOOKUP(A21,'Data shares'!$C$2:$CA$216,77,0)</f>
        <v>8.3999999999999995E-3</v>
      </c>
      <c r="H21" s="86">
        <f>VLOOKUP($A21,'Data shares'!$C:$FA,90)</f>
        <v>5643750</v>
      </c>
      <c r="I21" s="86">
        <f>VLOOKUP($A21,'Data shares'!$C:$FA,92)</f>
        <v>-423250</v>
      </c>
      <c r="J21" s="87">
        <f>VLOOKUP($A21,'Data shares'!$C:$FA,93)</f>
        <v>-6.9800000000000001E-2</v>
      </c>
      <c r="K21" s="86">
        <f>VLOOKUP($A21,'Data shares'!$C:$FA,94)</f>
        <v>3989250</v>
      </c>
      <c r="L21" s="86">
        <f>VLOOKUP($A21,'Data shares'!$C:$FA,96)</f>
        <v>-136000</v>
      </c>
      <c r="M21" s="87">
        <f>VLOOKUP($A21,'Data shares'!$C:$FA,97)</f>
        <v>-3.3000000000000002E-2</v>
      </c>
      <c r="N21" s="86">
        <f>VLOOKUP($A21,'Data shares'!$C:$FA,78)</f>
        <v>1439750</v>
      </c>
      <c r="O21" s="87">
        <f>VLOOKUP($A21,'Data shares'!$C:$FA,81)</f>
        <v>-0.70420000000000005</v>
      </c>
    </row>
    <row r="22" spans="1:15" x14ac:dyDescent="0.25">
      <c r="A22" s="100" t="str">
        <f>'OI(Value)'!A22</f>
        <v>ASTRAL</v>
      </c>
      <c r="B22" s="82">
        <f>VLOOKUP(A22,'Data shares'!$C$2:$CV$216,98,0)</f>
        <v>13324600</v>
      </c>
      <c r="C22" s="82">
        <f>VLOOKUP(A22,'Data shares'!$C$2:$CX$216,100,0)</f>
        <v>-238850</v>
      </c>
      <c r="D22" s="141">
        <f>VLOOKUP(A22,'Data shares'!$C$2:$CY$539,101,0)</f>
        <v>-1.7600000000000001E-2</v>
      </c>
      <c r="E22" s="86">
        <f>VLOOKUP($A22,'Data shares'!$C:$FA,74)</f>
        <v>9108600</v>
      </c>
      <c r="F22" s="86">
        <f>VLOOKUP($A22,'Data shares'!$C:$FA,76)</f>
        <v>-127075</v>
      </c>
      <c r="G22" s="87">
        <f>VLOOKUP(A22,'Data shares'!$C$2:$CA$216,77,0)</f>
        <v>-1.38E-2</v>
      </c>
      <c r="H22" s="86">
        <f>VLOOKUP($A22,'Data shares'!$C:$FA,90)</f>
        <v>2786300</v>
      </c>
      <c r="I22" s="86">
        <f>VLOOKUP($A22,'Data shares'!$C:$FA,92)</f>
        <v>-110500</v>
      </c>
      <c r="J22" s="87">
        <f>VLOOKUP($A22,'Data shares'!$C:$FA,93)</f>
        <v>-3.8100000000000002E-2</v>
      </c>
      <c r="K22" s="86">
        <f>VLOOKUP($A22,'Data shares'!$C:$FA,94)</f>
        <v>1429700</v>
      </c>
      <c r="L22" s="86">
        <f>VLOOKUP($A22,'Data shares'!$C:$FA,96)</f>
        <v>-1275</v>
      </c>
      <c r="M22" s="87">
        <f>VLOOKUP($A22,'Data shares'!$C:$FA,97)</f>
        <v>-8.9999999999999998E-4</v>
      </c>
      <c r="N22" s="86">
        <f>VLOOKUP($A22,'Data shares'!$C:$FA,78)</f>
        <v>1145800</v>
      </c>
      <c r="O22" s="87">
        <f>VLOOKUP($A22,'Data shares'!$C:$FA,81)</f>
        <v>-0.58930000000000005</v>
      </c>
    </row>
    <row r="23" spans="1:15" x14ac:dyDescent="0.25">
      <c r="A23" s="100" t="str">
        <f>'OI(Value)'!A23</f>
        <v>AUBANK</v>
      </c>
      <c r="B23" s="82">
        <f>VLOOKUP(A23,'Data shares'!$C$2:$CV$216,98,0)</f>
        <v>40311000</v>
      </c>
      <c r="C23" s="82">
        <f>VLOOKUP(A23,'Data shares'!$C$2:$CX$216,100,0)</f>
        <v>-3854000</v>
      </c>
      <c r="D23" s="141">
        <f>VLOOKUP(A23,'Data shares'!$C$2:$CY$539,101,0)</f>
        <v>-8.7300000000000003E-2</v>
      </c>
      <c r="E23" s="86">
        <f>VLOOKUP($A23,'Data shares'!$C:$FA,74)</f>
        <v>21615000</v>
      </c>
      <c r="F23" s="86">
        <f>VLOOKUP($A23,'Data shares'!$C:$FA,76)</f>
        <v>-1513000</v>
      </c>
      <c r="G23" s="87">
        <f>VLOOKUP(A23,'Data shares'!$C$2:$CA$216,77,0)</f>
        <v>-6.54E-2</v>
      </c>
      <c r="H23" s="86">
        <f>VLOOKUP($A23,'Data shares'!$C:$FA,90)</f>
        <v>8492000</v>
      </c>
      <c r="I23" s="86">
        <f>VLOOKUP($A23,'Data shares'!$C:$FA,92)</f>
        <v>-991000</v>
      </c>
      <c r="J23" s="87">
        <f>VLOOKUP($A23,'Data shares'!$C:$FA,93)</f>
        <v>-0.1045</v>
      </c>
      <c r="K23" s="86">
        <f>VLOOKUP($A23,'Data shares'!$C:$FA,94)</f>
        <v>10204000</v>
      </c>
      <c r="L23" s="86">
        <f>VLOOKUP($A23,'Data shares'!$C:$FA,96)</f>
        <v>-1350000</v>
      </c>
      <c r="M23" s="87">
        <f>VLOOKUP($A23,'Data shares'!$C:$FA,97)</f>
        <v>-0.1168</v>
      </c>
      <c r="N23" s="86">
        <f>VLOOKUP($A23,'Data shares'!$C:$FA,78)</f>
        <v>3457000</v>
      </c>
      <c r="O23" s="87">
        <f>VLOOKUP($A23,'Data shares'!$C:$FA,81)</f>
        <v>-0.51580000000000004</v>
      </c>
    </row>
    <row r="24" spans="1:15" x14ac:dyDescent="0.25">
      <c r="A24" s="100" t="str">
        <f>'OI(Value)'!A24</f>
        <v>AUROPHARMA</v>
      </c>
      <c r="B24" s="82">
        <f>VLOOKUP(A24,'Data shares'!$C$2:$CV$216,98,0)</f>
        <v>33172700</v>
      </c>
      <c r="C24" s="82">
        <f>VLOOKUP(A24,'Data shares'!$C$2:$CX$216,100,0)</f>
        <v>340450</v>
      </c>
      <c r="D24" s="141">
        <f>VLOOKUP(A24,'Data shares'!$C$2:$CY$539,101,0)</f>
        <v>1.04E-2</v>
      </c>
      <c r="E24" s="86">
        <f>VLOOKUP($A24,'Data shares'!$C:$FA,74)</f>
        <v>24632300</v>
      </c>
      <c r="F24" s="86">
        <f>VLOOKUP($A24,'Data shares'!$C:$FA,76)</f>
        <v>76450</v>
      </c>
      <c r="G24" s="87">
        <f>VLOOKUP(A24,'Data shares'!$C$2:$CA$216,77,0)</f>
        <v>3.0999999999999999E-3</v>
      </c>
      <c r="H24" s="86">
        <f>VLOOKUP($A24,'Data shares'!$C:$FA,90)</f>
        <v>5053400</v>
      </c>
      <c r="I24" s="86">
        <f>VLOOKUP($A24,'Data shares'!$C:$FA,92)</f>
        <v>99550</v>
      </c>
      <c r="J24" s="87">
        <f>VLOOKUP($A24,'Data shares'!$C:$FA,93)</f>
        <v>2.01E-2</v>
      </c>
      <c r="K24" s="86">
        <f>VLOOKUP($A24,'Data shares'!$C:$FA,94)</f>
        <v>3487000</v>
      </c>
      <c r="L24" s="86">
        <f>VLOOKUP($A24,'Data shares'!$C:$FA,96)</f>
        <v>164450</v>
      </c>
      <c r="M24" s="87">
        <f>VLOOKUP($A24,'Data shares'!$C:$FA,97)</f>
        <v>4.9500000000000002E-2</v>
      </c>
      <c r="N24" s="86">
        <f>VLOOKUP($A24,'Data shares'!$C:$FA,78)</f>
        <v>3183950</v>
      </c>
      <c r="O24" s="87">
        <f>VLOOKUP($A24,'Data shares'!$C:$FA,81)</f>
        <v>-0.57140000000000002</v>
      </c>
    </row>
    <row r="25" spans="1:15" x14ac:dyDescent="0.25">
      <c r="A25" s="100" t="str">
        <f>'OI(Value)'!A25</f>
        <v>AXISBANK</v>
      </c>
      <c r="B25" s="82">
        <f>VLOOKUP(A25,'Data shares'!$C$2:$CV$216,98,0)</f>
        <v>131518125</v>
      </c>
      <c r="C25" s="82">
        <f>VLOOKUP(A25,'Data shares'!$C$2:$CX$216,100,0)</f>
        <v>-1968125</v>
      </c>
      <c r="D25" s="141">
        <f>VLOOKUP(A25,'Data shares'!$C$2:$CY$539,101,0)</f>
        <v>-1.47E-2</v>
      </c>
      <c r="E25" s="86">
        <f>VLOOKUP($A25,'Data shares'!$C:$FA,74)</f>
        <v>82435000</v>
      </c>
      <c r="F25" s="86">
        <f>VLOOKUP($A25,'Data shares'!$C:$FA,76)</f>
        <v>1001875</v>
      </c>
      <c r="G25" s="87">
        <f>VLOOKUP(A25,'Data shares'!$C$2:$CA$216,77,0)</f>
        <v>1.23E-2</v>
      </c>
      <c r="H25" s="86">
        <f>VLOOKUP($A25,'Data shares'!$C:$FA,90)</f>
        <v>27340000</v>
      </c>
      <c r="I25" s="86">
        <f>VLOOKUP($A25,'Data shares'!$C:$FA,92)</f>
        <v>-2318125</v>
      </c>
      <c r="J25" s="87">
        <f>VLOOKUP($A25,'Data shares'!$C:$FA,93)</f>
        <v>-7.8200000000000006E-2</v>
      </c>
      <c r="K25" s="86">
        <f>VLOOKUP($A25,'Data shares'!$C:$FA,94)</f>
        <v>21743125</v>
      </c>
      <c r="L25" s="86">
        <f>VLOOKUP($A25,'Data shares'!$C:$FA,96)</f>
        <v>-651875</v>
      </c>
      <c r="M25" s="87">
        <f>VLOOKUP($A25,'Data shares'!$C:$FA,97)</f>
        <v>-2.9100000000000001E-2</v>
      </c>
      <c r="N25" s="86">
        <f>VLOOKUP($A25,'Data shares'!$C:$FA,78)</f>
        <v>14270000</v>
      </c>
      <c r="O25" s="87">
        <f>VLOOKUP($A25,'Data shares'!$C:$FA,81)</f>
        <v>-0.38750000000000001</v>
      </c>
    </row>
    <row r="26" spans="1:15" x14ac:dyDescent="0.25">
      <c r="A26" s="100" t="str">
        <f>'OI(Value)'!A26</f>
        <v>BAJAJ-AUTO</v>
      </c>
      <c r="B26" s="82">
        <f>VLOOKUP(A26,'Data shares'!$C$2:$CV$216,98,0)</f>
        <v>5542950</v>
      </c>
      <c r="C26" s="82">
        <f>VLOOKUP(A26,'Data shares'!$C$2:$CX$216,100,0)</f>
        <v>-119925</v>
      </c>
      <c r="D26" s="141">
        <f>VLOOKUP(A26,'Data shares'!$C$2:$CY$539,101,0)</f>
        <v>-2.12E-2</v>
      </c>
      <c r="E26" s="86">
        <f>VLOOKUP($A26,'Data shares'!$C:$FA,74)</f>
        <v>3423000</v>
      </c>
      <c r="F26" s="86">
        <f>VLOOKUP($A26,'Data shares'!$C:$FA,76)</f>
        <v>77850</v>
      </c>
      <c r="G26" s="87">
        <f>VLOOKUP(A26,'Data shares'!$C$2:$CA$216,77,0)</f>
        <v>2.3300000000000001E-2</v>
      </c>
      <c r="H26" s="86">
        <f>VLOOKUP($A26,'Data shares'!$C:$FA,90)</f>
        <v>1174800</v>
      </c>
      <c r="I26" s="86">
        <f>VLOOKUP($A26,'Data shares'!$C:$FA,92)</f>
        <v>-195450</v>
      </c>
      <c r="J26" s="87">
        <f>VLOOKUP($A26,'Data shares'!$C:$FA,93)</f>
        <v>-0.1426</v>
      </c>
      <c r="K26" s="86">
        <f>VLOOKUP($A26,'Data shares'!$C:$FA,94)</f>
        <v>945150</v>
      </c>
      <c r="L26" s="86">
        <f>VLOOKUP($A26,'Data shares'!$C:$FA,96)</f>
        <v>-2325</v>
      </c>
      <c r="M26" s="87">
        <f>VLOOKUP($A26,'Data shares'!$C:$FA,97)</f>
        <v>-2.5000000000000001E-3</v>
      </c>
      <c r="N26" s="86">
        <f>VLOOKUP($A26,'Data shares'!$C:$FA,78)</f>
        <v>408375</v>
      </c>
      <c r="O26" s="87">
        <f>VLOOKUP($A26,'Data shares'!$C:$FA,81)</f>
        <v>-0.60940000000000005</v>
      </c>
    </row>
    <row r="27" spans="1:15" x14ac:dyDescent="0.25">
      <c r="A27" s="100" t="str">
        <f>'OI(Value)'!A27</f>
        <v>BAJAJFINSV</v>
      </c>
      <c r="B27" s="82">
        <f>VLOOKUP(A27,'Data shares'!$C$2:$CV$216,98,0)</f>
        <v>32946000</v>
      </c>
      <c r="C27" s="82">
        <f>VLOOKUP(A27,'Data shares'!$C$2:$CX$216,100,0)</f>
        <v>-193500</v>
      </c>
      <c r="D27" s="141">
        <f>VLOOKUP(A27,'Data shares'!$C$2:$CY$539,101,0)</f>
        <v>-5.7999999999999996E-3</v>
      </c>
      <c r="E27" s="86">
        <f>VLOOKUP($A27,'Data shares'!$C:$FA,74)</f>
        <v>19959000</v>
      </c>
      <c r="F27" s="86">
        <f>VLOOKUP($A27,'Data shares'!$C:$FA,76)</f>
        <v>132500</v>
      </c>
      <c r="G27" s="87">
        <f>VLOOKUP(A27,'Data shares'!$C$2:$CA$216,77,0)</f>
        <v>6.7000000000000002E-3</v>
      </c>
      <c r="H27" s="86">
        <f>VLOOKUP($A27,'Data shares'!$C:$FA,90)</f>
        <v>6716500</v>
      </c>
      <c r="I27" s="86">
        <f>VLOOKUP($A27,'Data shares'!$C:$FA,92)</f>
        <v>-146500</v>
      </c>
      <c r="J27" s="87">
        <f>VLOOKUP($A27,'Data shares'!$C:$FA,93)</f>
        <v>-2.1299999999999999E-2</v>
      </c>
      <c r="K27" s="86">
        <f>VLOOKUP($A27,'Data shares'!$C:$FA,94)</f>
        <v>6270500</v>
      </c>
      <c r="L27" s="86">
        <f>VLOOKUP($A27,'Data shares'!$C:$FA,96)</f>
        <v>-179500</v>
      </c>
      <c r="M27" s="87">
        <f>VLOOKUP($A27,'Data shares'!$C:$FA,97)</f>
        <v>-2.7799999999999998E-2</v>
      </c>
      <c r="N27" s="86">
        <f>VLOOKUP($A27,'Data shares'!$C:$FA,78)</f>
        <v>5401500</v>
      </c>
      <c r="O27" s="87">
        <f>VLOOKUP($A27,'Data shares'!$C:$FA,81)</f>
        <v>-0.4375</v>
      </c>
    </row>
    <row r="28" spans="1:15" x14ac:dyDescent="0.25">
      <c r="A28" s="100" t="str">
        <f>'OI(Value)'!A28</f>
        <v>BAJFINANCE</v>
      </c>
      <c r="B28" s="82">
        <f>VLOOKUP(A28,'Data shares'!$C$2:$CV$216,98,0)</f>
        <v>130308750</v>
      </c>
      <c r="C28" s="82">
        <f>VLOOKUP(A28,'Data shares'!$C$2:$CX$216,100,0)</f>
        <v>-5512500</v>
      </c>
      <c r="D28" s="141">
        <f>VLOOKUP(A28,'Data shares'!$C$2:$CY$539,101,0)</f>
        <v>-4.0599999999999997E-2</v>
      </c>
      <c r="E28" s="86">
        <f>VLOOKUP($A28,'Data shares'!$C:$FA,74)</f>
        <v>93279000</v>
      </c>
      <c r="F28" s="86">
        <f>VLOOKUP($A28,'Data shares'!$C:$FA,76)</f>
        <v>-1759500</v>
      </c>
      <c r="G28" s="87">
        <f>VLOOKUP(A28,'Data shares'!$C$2:$CA$216,77,0)</f>
        <v>-1.8499999999999999E-2</v>
      </c>
      <c r="H28" s="86">
        <f>VLOOKUP($A28,'Data shares'!$C:$FA,90)</f>
        <v>17707500</v>
      </c>
      <c r="I28" s="86">
        <f>VLOOKUP($A28,'Data shares'!$C:$FA,92)</f>
        <v>-1325250</v>
      </c>
      <c r="J28" s="87">
        <f>VLOOKUP($A28,'Data shares'!$C:$FA,93)</f>
        <v>-6.9599999999999995E-2</v>
      </c>
      <c r="K28" s="86">
        <f>VLOOKUP($A28,'Data shares'!$C:$FA,94)</f>
        <v>19322250</v>
      </c>
      <c r="L28" s="86">
        <f>VLOOKUP($A28,'Data shares'!$C:$FA,96)</f>
        <v>-2427750</v>
      </c>
      <c r="M28" s="87">
        <f>VLOOKUP($A28,'Data shares'!$C:$FA,97)</f>
        <v>-0.1116</v>
      </c>
      <c r="N28" s="86">
        <f>VLOOKUP($A28,'Data shares'!$C:$FA,78)</f>
        <v>11457000</v>
      </c>
      <c r="O28" s="87">
        <f>VLOOKUP($A28,'Data shares'!$C:$FA,81)</f>
        <v>-0.67320000000000002</v>
      </c>
    </row>
    <row r="29" spans="1:15" x14ac:dyDescent="0.25">
      <c r="A29" s="100" t="str">
        <f>'OI(Value)'!A29</f>
        <v>BANDHANBNK</v>
      </c>
      <c r="B29" s="82">
        <f>VLOOKUP(A29,'Data shares'!$C$2:$CV$216,98,0)</f>
        <v>177750000</v>
      </c>
      <c r="C29" s="82">
        <f>VLOOKUP(A29,'Data shares'!$C$2:$CX$216,100,0)</f>
        <v>-486000</v>
      </c>
      <c r="D29" s="141">
        <f>VLOOKUP(A29,'Data shares'!$C$2:$CY$539,101,0)</f>
        <v>-2.7000000000000001E-3</v>
      </c>
      <c r="E29" s="86">
        <f>VLOOKUP($A29,'Data shares'!$C:$FA,74)</f>
        <v>103860000</v>
      </c>
      <c r="F29" s="86">
        <f>VLOOKUP($A29,'Data shares'!$C:$FA,76)</f>
        <v>-914400</v>
      </c>
      <c r="G29" s="87">
        <f>VLOOKUP(A29,'Data shares'!$C$2:$CA$216,77,0)</f>
        <v>-8.6999999999999994E-3</v>
      </c>
      <c r="H29" s="86">
        <f>VLOOKUP($A29,'Data shares'!$C:$FA,90)</f>
        <v>37468800</v>
      </c>
      <c r="I29" s="86">
        <f>VLOOKUP($A29,'Data shares'!$C:$FA,92)</f>
        <v>-133200</v>
      </c>
      <c r="J29" s="87">
        <f>VLOOKUP($A29,'Data shares'!$C:$FA,93)</f>
        <v>-3.5000000000000001E-3</v>
      </c>
      <c r="K29" s="86">
        <f>VLOOKUP($A29,'Data shares'!$C:$FA,94)</f>
        <v>36421200</v>
      </c>
      <c r="L29" s="86">
        <f>VLOOKUP($A29,'Data shares'!$C:$FA,96)</f>
        <v>561600</v>
      </c>
      <c r="M29" s="87">
        <f>VLOOKUP($A29,'Data shares'!$C:$FA,97)</f>
        <v>1.5699999999999999E-2</v>
      </c>
      <c r="N29" s="86">
        <f>VLOOKUP($A29,'Data shares'!$C:$FA,78)</f>
        <v>17380800</v>
      </c>
      <c r="O29" s="87">
        <f>VLOOKUP($A29,'Data shares'!$C:$FA,81)</f>
        <v>-0.54530000000000001</v>
      </c>
    </row>
    <row r="30" spans="1:15" x14ac:dyDescent="0.25">
      <c r="A30" s="100" t="str">
        <f>'OI(Value)'!A30</f>
        <v>BANKBARODA</v>
      </c>
      <c r="B30" s="82">
        <f>VLOOKUP(A30,'Data shares'!$C$2:$CV$216,98,0)</f>
        <v>213998850</v>
      </c>
      <c r="C30" s="82">
        <f>VLOOKUP(A30,'Data shares'!$C$2:$CX$216,100,0)</f>
        <v>1670175</v>
      </c>
      <c r="D30" s="141">
        <f>VLOOKUP(A30,'Data shares'!$C$2:$CY$539,101,0)</f>
        <v>7.9000000000000008E-3</v>
      </c>
      <c r="E30" s="86">
        <f>VLOOKUP($A30,'Data shares'!$C:$FA,74)</f>
        <v>127462725</v>
      </c>
      <c r="F30" s="86">
        <f>VLOOKUP($A30,'Data shares'!$C:$FA,76)</f>
        <v>2416050</v>
      </c>
      <c r="G30" s="87">
        <f>VLOOKUP(A30,'Data shares'!$C$2:$CA$216,77,0)</f>
        <v>1.9300000000000001E-2</v>
      </c>
      <c r="H30" s="86">
        <f>VLOOKUP($A30,'Data shares'!$C:$FA,90)</f>
        <v>46653750</v>
      </c>
      <c r="I30" s="86">
        <f>VLOOKUP($A30,'Data shares'!$C:$FA,92)</f>
        <v>-4156425</v>
      </c>
      <c r="J30" s="87">
        <f>VLOOKUP($A30,'Data shares'!$C:$FA,93)</f>
        <v>-8.1799999999999998E-2</v>
      </c>
      <c r="K30" s="86">
        <f>VLOOKUP($A30,'Data shares'!$C:$FA,94)</f>
        <v>39882375</v>
      </c>
      <c r="L30" s="86">
        <f>VLOOKUP($A30,'Data shares'!$C:$FA,96)</f>
        <v>3410550</v>
      </c>
      <c r="M30" s="87">
        <f>VLOOKUP($A30,'Data shares'!$C:$FA,97)</f>
        <v>9.35E-2</v>
      </c>
      <c r="N30" s="86">
        <f>VLOOKUP($A30,'Data shares'!$C:$FA,78)</f>
        <v>21039525</v>
      </c>
      <c r="O30" s="87">
        <f>VLOOKUP($A30,'Data shares'!$C:$FA,81)</f>
        <v>-0.54210000000000003</v>
      </c>
    </row>
    <row r="31" spans="1:15" x14ac:dyDescent="0.25">
      <c r="A31" s="100" t="str">
        <f>'OI(Value)'!A31</f>
        <v>BANKINDIA</v>
      </c>
      <c r="B31" s="82">
        <f>VLOOKUP(A31,'Data shares'!$C$2:$CV$216,98,0)</f>
        <v>126594000</v>
      </c>
      <c r="C31" s="82">
        <f>VLOOKUP(A31,'Data shares'!$C$2:$CX$216,100,0)</f>
        <v>6468800</v>
      </c>
      <c r="D31" s="141">
        <f>VLOOKUP(A31,'Data shares'!$C$2:$CY$539,101,0)</f>
        <v>5.3900000000000003E-2</v>
      </c>
      <c r="E31" s="86">
        <f>VLOOKUP($A31,'Data shares'!$C:$FA,74)</f>
        <v>69030000</v>
      </c>
      <c r="F31" s="86">
        <f>VLOOKUP($A31,'Data shares'!$C:$FA,76)</f>
        <v>374400</v>
      </c>
      <c r="G31" s="87">
        <f>VLOOKUP(A31,'Data shares'!$C$2:$CA$216,77,0)</f>
        <v>5.4999999999999997E-3</v>
      </c>
      <c r="H31" s="86">
        <f>VLOOKUP($A31,'Data shares'!$C:$FA,90)</f>
        <v>29000400</v>
      </c>
      <c r="I31" s="86">
        <f>VLOOKUP($A31,'Data shares'!$C:$FA,92)</f>
        <v>2272400</v>
      </c>
      <c r="J31" s="87">
        <f>VLOOKUP($A31,'Data shares'!$C:$FA,93)</f>
        <v>8.5000000000000006E-2</v>
      </c>
      <c r="K31" s="86">
        <f>VLOOKUP($A31,'Data shares'!$C:$FA,94)</f>
        <v>28563600</v>
      </c>
      <c r="L31" s="86">
        <f>VLOOKUP($A31,'Data shares'!$C:$FA,96)</f>
        <v>3822000</v>
      </c>
      <c r="M31" s="87">
        <f>VLOOKUP($A31,'Data shares'!$C:$FA,97)</f>
        <v>0.1545</v>
      </c>
      <c r="N31" s="86">
        <f>VLOOKUP($A31,'Data shares'!$C:$FA,78)</f>
        <v>8580000</v>
      </c>
      <c r="O31" s="87">
        <f>VLOOKUP($A31,'Data shares'!$C:$FA,81)</f>
        <v>-0.62080000000000002</v>
      </c>
    </row>
    <row r="32" spans="1:15" x14ac:dyDescent="0.25">
      <c r="A32" s="100" t="str">
        <f>'OI(Value)'!A32</f>
        <v>BANKNIFTY</v>
      </c>
      <c r="B32" s="82">
        <f>VLOOKUP(A32,'Data shares'!$C$2:$CV$216,98,0)</f>
        <v>61292990</v>
      </c>
      <c r="C32" s="82">
        <f>VLOOKUP(A32,'Data shares'!$C$2:$CX$216,100,0)</f>
        <v>371700</v>
      </c>
      <c r="D32" s="141">
        <f>VLOOKUP(A32,'Data shares'!$C$2:$CY$539,101,0)</f>
        <v>6.1000000000000004E-3</v>
      </c>
      <c r="E32" s="86">
        <f>VLOOKUP($A32,'Data shares'!$C:$FA,74)</f>
        <v>2408350</v>
      </c>
      <c r="F32" s="86">
        <f>VLOOKUP($A32,'Data shares'!$C:$FA,76)</f>
        <v>159810</v>
      </c>
      <c r="G32" s="87">
        <f>VLOOKUP(A32,'Data shares'!$C$2:$CA$216,77,0)</f>
        <v>7.1099999999999997E-2</v>
      </c>
      <c r="H32" s="86">
        <f>VLOOKUP($A32,'Data shares'!$C:$FA,90)</f>
        <v>28255830</v>
      </c>
      <c r="I32" s="86">
        <f>VLOOKUP($A32,'Data shares'!$C:$FA,92)</f>
        <v>-2874515</v>
      </c>
      <c r="J32" s="87">
        <f>VLOOKUP($A32,'Data shares'!$C:$FA,93)</f>
        <v>-9.2299999999999993E-2</v>
      </c>
      <c r="K32" s="86">
        <f>VLOOKUP($A32,'Data shares'!$C:$FA,94)</f>
        <v>30628810</v>
      </c>
      <c r="L32" s="86">
        <f>VLOOKUP($A32,'Data shares'!$C:$FA,96)</f>
        <v>3086405</v>
      </c>
      <c r="M32" s="87">
        <f>VLOOKUP($A32,'Data shares'!$C:$FA,97)</f>
        <v>0.11210000000000001</v>
      </c>
      <c r="N32" s="86">
        <f>VLOOKUP($A32,'Data shares'!$C:$FA,78)</f>
        <v>924280</v>
      </c>
      <c r="O32" s="87">
        <f>VLOOKUP($A32,'Data shares'!$C:$FA,81)</f>
        <v>-0.2833</v>
      </c>
    </row>
    <row r="33" spans="1:15" x14ac:dyDescent="0.25">
      <c r="A33" s="100" t="str">
        <f>'OI(Value)'!A33</f>
        <v>BDL</v>
      </c>
      <c r="B33" s="82">
        <f>VLOOKUP(A33,'Data shares'!$C$2:$CV$216,98,0)</f>
        <v>9695400</v>
      </c>
      <c r="C33" s="82">
        <f>VLOOKUP(A33,'Data shares'!$C$2:$CX$216,100,0)</f>
        <v>-1200875</v>
      </c>
      <c r="D33" s="141">
        <f>VLOOKUP(A33,'Data shares'!$C$2:$CY$539,101,0)</f>
        <v>-0.11020000000000001</v>
      </c>
      <c r="E33" s="86">
        <f>VLOOKUP($A33,'Data shares'!$C:$FA,74)</f>
        <v>4472975</v>
      </c>
      <c r="F33" s="86">
        <f>VLOOKUP($A33,'Data shares'!$C:$FA,76)</f>
        <v>-367250</v>
      </c>
      <c r="G33" s="87">
        <f>VLOOKUP(A33,'Data shares'!$C$2:$CA$216,77,0)</f>
        <v>-7.5899999999999995E-2</v>
      </c>
      <c r="H33" s="86">
        <f>VLOOKUP($A33,'Data shares'!$C:$FA,90)</f>
        <v>3070275</v>
      </c>
      <c r="I33" s="86">
        <f>VLOOKUP($A33,'Data shares'!$C:$FA,92)</f>
        <v>-699400</v>
      </c>
      <c r="J33" s="87">
        <f>VLOOKUP($A33,'Data shares'!$C:$FA,93)</f>
        <v>-0.1855</v>
      </c>
      <c r="K33" s="86">
        <f>VLOOKUP($A33,'Data shares'!$C:$FA,94)</f>
        <v>2152150</v>
      </c>
      <c r="L33" s="86">
        <f>VLOOKUP($A33,'Data shares'!$C:$FA,96)</f>
        <v>-134225</v>
      </c>
      <c r="M33" s="87">
        <f>VLOOKUP($A33,'Data shares'!$C:$FA,97)</f>
        <v>-5.8700000000000002E-2</v>
      </c>
      <c r="N33" s="86">
        <f>VLOOKUP($A33,'Data shares'!$C:$FA,78)</f>
        <v>949000</v>
      </c>
      <c r="O33" s="87">
        <f>VLOOKUP($A33,'Data shares'!$C:$FA,81)</f>
        <v>-0.51800000000000002</v>
      </c>
    </row>
    <row r="34" spans="1:15" x14ac:dyDescent="0.25">
      <c r="A34" s="100" t="str">
        <f>'OI(Value)'!A34</f>
        <v>BEL</v>
      </c>
      <c r="B34" s="82">
        <f>VLOOKUP(A34,'Data shares'!$C$2:$CV$216,98,0)</f>
        <v>222183150</v>
      </c>
      <c r="C34" s="82">
        <f>VLOOKUP(A34,'Data shares'!$C$2:$CX$216,100,0)</f>
        <v>2185950</v>
      </c>
      <c r="D34" s="141">
        <f>VLOOKUP(A34,'Data shares'!$C$2:$CY$539,101,0)</f>
        <v>9.9000000000000008E-3</v>
      </c>
      <c r="E34" s="86">
        <f>VLOOKUP($A34,'Data shares'!$C:$FA,74)</f>
        <v>116160300</v>
      </c>
      <c r="F34" s="86">
        <f>VLOOKUP($A34,'Data shares'!$C:$FA,76)</f>
        <v>3400050</v>
      </c>
      <c r="G34" s="87">
        <f>VLOOKUP(A34,'Data shares'!$C$2:$CA$216,77,0)</f>
        <v>3.0200000000000001E-2</v>
      </c>
      <c r="H34" s="86">
        <f>VLOOKUP($A34,'Data shares'!$C:$FA,90)</f>
        <v>62030250</v>
      </c>
      <c r="I34" s="86">
        <f>VLOOKUP($A34,'Data shares'!$C:$FA,92)</f>
        <v>-2140350</v>
      </c>
      <c r="J34" s="87">
        <f>VLOOKUP($A34,'Data shares'!$C:$FA,93)</f>
        <v>-3.3399999999999999E-2</v>
      </c>
      <c r="K34" s="86">
        <f>VLOOKUP($A34,'Data shares'!$C:$FA,94)</f>
        <v>43992600</v>
      </c>
      <c r="L34" s="86">
        <f>VLOOKUP($A34,'Data shares'!$C:$FA,96)</f>
        <v>926250</v>
      </c>
      <c r="M34" s="87">
        <f>VLOOKUP($A34,'Data shares'!$C:$FA,97)</f>
        <v>2.1499999999999998E-2</v>
      </c>
      <c r="N34" s="86">
        <f>VLOOKUP($A34,'Data shares'!$C:$FA,78)</f>
        <v>19251750</v>
      </c>
      <c r="O34" s="87">
        <f>VLOOKUP($A34,'Data shares'!$C:$FA,81)</f>
        <v>-0.57999999999999996</v>
      </c>
    </row>
    <row r="35" spans="1:15" x14ac:dyDescent="0.25">
      <c r="A35" s="100" t="str">
        <f>'OI(Value)'!A35</f>
        <v>BHARATFORG</v>
      </c>
      <c r="B35" s="82">
        <f>VLOOKUP(A35,'Data shares'!$C$2:$CV$216,98,0)</f>
        <v>16656000</v>
      </c>
      <c r="C35" s="82">
        <f>VLOOKUP(A35,'Data shares'!$C$2:$CX$216,100,0)</f>
        <v>-637000</v>
      </c>
      <c r="D35" s="141">
        <f>VLOOKUP(A35,'Data shares'!$C$2:$CY$539,101,0)</f>
        <v>-3.6799999999999999E-2</v>
      </c>
      <c r="E35" s="86">
        <f>VLOOKUP($A35,'Data shares'!$C:$FA,74)</f>
        <v>10004500</v>
      </c>
      <c r="F35" s="86">
        <f>VLOOKUP($A35,'Data shares'!$C:$FA,76)</f>
        <v>-439000</v>
      </c>
      <c r="G35" s="87">
        <f>VLOOKUP(A35,'Data shares'!$C$2:$CA$216,77,0)</f>
        <v>-4.2000000000000003E-2</v>
      </c>
      <c r="H35" s="86">
        <f>VLOOKUP($A35,'Data shares'!$C:$FA,90)</f>
        <v>3837000</v>
      </c>
      <c r="I35" s="86">
        <f>VLOOKUP($A35,'Data shares'!$C:$FA,92)</f>
        <v>-154000</v>
      </c>
      <c r="J35" s="87">
        <f>VLOOKUP($A35,'Data shares'!$C:$FA,93)</f>
        <v>-3.8600000000000002E-2</v>
      </c>
      <c r="K35" s="86">
        <f>VLOOKUP($A35,'Data shares'!$C:$FA,94)</f>
        <v>2814500</v>
      </c>
      <c r="L35" s="86">
        <f>VLOOKUP($A35,'Data shares'!$C:$FA,96)</f>
        <v>-44000</v>
      </c>
      <c r="M35" s="87">
        <f>VLOOKUP($A35,'Data shares'!$C:$FA,97)</f>
        <v>-1.54E-2</v>
      </c>
      <c r="N35" s="86">
        <f>VLOOKUP($A35,'Data shares'!$C:$FA,78)</f>
        <v>1002000</v>
      </c>
      <c r="O35" s="87">
        <f>VLOOKUP($A35,'Data shares'!$C:$FA,81)</f>
        <v>-0.68089999999999995</v>
      </c>
    </row>
    <row r="36" spans="1:15" x14ac:dyDescent="0.25">
      <c r="A36" s="100" t="str">
        <f>'OI(Value)'!A36</f>
        <v>BHARTIARTL</v>
      </c>
      <c r="B36" s="82">
        <f>VLOOKUP(A36,'Data shares'!$C$2:$CV$216,98,0)</f>
        <v>78556450</v>
      </c>
      <c r="C36" s="82">
        <f>VLOOKUP(A36,'Data shares'!$C$2:$CX$216,100,0)</f>
        <v>973750</v>
      </c>
      <c r="D36" s="141">
        <f>VLOOKUP(A36,'Data shares'!$C$2:$CY$539,101,0)</f>
        <v>1.26E-2</v>
      </c>
      <c r="E36" s="86">
        <f>VLOOKUP($A36,'Data shares'!$C:$FA,74)</f>
        <v>51093375</v>
      </c>
      <c r="F36" s="86">
        <f>VLOOKUP($A36,'Data shares'!$C:$FA,76)</f>
        <v>42750</v>
      </c>
      <c r="G36" s="87">
        <f>VLOOKUP(A36,'Data shares'!$C$2:$CA$216,77,0)</f>
        <v>8.0000000000000004E-4</v>
      </c>
      <c r="H36" s="86">
        <f>VLOOKUP($A36,'Data shares'!$C:$FA,90)</f>
        <v>15760975</v>
      </c>
      <c r="I36" s="86">
        <f>VLOOKUP($A36,'Data shares'!$C:$FA,92)</f>
        <v>-96425</v>
      </c>
      <c r="J36" s="87">
        <f>VLOOKUP($A36,'Data shares'!$C:$FA,93)</f>
        <v>-6.1000000000000004E-3</v>
      </c>
      <c r="K36" s="86">
        <f>VLOOKUP($A36,'Data shares'!$C:$FA,94)</f>
        <v>11702100</v>
      </c>
      <c r="L36" s="86">
        <f>VLOOKUP($A36,'Data shares'!$C:$FA,96)</f>
        <v>1027425</v>
      </c>
      <c r="M36" s="87">
        <f>VLOOKUP($A36,'Data shares'!$C:$FA,97)</f>
        <v>9.6199999999999994E-2</v>
      </c>
      <c r="N36" s="86">
        <f>VLOOKUP($A36,'Data shares'!$C:$FA,78)</f>
        <v>12448325</v>
      </c>
      <c r="O36" s="87">
        <f>VLOOKUP($A36,'Data shares'!$C:$FA,81)</f>
        <v>-0.44419999999999998</v>
      </c>
    </row>
    <row r="37" spans="1:15" x14ac:dyDescent="0.25">
      <c r="A37" s="100" t="str">
        <f>'OI(Value)'!A37</f>
        <v>BHEL</v>
      </c>
      <c r="B37" s="82">
        <f>VLOOKUP(A37,'Data shares'!$C$2:$CV$216,98,0)</f>
        <v>108549000</v>
      </c>
      <c r="C37" s="82">
        <f>VLOOKUP(A37,'Data shares'!$C$2:$CX$216,100,0)</f>
        <v>1139250</v>
      </c>
      <c r="D37" s="141">
        <f>VLOOKUP(A37,'Data shares'!$C$2:$CY$539,101,0)</f>
        <v>1.06E-2</v>
      </c>
      <c r="E37" s="86">
        <f>VLOOKUP($A37,'Data shares'!$C:$FA,74)</f>
        <v>61159875</v>
      </c>
      <c r="F37" s="86">
        <f>VLOOKUP($A37,'Data shares'!$C:$FA,76)</f>
        <v>1459500</v>
      </c>
      <c r="G37" s="87">
        <f>VLOOKUP(A37,'Data shares'!$C$2:$CA$216,77,0)</f>
        <v>2.4400000000000002E-2</v>
      </c>
      <c r="H37" s="86">
        <f>VLOOKUP($A37,'Data shares'!$C:$FA,90)</f>
        <v>28932750</v>
      </c>
      <c r="I37" s="86">
        <f>VLOOKUP($A37,'Data shares'!$C:$FA,92)</f>
        <v>-2044875</v>
      </c>
      <c r="J37" s="87">
        <f>VLOOKUP($A37,'Data shares'!$C:$FA,93)</f>
        <v>-6.6000000000000003E-2</v>
      </c>
      <c r="K37" s="86">
        <f>VLOOKUP($A37,'Data shares'!$C:$FA,94)</f>
        <v>18456375</v>
      </c>
      <c r="L37" s="86">
        <f>VLOOKUP($A37,'Data shares'!$C:$FA,96)</f>
        <v>1724625</v>
      </c>
      <c r="M37" s="87">
        <f>VLOOKUP($A37,'Data shares'!$C:$FA,97)</f>
        <v>0.1031</v>
      </c>
      <c r="N37" s="86">
        <f>VLOOKUP($A37,'Data shares'!$C:$FA,78)</f>
        <v>16036125</v>
      </c>
      <c r="O37" s="87">
        <f>VLOOKUP($A37,'Data shares'!$C:$FA,81)</f>
        <v>-0.43190000000000001</v>
      </c>
    </row>
    <row r="38" spans="1:15" x14ac:dyDescent="0.25">
      <c r="A38" s="100" t="str">
        <f>'OI(Value)'!A38</f>
        <v>BIOCON</v>
      </c>
      <c r="B38" s="82">
        <f>VLOOKUP(A38,'Data shares'!$C$2:$CV$216,98,0)</f>
        <v>66440000</v>
      </c>
      <c r="C38" s="82">
        <f>VLOOKUP(A38,'Data shares'!$C$2:$CX$216,100,0)</f>
        <v>-2295000</v>
      </c>
      <c r="D38" s="141">
        <f>VLOOKUP(A38,'Data shares'!$C$2:$CY$539,101,0)</f>
        <v>-3.3399999999999999E-2</v>
      </c>
      <c r="E38" s="86">
        <f>VLOOKUP($A38,'Data shares'!$C:$FA,74)</f>
        <v>41322500</v>
      </c>
      <c r="F38" s="86">
        <f>VLOOKUP($A38,'Data shares'!$C:$FA,76)</f>
        <v>-1345000</v>
      </c>
      <c r="G38" s="87">
        <f>VLOOKUP(A38,'Data shares'!$C$2:$CA$216,77,0)</f>
        <v>-3.15E-2</v>
      </c>
      <c r="H38" s="86">
        <f>VLOOKUP($A38,'Data shares'!$C:$FA,90)</f>
        <v>14917500</v>
      </c>
      <c r="I38" s="86">
        <f>VLOOKUP($A38,'Data shares'!$C:$FA,92)</f>
        <v>-582500</v>
      </c>
      <c r="J38" s="87">
        <f>VLOOKUP($A38,'Data shares'!$C:$FA,93)</f>
        <v>-3.7600000000000001E-2</v>
      </c>
      <c r="K38" s="86">
        <f>VLOOKUP($A38,'Data shares'!$C:$FA,94)</f>
        <v>10200000</v>
      </c>
      <c r="L38" s="86">
        <f>VLOOKUP($A38,'Data shares'!$C:$FA,96)</f>
        <v>-367500</v>
      </c>
      <c r="M38" s="87">
        <f>VLOOKUP($A38,'Data shares'!$C:$FA,97)</f>
        <v>-3.4799999999999998E-2</v>
      </c>
      <c r="N38" s="86">
        <f>VLOOKUP($A38,'Data shares'!$C:$FA,78)</f>
        <v>8532500</v>
      </c>
      <c r="O38" s="87">
        <f>VLOOKUP($A38,'Data shares'!$C:$FA,81)</f>
        <v>-0.60119999999999996</v>
      </c>
    </row>
    <row r="39" spans="1:15" x14ac:dyDescent="0.25">
      <c r="A39" s="100" t="str">
        <f>'OI(Value)'!A39</f>
        <v>BLUESTARCO</v>
      </c>
      <c r="B39" s="82">
        <f>VLOOKUP(A39,'Data shares'!$C$2:$CV$216,98,0)</f>
        <v>3083925</v>
      </c>
      <c r="C39" s="82">
        <f>VLOOKUP(A39,'Data shares'!$C$2:$CX$216,100,0)</f>
        <v>-286650</v>
      </c>
      <c r="D39" s="141">
        <f>VLOOKUP(A39,'Data shares'!$C$2:$CY$539,101,0)</f>
        <v>-8.5000000000000006E-2</v>
      </c>
      <c r="E39" s="86">
        <f>VLOOKUP($A39,'Data shares'!$C:$FA,74)</f>
        <v>1765400</v>
      </c>
      <c r="F39" s="86">
        <f>VLOOKUP($A39,'Data shares'!$C:$FA,76)</f>
        <v>-89700</v>
      </c>
      <c r="G39" s="87">
        <f>VLOOKUP(A39,'Data shares'!$C$2:$CA$216,77,0)</f>
        <v>-4.8399999999999999E-2</v>
      </c>
      <c r="H39" s="86">
        <f>VLOOKUP($A39,'Data shares'!$C:$FA,90)</f>
        <v>886275</v>
      </c>
      <c r="I39" s="86">
        <f>VLOOKUP($A39,'Data shares'!$C:$FA,92)</f>
        <v>-114075</v>
      </c>
      <c r="J39" s="87">
        <f>VLOOKUP($A39,'Data shares'!$C:$FA,93)</f>
        <v>-0.114</v>
      </c>
      <c r="K39" s="86">
        <f>VLOOKUP($A39,'Data shares'!$C:$FA,94)</f>
        <v>432250</v>
      </c>
      <c r="L39" s="86">
        <f>VLOOKUP($A39,'Data shares'!$C:$FA,96)</f>
        <v>-82875</v>
      </c>
      <c r="M39" s="87">
        <f>VLOOKUP($A39,'Data shares'!$C:$FA,97)</f>
        <v>-0.16089999999999999</v>
      </c>
      <c r="N39" s="86">
        <f>VLOOKUP($A39,'Data shares'!$C:$FA,78)</f>
        <v>349700</v>
      </c>
      <c r="O39" s="87">
        <f>VLOOKUP($A39,'Data shares'!$C:$FA,81)</f>
        <v>-0.52239999999999998</v>
      </c>
    </row>
    <row r="40" spans="1:15" x14ac:dyDescent="0.25">
      <c r="A40" s="100" t="str">
        <f>'OI(Value)'!A40</f>
        <v>BOSCHLTD</v>
      </c>
      <c r="B40" s="82">
        <f>VLOOKUP(A40,'Data shares'!$C$2:$CV$216,98,0)</f>
        <v>352600</v>
      </c>
      <c r="C40" s="82">
        <f>VLOOKUP(A40,'Data shares'!$C$2:$CX$216,100,0)</f>
        <v>-1800</v>
      </c>
      <c r="D40" s="141">
        <f>VLOOKUP(A40,'Data shares'!$C$2:$CY$539,101,0)</f>
        <v>-5.1000000000000004E-3</v>
      </c>
      <c r="E40" s="86">
        <f>VLOOKUP($A40,'Data shares'!$C:$FA,74)</f>
        <v>229475</v>
      </c>
      <c r="F40" s="86">
        <f>VLOOKUP($A40,'Data shares'!$C:$FA,76)</f>
        <v>-1500</v>
      </c>
      <c r="G40" s="87">
        <f>VLOOKUP(A40,'Data shares'!$C$2:$CA$216,77,0)</f>
        <v>-6.4999999999999997E-3</v>
      </c>
      <c r="H40" s="86">
        <f>VLOOKUP($A40,'Data shares'!$C:$FA,90)</f>
        <v>77600</v>
      </c>
      <c r="I40" s="86">
        <f>VLOOKUP($A40,'Data shares'!$C:$FA,92)</f>
        <v>2200</v>
      </c>
      <c r="J40" s="87">
        <f>VLOOKUP($A40,'Data shares'!$C:$FA,93)</f>
        <v>2.92E-2</v>
      </c>
      <c r="K40" s="86">
        <f>VLOOKUP($A40,'Data shares'!$C:$FA,94)</f>
        <v>45525</v>
      </c>
      <c r="L40" s="86">
        <f>VLOOKUP($A40,'Data shares'!$C:$FA,96)</f>
        <v>-2500</v>
      </c>
      <c r="M40" s="87">
        <f>VLOOKUP($A40,'Data shares'!$C:$FA,97)</f>
        <v>-5.21E-2</v>
      </c>
      <c r="N40" s="86">
        <f>VLOOKUP($A40,'Data shares'!$C:$FA,78)</f>
        <v>38475</v>
      </c>
      <c r="O40" s="87">
        <f>VLOOKUP($A40,'Data shares'!$C:$FA,81)</f>
        <v>-0.56899999999999995</v>
      </c>
    </row>
    <row r="41" spans="1:15" x14ac:dyDescent="0.25">
      <c r="A41" s="100" t="str">
        <f>'OI(Value)'!A41</f>
        <v>BPCL</v>
      </c>
      <c r="B41" s="82">
        <f>VLOOKUP(A41,'Data shares'!$C$2:$CV$216,98,0)</f>
        <v>74177050</v>
      </c>
      <c r="C41" s="82">
        <f>VLOOKUP(A41,'Data shares'!$C$2:$CX$216,100,0)</f>
        <v>-1817000</v>
      </c>
      <c r="D41" s="141">
        <f>VLOOKUP(A41,'Data shares'!$C$2:$CY$539,101,0)</f>
        <v>-2.3900000000000001E-2</v>
      </c>
      <c r="E41" s="86">
        <f>VLOOKUP($A41,'Data shares'!$C:$FA,74)</f>
        <v>48270975</v>
      </c>
      <c r="F41" s="86">
        <f>VLOOKUP($A41,'Data shares'!$C:$FA,76)</f>
        <v>-1700475</v>
      </c>
      <c r="G41" s="87">
        <f>VLOOKUP(A41,'Data shares'!$C$2:$CA$216,77,0)</f>
        <v>-3.4000000000000002E-2</v>
      </c>
      <c r="H41" s="86">
        <f>VLOOKUP($A41,'Data shares'!$C:$FA,90)</f>
        <v>14731525</v>
      </c>
      <c r="I41" s="86">
        <f>VLOOKUP($A41,'Data shares'!$C:$FA,92)</f>
        <v>-1106000</v>
      </c>
      <c r="J41" s="87">
        <f>VLOOKUP($A41,'Data shares'!$C:$FA,93)</f>
        <v>-6.9800000000000001E-2</v>
      </c>
      <c r="K41" s="86">
        <f>VLOOKUP($A41,'Data shares'!$C:$FA,94)</f>
        <v>11174550</v>
      </c>
      <c r="L41" s="86">
        <f>VLOOKUP($A41,'Data shares'!$C:$FA,96)</f>
        <v>989475</v>
      </c>
      <c r="M41" s="87">
        <f>VLOOKUP($A41,'Data shares'!$C:$FA,97)</f>
        <v>9.7100000000000006E-2</v>
      </c>
      <c r="N41" s="86">
        <f>VLOOKUP($A41,'Data shares'!$C:$FA,78)</f>
        <v>22590050</v>
      </c>
      <c r="O41" s="87">
        <f>VLOOKUP($A41,'Data shares'!$C:$FA,81)</f>
        <v>-0.2412</v>
      </c>
    </row>
    <row r="42" spans="1:15" x14ac:dyDescent="0.25">
      <c r="A42" s="100" t="str">
        <f>'OI(Value)'!A42</f>
        <v>BRITANNIA</v>
      </c>
      <c r="B42" s="82">
        <f>VLOOKUP(A42,'Data shares'!$C$2:$CV$216,98,0)</f>
        <v>5104000</v>
      </c>
      <c r="C42" s="82">
        <f>VLOOKUP(A42,'Data shares'!$C$2:$CX$216,100,0)</f>
        <v>7875</v>
      </c>
      <c r="D42" s="141">
        <f>VLOOKUP(A42,'Data shares'!$C$2:$CY$539,101,0)</f>
        <v>1.5E-3</v>
      </c>
      <c r="E42" s="86">
        <f>VLOOKUP($A42,'Data shares'!$C:$FA,74)</f>
        <v>3510500</v>
      </c>
      <c r="F42" s="86">
        <f>VLOOKUP($A42,'Data shares'!$C:$FA,76)</f>
        <v>-114625</v>
      </c>
      <c r="G42" s="87">
        <f>VLOOKUP(A42,'Data shares'!$C$2:$CA$216,77,0)</f>
        <v>-3.1600000000000003E-2</v>
      </c>
      <c r="H42" s="86">
        <f>VLOOKUP($A42,'Data shares'!$C:$FA,90)</f>
        <v>908125</v>
      </c>
      <c r="I42" s="86">
        <f>VLOOKUP($A42,'Data shares'!$C:$FA,92)</f>
        <v>79250</v>
      </c>
      <c r="J42" s="87">
        <f>VLOOKUP($A42,'Data shares'!$C:$FA,93)</f>
        <v>9.5600000000000004E-2</v>
      </c>
      <c r="K42" s="86">
        <f>VLOOKUP($A42,'Data shares'!$C:$FA,94)</f>
        <v>685375</v>
      </c>
      <c r="L42" s="86">
        <f>VLOOKUP($A42,'Data shares'!$C:$FA,96)</f>
        <v>43250</v>
      </c>
      <c r="M42" s="87">
        <f>VLOOKUP($A42,'Data shares'!$C:$FA,97)</f>
        <v>6.7400000000000002E-2</v>
      </c>
      <c r="N42" s="86">
        <f>VLOOKUP($A42,'Data shares'!$C:$FA,78)</f>
        <v>712500</v>
      </c>
      <c r="O42" s="87">
        <f>VLOOKUP($A42,'Data shares'!$C:$FA,81)</f>
        <v>-0.5675</v>
      </c>
    </row>
    <row r="43" spans="1:15" x14ac:dyDescent="0.25">
      <c r="A43" s="100" t="str">
        <f>'OI(Value)'!A43</f>
        <v>BSE</v>
      </c>
      <c r="B43" s="82">
        <f>VLOOKUP(A43,'Data shares'!$C$2:$CV$216,98,0)</f>
        <v>28315125</v>
      </c>
      <c r="C43" s="82">
        <f>VLOOKUP(A43,'Data shares'!$C$2:$CX$216,100,0)</f>
        <v>-1140750</v>
      </c>
      <c r="D43" s="141">
        <f>VLOOKUP(A43,'Data shares'!$C$2:$CY$539,101,0)</f>
        <v>-3.8699999999999998E-2</v>
      </c>
      <c r="E43" s="86">
        <f>VLOOKUP($A43,'Data shares'!$C:$FA,74)</f>
        <v>13159500</v>
      </c>
      <c r="F43" s="86">
        <f>VLOOKUP($A43,'Data shares'!$C:$FA,76)</f>
        <v>79500</v>
      </c>
      <c r="G43" s="87">
        <f>VLOOKUP(A43,'Data shares'!$C$2:$CA$216,77,0)</f>
        <v>6.1000000000000004E-3</v>
      </c>
      <c r="H43" s="86">
        <f>VLOOKUP($A43,'Data shares'!$C:$FA,90)</f>
        <v>8539875</v>
      </c>
      <c r="I43" s="86">
        <f>VLOOKUP($A43,'Data shares'!$C:$FA,92)</f>
        <v>-723750</v>
      </c>
      <c r="J43" s="87">
        <f>VLOOKUP($A43,'Data shares'!$C:$FA,93)</f>
        <v>-7.8100000000000003E-2</v>
      </c>
      <c r="K43" s="86">
        <f>VLOOKUP($A43,'Data shares'!$C:$FA,94)</f>
        <v>6615750</v>
      </c>
      <c r="L43" s="86">
        <f>VLOOKUP($A43,'Data shares'!$C:$FA,96)</f>
        <v>-496500</v>
      </c>
      <c r="M43" s="87">
        <f>VLOOKUP($A43,'Data shares'!$C:$FA,97)</f>
        <v>-6.9800000000000001E-2</v>
      </c>
      <c r="N43" s="86">
        <f>VLOOKUP($A43,'Data shares'!$C:$FA,78)</f>
        <v>3662625</v>
      </c>
      <c r="O43" s="87">
        <f>VLOOKUP($A43,'Data shares'!$C:$FA,81)</f>
        <v>-0.46800000000000003</v>
      </c>
    </row>
    <row r="44" spans="1:15" x14ac:dyDescent="0.25">
      <c r="A44" s="100" t="str">
        <f>'OI(Value)'!A44</f>
        <v>CAMS</v>
      </c>
      <c r="B44" s="82">
        <f>VLOOKUP(A44,'Data shares'!$C$2:$CV$216,98,0)</f>
        <v>3773850</v>
      </c>
      <c r="C44" s="82">
        <f>VLOOKUP(A44,'Data shares'!$C$2:$CX$216,100,0)</f>
        <v>-275400</v>
      </c>
      <c r="D44" s="141">
        <f>VLOOKUP(A44,'Data shares'!$C$2:$CY$539,101,0)</f>
        <v>-6.8000000000000005E-2</v>
      </c>
      <c r="E44" s="86">
        <f>VLOOKUP($A44,'Data shares'!$C:$FA,74)</f>
        <v>2059650</v>
      </c>
      <c r="F44" s="86">
        <f>VLOOKUP($A44,'Data shares'!$C:$FA,76)</f>
        <v>-119100</v>
      </c>
      <c r="G44" s="87">
        <f>VLOOKUP(A44,'Data shares'!$C$2:$CA$216,77,0)</f>
        <v>-5.4699999999999999E-2</v>
      </c>
      <c r="H44" s="86">
        <f>VLOOKUP($A44,'Data shares'!$C:$FA,90)</f>
        <v>965250</v>
      </c>
      <c r="I44" s="86">
        <f>VLOOKUP($A44,'Data shares'!$C:$FA,92)</f>
        <v>-166050</v>
      </c>
      <c r="J44" s="87">
        <f>VLOOKUP($A44,'Data shares'!$C:$FA,93)</f>
        <v>-0.14680000000000001</v>
      </c>
      <c r="K44" s="86">
        <f>VLOOKUP($A44,'Data shares'!$C:$FA,94)</f>
        <v>748950</v>
      </c>
      <c r="L44" s="86">
        <f>VLOOKUP($A44,'Data shares'!$C:$FA,96)</f>
        <v>9750</v>
      </c>
      <c r="M44" s="87">
        <f>VLOOKUP($A44,'Data shares'!$C:$FA,97)</f>
        <v>1.32E-2</v>
      </c>
      <c r="N44" s="86">
        <f>VLOOKUP($A44,'Data shares'!$C:$FA,78)</f>
        <v>451050</v>
      </c>
      <c r="O44" s="87">
        <f>VLOOKUP($A44,'Data shares'!$C:$FA,81)</f>
        <v>-0.52239999999999998</v>
      </c>
    </row>
    <row r="45" spans="1:15" x14ac:dyDescent="0.25">
      <c r="A45" s="100" t="str">
        <f>'OI(Value)'!A45</f>
        <v>CANBK</v>
      </c>
      <c r="B45" s="82">
        <f>VLOOKUP(A45,'Data shares'!$C$2:$CV$216,98,0)</f>
        <v>468011250</v>
      </c>
      <c r="C45" s="82">
        <f>VLOOKUP(A45,'Data shares'!$C$2:$CX$216,100,0)</f>
        <v>-14634000</v>
      </c>
      <c r="D45" s="141">
        <f>VLOOKUP(A45,'Data shares'!$C$2:$CY$539,101,0)</f>
        <v>-3.0300000000000001E-2</v>
      </c>
      <c r="E45" s="86">
        <f>VLOOKUP($A45,'Data shares'!$C:$FA,74)</f>
        <v>257080500</v>
      </c>
      <c r="F45" s="86">
        <f>VLOOKUP($A45,'Data shares'!$C:$FA,76)</f>
        <v>-7202250</v>
      </c>
      <c r="G45" s="87">
        <f>VLOOKUP(A45,'Data shares'!$C$2:$CA$216,77,0)</f>
        <v>-2.7300000000000001E-2</v>
      </c>
      <c r="H45" s="86">
        <f>VLOOKUP($A45,'Data shares'!$C:$FA,90)</f>
        <v>109964250</v>
      </c>
      <c r="I45" s="86">
        <f>VLOOKUP($A45,'Data shares'!$C:$FA,92)</f>
        <v>-13122000</v>
      </c>
      <c r="J45" s="87">
        <f>VLOOKUP($A45,'Data shares'!$C:$FA,93)</f>
        <v>-0.1066</v>
      </c>
      <c r="K45" s="86">
        <f>VLOOKUP($A45,'Data shares'!$C:$FA,94)</f>
        <v>100966500</v>
      </c>
      <c r="L45" s="86">
        <f>VLOOKUP($A45,'Data shares'!$C:$FA,96)</f>
        <v>5690250</v>
      </c>
      <c r="M45" s="87">
        <f>VLOOKUP($A45,'Data shares'!$C:$FA,97)</f>
        <v>5.9700000000000003E-2</v>
      </c>
      <c r="N45" s="86">
        <f>VLOOKUP($A45,'Data shares'!$C:$FA,78)</f>
        <v>46980000</v>
      </c>
      <c r="O45" s="87">
        <f>VLOOKUP($A45,'Data shares'!$C:$FA,81)</f>
        <v>-0.60140000000000005</v>
      </c>
    </row>
    <row r="46" spans="1:15" x14ac:dyDescent="0.25">
      <c r="A46" s="100" t="str">
        <f>'OI(Value)'!A46</f>
        <v>CDSL</v>
      </c>
      <c r="B46" s="82">
        <f>VLOOKUP(A46,'Data shares'!$C$2:$CV$216,98,0)</f>
        <v>18823300</v>
      </c>
      <c r="C46" s="82">
        <f>VLOOKUP(A46,'Data shares'!$C$2:$CX$216,100,0)</f>
        <v>-927200</v>
      </c>
      <c r="D46" s="141">
        <f>VLOOKUP(A46,'Data shares'!$C$2:$CY$539,101,0)</f>
        <v>-4.6899999999999997E-2</v>
      </c>
      <c r="E46" s="86">
        <f>VLOOKUP($A46,'Data shares'!$C:$FA,74)</f>
        <v>8872525</v>
      </c>
      <c r="F46" s="86">
        <f>VLOOKUP($A46,'Data shares'!$C:$FA,76)</f>
        <v>-89775</v>
      </c>
      <c r="G46" s="87">
        <f>VLOOKUP(A46,'Data shares'!$C$2:$CA$216,77,0)</f>
        <v>-0.01</v>
      </c>
      <c r="H46" s="86">
        <f>VLOOKUP($A46,'Data shares'!$C:$FA,90)</f>
        <v>5544675</v>
      </c>
      <c r="I46" s="86">
        <f>VLOOKUP($A46,'Data shares'!$C:$FA,92)</f>
        <v>-888725</v>
      </c>
      <c r="J46" s="87">
        <f>VLOOKUP($A46,'Data shares'!$C:$FA,93)</f>
        <v>-0.1381</v>
      </c>
      <c r="K46" s="86">
        <f>VLOOKUP($A46,'Data shares'!$C:$FA,94)</f>
        <v>4406100</v>
      </c>
      <c r="L46" s="86">
        <f>VLOOKUP($A46,'Data shares'!$C:$FA,96)</f>
        <v>51300</v>
      </c>
      <c r="M46" s="87">
        <f>VLOOKUP($A46,'Data shares'!$C:$FA,97)</f>
        <v>1.18E-2</v>
      </c>
      <c r="N46" s="86">
        <f>VLOOKUP($A46,'Data shares'!$C:$FA,78)</f>
        <v>2076225</v>
      </c>
      <c r="O46" s="87">
        <f>VLOOKUP($A46,'Data shares'!$C:$FA,81)</f>
        <v>-0.43240000000000001</v>
      </c>
    </row>
    <row r="47" spans="1:15" x14ac:dyDescent="0.25">
      <c r="A47" s="100" t="str">
        <f>'OI(Value)'!A47</f>
        <v>CGPOWER</v>
      </c>
      <c r="B47" s="82">
        <f>VLOOKUP(A47,'Data shares'!$C$2:$CV$216,98,0)</f>
        <v>24514000</v>
      </c>
      <c r="C47" s="82">
        <f>VLOOKUP(A47,'Data shares'!$C$2:$CX$216,100,0)</f>
        <v>-1530000</v>
      </c>
      <c r="D47" s="141">
        <f>VLOOKUP(A47,'Data shares'!$C$2:$CY$539,101,0)</f>
        <v>-5.8700000000000002E-2</v>
      </c>
      <c r="E47" s="86">
        <f>VLOOKUP($A47,'Data shares'!$C:$FA,74)</f>
        <v>15108750</v>
      </c>
      <c r="F47" s="86">
        <f>VLOOKUP($A47,'Data shares'!$C:$FA,76)</f>
        <v>-673200</v>
      </c>
      <c r="G47" s="87">
        <f>VLOOKUP(A47,'Data shares'!$C$2:$CA$216,77,0)</f>
        <v>-4.2700000000000002E-2</v>
      </c>
      <c r="H47" s="86">
        <f>VLOOKUP($A47,'Data shares'!$C:$FA,90)</f>
        <v>5626150</v>
      </c>
      <c r="I47" s="86">
        <f>VLOOKUP($A47,'Data shares'!$C:$FA,92)</f>
        <v>-693600</v>
      </c>
      <c r="J47" s="87">
        <f>VLOOKUP($A47,'Data shares'!$C:$FA,93)</f>
        <v>-0.10979999999999999</v>
      </c>
      <c r="K47" s="86">
        <f>VLOOKUP($A47,'Data shares'!$C:$FA,94)</f>
        <v>3779100</v>
      </c>
      <c r="L47" s="86">
        <f>VLOOKUP($A47,'Data shares'!$C:$FA,96)</f>
        <v>-163200</v>
      </c>
      <c r="M47" s="87">
        <f>VLOOKUP($A47,'Data shares'!$C:$FA,97)</f>
        <v>-4.1399999999999999E-2</v>
      </c>
      <c r="N47" s="86">
        <f>VLOOKUP($A47,'Data shares'!$C:$FA,78)</f>
        <v>2498150</v>
      </c>
      <c r="O47" s="87">
        <f>VLOOKUP($A47,'Data shares'!$C:$FA,81)</f>
        <v>-0.61439999999999995</v>
      </c>
    </row>
    <row r="48" spans="1:15" x14ac:dyDescent="0.25">
      <c r="A48" s="100" t="str">
        <f>'OI(Value)'!A48</f>
        <v>CHOLAFIN</v>
      </c>
      <c r="B48" s="82">
        <f>VLOOKUP(A48,'Data shares'!$C$2:$CV$216,98,0)</f>
        <v>23240000</v>
      </c>
      <c r="C48" s="82">
        <f>VLOOKUP(A48,'Data shares'!$C$2:$CX$216,100,0)</f>
        <v>-87500</v>
      </c>
      <c r="D48" s="141">
        <f>VLOOKUP(A48,'Data shares'!$C$2:$CY$539,101,0)</f>
        <v>-3.8E-3</v>
      </c>
      <c r="E48" s="86">
        <f>VLOOKUP($A48,'Data shares'!$C:$FA,74)</f>
        <v>16679375</v>
      </c>
      <c r="F48" s="86">
        <f>VLOOKUP($A48,'Data shares'!$C:$FA,76)</f>
        <v>-226875</v>
      </c>
      <c r="G48" s="87">
        <f>VLOOKUP(A48,'Data shares'!$C$2:$CA$216,77,0)</f>
        <v>-1.34E-2</v>
      </c>
      <c r="H48" s="86">
        <f>VLOOKUP($A48,'Data shares'!$C:$FA,90)</f>
        <v>3693125</v>
      </c>
      <c r="I48" s="86">
        <f>VLOOKUP($A48,'Data shares'!$C:$FA,92)</f>
        <v>61875</v>
      </c>
      <c r="J48" s="87">
        <f>VLOOKUP($A48,'Data shares'!$C:$FA,93)</f>
        <v>1.7000000000000001E-2</v>
      </c>
      <c r="K48" s="86">
        <f>VLOOKUP($A48,'Data shares'!$C:$FA,94)</f>
        <v>2867500</v>
      </c>
      <c r="L48" s="86">
        <f>VLOOKUP($A48,'Data shares'!$C:$FA,96)</f>
        <v>77500</v>
      </c>
      <c r="M48" s="87">
        <f>VLOOKUP($A48,'Data shares'!$C:$FA,97)</f>
        <v>2.7799999999999998E-2</v>
      </c>
      <c r="N48" s="86">
        <f>VLOOKUP($A48,'Data shares'!$C:$FA,78)</f>
        <v>1655000</v>
      </c>
      <c r="O48" s="87">
        <f>VLOOKUP($A48,'Data shares'!$C:$FA,81)</f>
        <v>-0.66439999999999999</v>
      </c>
    </row>
    <row r="49" spans="1:15" x14ac:dyDescent="0.25">
      <c r="A49" s="100" t="str">
        <f>'OI(Value)'!A49</f>
        <v>CIPLA</v>
      </c>
      <c r="B49" s="82">
        <f>VLOOKUP(A49,'Data shares'!$C$2:$CV$216,98,0)</f>
        <v>32928375</v>
      </c>
      <c r="C49" s="82">
        <f>VLOOKUP(A49,'Data shares'!$C$2:$CX$216,100,0)</f>
        <v>-1005750</v>
      </c>
      <c r="D49" s="141">
        <f>VLOOKUP(A49,'Data shares'!$C$2:$CY$539,101,0)</f>
        <v>-2.9600000000000001E-2</v>
      </c>
      <c r="E49" s="86">
        <f>VLOOKUP($A49,'Data shares'!$C:$FA,74)</f>
        <v>16620375</v>
      </c>
      <c r="F49" s="86">
        <f>VLOOKUP($A49,'Data shares'!$C:$FA,76)</f>
        <v>-330000</v>
      </c>
      <c r="G49" s="87">
        <f>VLOOKUP(A49,'Data shares'!$C$2:$CA$216,77,0)</f>
        <v>-1.95E-2</v>
      </c>
      <c r="H49" s="86">
        <f>VLOOKUP($A49,'Data shares'!$C:$FA,90)</f>
        <v>10969500</v>
      </c>
      <c r="I49" s="86">
        <f>VLOOKUP($A49,'Data shares'!$C:$FA,92)</f>
        <v>-592875</v>
      </c>
      <c r="J49" s="87">
        <f>VLOOKUP($A49,'Data shares'!$C:$FA,93)</f>
        <v>-5.1299999999999998E-2</v>
      </c>
      <c r="K49" s="86">
        <f>VLOOKUP($A49,'Data shares'!$C:$FA,94)</f>
        <v>5338500</v>
      </c>
      <c r="L49" s="86">
        <f>VLOOKUP($A49,'Data shares'!$C:$FA,96)</f>
        <v>-82875</v>
      </c>
      <c r="M49" s="87">
        <f>VLOOKUP($A49,'Data shares'!$C:$FA,97)</f>
        <v>-1.5299999999999999E-2</v>
      </c>
      <c r="N49" s="86">
        <f>VLOOKUP($A49,'Data shares'!$C:$FA,78)</f>
        <v>2198625</v>
      </c>
      <c r="O49" s="87">
        <f>VLOOKUP($A49,'Data shares'!$C:$FA,81)</f>
        <v>-0.65700000000000003</v>
      </c>
    </row>
    <row r="50" spans="1:15" x14ac:dyDescent="0.25">
      <c r="A50" s="100" t="str">
        <f>'OI(Value)'!A50</f>
        <v>COALINDIA</v>
      </c>
      <c r="B50" s="82">
        <f>VLOOKUP(A50,'Data shares'!$C$2:$CV$216,98,0)</f>
        <v>116455050</v>
      </c>
      <c r="C50" s="82">
        <f>VLOOKUP(A50,'Data shares'!$C$2:$CX$216,100,0)</f>
        <v>-545400</v>
      </c>
      <c r="D50" s="141">
        <f>VLOOKUP(A50,'Data shares'!$C$2:$CY$539,101,0)</f>
        <v>-4.7000000000000002E-3</v>
      </c>
      <c r="E50" s="86">
        <f>VLOOKUP($A50,'Data shares'!$C:$FA,74)</f>
        <v>68561100</v>
      </c>
      <c r="F50" s="86">
        <f>VLOOKUP($A50,'Data shares'!$C:$FA,76)</f>
        <v>-1379700</v>
      </c>
      <c r="G50" s="87">
        <f>VLOOKUP(A50,'Data shares'!$C$2:$CA$216,77,0)</f>
        <v>-1.9699999999999999E-2</v>
      </c>
      <c r="H50" s="86">
        <f>VLOOKUP($A50,'Data shares'!$C:$FA,90)</f>
        <v>26106300</v>
      </c>
      <c r="I50" s="86">
        <f>VLOOKUP($A50,'Data shares'!$C:$FA,92)</f>
        <v>-992250</v>
      </c>
      <c r="J50" s="87">
        <f>VLOOKUP($A50,'Data shares'!$C:$FA,93)</f>
        <v>-3.6600000000000001E-2</v>
      </c>
      <c r="K50" s="86">
        <f>VLOOKUP($A50,'Data shares'!$C:$FA,94)</f>
        <v>21787650</v>
      </c>
      <c r="L50" s="86">
        <f>VLOOKUP($A50,'Data shares'!$C:$FA,96)</f>
        <v>1826550</v>
      </c>
      <c r="M50" s="87">
        <f>VLOOKUP($A50,'Data shares'!$C:$FA,97)</f>
        <v>9.1499999999999998E-2</v>
      </c>
      <c r="N50" s="86">
        <f>VLOOKUP($A50,'Data shares'!$C:$FA,78)</f>
        <v>30318300</v>
      </c>
      <c r="O50" s="87">
        <f>VLOOKUP($A50,'Data shares'!$C:$FA,81)</f>
        <v>-0.36409999999999998</v>
      </c>
    </row>
    <row r="51" spans="1:15" x14ac:dyDescent="0.25">
      <c r="A51" s="100" t="str">
        <f>'OI(Value)'!A51</f>
        <v>COFORGE</v>
      </c>
      <c r="B51" s="82">
        <f>VLOOKUP(A51,'Data shares'!$C$2:$CV$216,98,0)</f>
        <v>24960750</v>
      </c>
      <c r="C51" s="82">
        <f>VLOOKUP(A51,'Data shares'!$C$2:$CX$216,100,0)</f>
        <v>-55875</v>
      </c>
      <c r="D51" s="141">
        <f>VLOOKUP(A51,'Data shares'!$C$2:$CY$539,101,0)</f>
        <v>-2.2000000000000001E-3</v>
      </c>
      <c r="E51" s="86">
        <f>VLOOKUP($A51,'Data shares'!$C:$FA,74)</f>
        <v>13630875</v>
      </c>
      <c r="F51" s="86">
        <f>VLOOKUP($A51,'Data shares'!$C:$FA,76)</f>
        <v>403125</v>
      </c>
      <c r="G51" s="87">
        <f>VLOOKUP(A51,'Data shares'!$C$2:$CA$216,77,0)</f>
        <v>3.0499999999999999E-2</v>
      </c>
      <c r="H51" s="86">
        <f>VLOOKUP($A51,'Data shares'!$C:$FA,90)</f>
        <v>6734250</v>
      </c>
      <c r="I51" s="86">
        <f>VLOOKUP($A51,'Data shares'!$C:$FA,92)</f>
        <v>-800625</v>
      </c>
      <c r="J51" s="87">
        <f>VLOOKUP($A51,'Data shares'!$C:$FA,93)</f>
        <v>-0.10630000000000001</v>
      </c>
      <c r="K51" s="86">
        <f>VLOOKUP($A51,'Data shares'!$C:$FA,94)</f>
        <v>4595625</v>
      </c>
      <c r="L51" s="86">
        <f>VLOOKUP($A51,'Data shares'!$C:$FA,96)</f>
        <v>341625</v>
      </c>
      <c r="M51" s="87">
        <f>VLOOKUP($A51,'Data shares'!$C:$FA,97)</f>
        <v>8.0299999999999996E-2</v>
      </c>
      <c r="N51" s="86">
        <f>VLOOKUP($A51,'Data shares'!$C:$FA,78)</f>
        <v>1191750</v>
      </c>
      <c r="O51" s="87">
        <f>VLOOKUP($A51,'Data shares'!$C:$FA,81)</f>
        <v>-0.66220000000000001</v>
      </c>
    </row>
    <row r="52" spans="1:15" x14ac:dyDescent="0.25">
      <c r="A52" s="100" t="str">
        <f>'OI(Value)'!A52</f>
        <v>COLPAL</v>
      </c>
      <c r="B52" s="82">
        <f>VLOOKUP(A52,'Data shares'!$C$2:$CV$216,98,0)</f>
        <v>10971225</v>
      </c>
      <c r="C52" s="82">
        <f>VLOOKUP(A52,'Data shares'!$C$2:$CX$216,100,0)</f>
        <v>134550</v>
      </c>
      <c r="D52" s="141">
        <f>VLOOKUP(A52,'Data shares'!$C$2:$CY$539,101,0)</f>
        <v>1.24E-2</v>
      </c>
      <c r="E52" s="86">
        <f>VLOOKUP($A52,'Data shares'!$C:$FA,74)</f>
        <v>5897475</v>
      </c>
      <c r="F52" s="86">
        <f>VLOOKUP($A52,'Data shares'!$C:$FA,76)</f>
        <v>226800</v>
      </c>
      <c r="G52" s="87">
        <f>VLOOKUP(A52,'Data shares'!$C$2:$CA$216,77,0)</f>
        <v>0.04</v>
      </c>
      <c r="H52" s="86">
        <f>VLOOKUP($A52,'Data shares'!$C:$FA,90)</f>
        <v>3042000</v>
      </c>
      <c r="I52" s="86">
        <f>VLOOKUP($A52,'Data shares'!$C:$FA,92)</f>
        <v>36675</v>
      </c>
      <c r="J52" s="87">
        <f>VLOOKUP($A52,'Data shares'!$C:$FA,93)</f>
        <v>1.2200000000000001E-2</v>
      </c>
      <c r="K52" s="86">
        <f>VLOOKUP($A52,'Data shares'!$C:$FA,94)</f>
        <v>2031750</v>
      </c>
      <c r="L52" s="86">
        <f>VLOOKUP($A52,'Data shares'!$C:$FA,96)</f>
        <v>-128925</v>
      </c>
      <c r="M52" s="87">
        <f>VLOOKUP($A52,'Data shares'!$C:$FA,97)</f>
        <v>-5.9700000000000003E-2</v>
      </c>
      <c r="N52" s="86">
        <f>VLOOKUP($A52,'Data shares'!$C:$FA,78)</f>
        <v>536175</v>
      </c>
      <c r="O52" s="87">
        <f>VLOOKUP($A52,'Data shares'!$C:$FA,81)</f>
        <v>-0.62680000000000002</v>
      </c>
    </row>
    <row r="53" spans="1:15" x14ac:dyDescent="0.25">
      <c r="A53" s="100" t="str">
        <f>'OI(Value)'!A53</f>
        <v>CONCOR</v>
      </c>
      <c r="B53" s="82">
        <f>VLOOKUP(A53,'Data shares'!$C$2:$CV$216,98,0)</f>
        <v>45273750</v>
      </c>
      <c r="C53" s="82">
        <f>VLOOKUP(A53,'Data shares'!$C$2:$CX$216,100,0)</f>
        <v>-827500</v>
      </c>
      <c r="D53" s="141">
        <f>VLOOKUP(A53,'Data shares'!$C$2:$CY$539,101,0)</f>
        <v>-1.7899999999999999E-2</v>
      </c>
      <c r="E53" s="86">
        <f>VLOOKUP($A53,'Data shares'!$C:$FA,74)</f>
        <v>27176250</v>
      </c>
      <c r="F53" s="86">
        <f>VLOOKUP($A53,'Data shares'!$C:$FA,76)</f>
        <v>-242500</v>
      </c>
      <c r="G53" s="87">
        <f>VLOOKUP(A53,'Data shares'!$C$2:$CA$216,77,0)</f>
        <v>-8.8000000000000005E-3</v>
      </c>
      <c r="H53" s="86">
        <f>VLOOKUP($A53,'Data shares'!$C:$FA,90)</f>
        <v>10120000</v>
      </c>
      <c r="I53" s="86">
        <f>VLOOKUP($A53,'Data shares'!$C:$FA,92)</f>
        <v>-236250</v>
      </c>
      <c r="J53" s="87">
        <f>VLOOKUP($A53,'Data shares'!$C:$FA,93)</f>
        <v>-2.2800000000000001E-2</v>
      </c>
      <c r="K53" s="86">
        <f>VLOOKUP($A53,'Data shares'!$C:$FA,94)</f>
        <v>7977500</v>
      </c>
      <c r="L53" s="86">
        <f>VLOOKUP($A53,'Data shares'!$C:$FA,96)</f>
        <v>-348750</v>
      </c>
      <c r="M53" s="87">
        <f>VLOOKUP($A53,'Data shares'!$C:$FA,97)</f>
        <v>-4.19E-2</v>
      </c>
      <c r="N53" s="86">
        <f>VLOOKUP($A53,'Data shares'!$C:$FA,78)</f>
        <v>5208750</v>
      </c>
      <c r="O53" s="87">
        <f>VLOOKUP($A53,'Data shares'!$C:$FA,81)</f>
        <v>-0.48110000000000003</v>
      </c>
    </row>
    <row r="54" spans="1:15" x14ac:dyDescent="0.25">
      <c r="A54" s="100" t="str">
        <f>'OI(Value)'!A54</f>
        <v>CROMPTON</v>
      </c>
      <c r="B54" s="82">
        <f>VLOOKUP(A54,'Data shares'!$C$2:$CV$216,98,0)</f>
        <v>90675000</v>
      </c>
      <c r="C54" s="82">
        <f>VLOOKUP(A54,'Data shares'!$C$2:$CX$216,100,0)</f>
        <v>6523200</v>
      </c>
      <c r="D54" s="141">
        <f>VLOOKUP(A54,'Data shares'!$C$2:$CY$539,101,0)</f>
        <v>7.7499999999999999E-2</v>
      </c>
      <c r="E54" s="86">
        <f>VLOOKUP($A54,'Data shares'!$C:$FA,74)</f>
        <v>57526200</v>
      </c>
      <c r="F54" s="86">
        <f>VLOOKUP($A54,'Data shares'!$C:$FA,76)</f>
        <v>1701000</v>
      </c>
      <c r="G54" s="87">
        <f>VLOOKUP(A54,'Data shares'!$C$2:$CA$216,77,0)</f>
        <v>3.0499999999999999E-2</v>
      </c>
      <c r="H54" s="86">
        <f>VLOOKUP($A54,'Data shares'!$C:$FA,90)</f>
        <v>20680200</v>
      </c>
      <c r="I54" s="86">
        <f>VLOOKUP($A54,'Data shares'!$C:$FA,92)</f>
        <v>3290400</v>
      </c>
      <c r="J54" s="87">
        <f>VLOOKUP($A54,'Data shares'!$C:$FA,93)</f>
        <v>0.18920000000000001</v>
      </c>
      <c r="K54" s="86">
        <f>VLOOKUP($A54,'Data shares'!$C:$FA,94)</f>
        <v>12468600</v>
      </c>
      <c r="L54" s="86">
        <f>VLOOKUP($A54,'Data shares'!$C:$FA,96)</f>
        <v>1531800</v>
      </c>
      <c r="M54" s="87">
        <f>VLOOKUP($A54,'Data shares'!$C:$FA,97)</f>
        <v>0.1401</v>
      </c>
      <c r="N54" s="86">
        <f>VLOOKUP($A54,'Data shares'!$C:$FA,78)</f>
        <v>8319600</v>
      </c>
      <c r="O54" s="87">
        <f>VLOOKUP($A54,'Data shares'!$C:$FA,81)</f>
        <v>-0.57879999999999998</v>
      </c>
    </row>
    <row r="55" spans="1:15" x14ac:dyDescent="0.25">
      <c r="A55" s="100" t="str">
        <f>'OI(Value)'!A55</f>
        <v>CUMMINSIND</v>
      </c>
      <c r="B55" s="82">
        <f>VLOOKUP(A55,'Data shares'!$C$2:$CV$216,98,0)</f>
        <v>5400400</v>
      </c>
      <c r="C55" s="82">
        <f>VLOOKUP(A55,'Data shares'!$C$2:$CX$216,100,0)</f>
        <v>529600</v>
      </c>
      <c r="D55" s="141">
        <f>VLOOKUP(A55,'Data shares'!$C$2:$CY$539,101,0)</f>
        <v>0.1087</v>
      </c>
      <c r="E55" s="86">
        <f>VLOOKUP($A55,'Data shares'!$C:$FA,74)</f>
        <v>3107800</v>
      </c>
      <c r="F55" s="86">
        <f>VLOOKUP($A55,'Data shares'!$C:$FA,76)</f>
        <v>169800</v>
      </c>
      <c r="G55" s="87">
        <f>VLOOKUP(A55,'Data shares'!$C$2:$CA$216,77,0)</f>
        <v>5.7799999999999997E-2</v>
      </c>
      <c r="H55" s="86">
        <f>VLOOKUP($A55,'Data shares'!$C:$FA,90)</f>
        <v>1078600</v>
      </c>
      <c r="I55" s="86">
        <f>VLOOKUP($A55,'Data shares'!$C:$FA,92)</f>
        <v>-4000</v>
      </c>
      <c r="J55" s="87">
        <f>VLOOKUP($A55,'Data shares'!$C:$FA,93)</f>
        <v>-3.7000000000000002E-3</v>
      </c>
      <c r="K55" s="86">
        <f>VLOOKUP($A55,'Data shares'!$C:$FA,94)</f>
        <v>1214000</v>
      </c>
      <c r="L55" s="86">
        <f>VLOOKUP($A55,'Data shares'!$C:$FA,96)</f>
        <v>363800</v>
      </c>
      <c r="M55" s="87">
        <f>VLOOKUP($A55,'Data shares'!$C:$FA,97)</f>
        <v>0.4279</v>
      </c>
      <c r="N55" s="86">
        <f>VLOOKUP($A55,'Data shares'!$C:$FA,78)</f>
        <v>380800</v>
      </c>
      <c r="O55" s="87">
        <f>VLOOKUP($A55,'Data shares'!$C:$FA,81)</f>
        <v>-0.63239999999999996</v>
      </c>
    </row>
    <row r="56" spans="1:15" x14ac:dyDescent="0.25">
      <c r="A56" s="100" t="str">
        <f>'OI(Value)'!A56</f>
        <v>CYIENT</v>
      </c>
      <c r="B56" s="82">
        <f>VLOOKUP(A56,'Data shares'!$C$2:$CV$216,98,0)</f>
        <v>7709075</v>
      </c>
      <c r="C56" s="82">
        <f>VLOOKUP(A56,'Data shares'!$C$2:$CX$216,100,0)</f>
        <v>-905250</v>
      </c>
      <c r="D56" s="141">
        <f>VLOOKUP(A56,'Data shares'!$C$2:$CY$539,101,0)</f>
        <v>-0.1051</v>
      </c>
      <c r="E56" s="86">
        <f>VLOOKUP($A56,'Data shares'!$C:$FA,74)</f>
        <v>4283575</v>
      </c>
      <c r="F56" s="86">
        <f>VLOOKUP($A56,'Data shares'!$C:$FA,76)</f>
        <v>-299625</v>
      </c>
      <c r="G56" s="87">
        <f>VLOOKUP(A56,'Data shares'!$C$2:$CA$216,77,0)</f>
        <v>-6.54E-2</v>
      </c>
      <c r="H56" s="86">
        <f>VLOOKUP($A56,'Data shares'!$C:$FA,90)</f>
        <v>1814750</v>
      </c>
      <c r="I56" s="86">
        <f>VLOOKUP($A56,'Data shares'!$C:$FA,92)</f>
        <v>-431800</v>
      </c>
      <c r="J56" s="87">
        <f>VLOOKUP($A56,'Data shares'!$C:$FA,93)</f>
        <v>-0.19220000000000001</v>
      </c>
      <c r="K56" s="86">
        <f>VLOOKUP($A56,'Data shares'!$C:$FA,94)</f>
        <v>1610750</v>
      </c>
      <c r="L56" s="86">
        <f>VLOOKUP($A56,'Data shares'!$C:$FA,96)</f>
        <v>-173825</v>
      </c>
      <c r="M56" s="87">
        <f>VLOOKUP($A56,'Data shares'!$C:$FA,97)</f>
        <v>-9.74E-2</v>
      </c>
      <c r="N56" s="86">
        <f>VLOOKUP($A56,'Data shares'!$C:$FA,78)</f>
        <v>676175</v>
      </c>
      <c r="O56" s="87">
        <f>VLOOKUP($A56,'Data shares'!$C:$FA,81)</f>
        <v>-0.60309999999999997</v>
      </c>
    </row>
    <row r="57" spans="1:15" x14ac:dyDescent="0.25">
      <c r="A57" s="100" t="str">
        <f>'OI(Value)'!A57</f>
        <v>DABUR</v>
      </c>
      <c r="B57" s="82">
        <f>VLOOKUP(A57,'Data shares'!$C$2:$CV$216,98,0)</f>
        <v>40008750</v>
      </c>
      <c r="C57" s="82">
        <f>VLOOKUP(A57,'Data shares'!$C$2:$CX$216,100,0)</f>
        <v>-1326250</v>
      </c>
      <c r="D57" s="141">
        <f>VLOOKUP(A57,'Data shares'!$C$2:$CY$539,101,0)</f>
        <v>-3.2099999999999997E-2</v>
      </c>
      <c r="E57" s="86">
        <f>VLOOKUP($A57,'Data shares'!$C:$FA,74)</f>
        <v>22627500</v>
      </c>
      <c r="F57" s="86">
        <f>VLOOKUP($A57,'Data shares'!$C:$FA,76)</f>
        <v>-416250</v>
      </c>
      <c r="G57" s="87">
        <f>VLOOKUP(A57,'Data shares'!$C$2:$CA$216,77,0)</f>
        <v>-1.8100000000000002E-2</v>
      </c>
      <c r="H57" s="86">
        <f>VLOOKUP($A57,'Data shares'!$C:$FA,90)</f>
        <v>10450000</v>
      </c>
      <c r="I57" s="86">
        <f>VLOOKUP($A57,'Data shares'!$C:$FA,92)</f>
        <v>-680000</v>
      </c>
      <c r="J57" s="87">
        <f>VLOOKUP($A57,'Data shares'!$C:$FA,93)</f>
        <v>-6.1100000000000002E-2</v>
      </c>
      <c r="K57" s="86">
        <f>VLOOKUP($A57,'Data shares'!$C:$FA,94)</f>
        <v>6931250</v>
      </c>
      <c r="L57" s="86">
        <f>VLOOKUP($A57,'Data shares'!$C:$FA,96)</f>
        <v>-230000</v>
      </c>
      <c r="M57" s="87">
        <f>VLOOKUP($A57,'Data shares'!$C:$FA,97)</f>
        <v>-3.2099999999999997E-2</v>
      </c>
      <c r="N57" s="86">
        <f>VLOOKUP($A57,'Data shares'!$C:$FA,78)</f>
        <v>5428750</v>
      </c>
      <c r="O57" s="87">
        <f>VLOOKUP($A57,'Data shares'!$C:$FA,81)</f>
        <v>-0.4899</v>
      </c>
    </row>
    <row r="58" spans="1:15" x14ac:dyDescent="0.25">
      <c r="A58" s="100" t="str">
        <f>'OI(Value)'!A58</f>
        <v>DALBHARAT</v>
      </c>
      <c r="B58" s="82">
        <f>VLOOKUP(A58,'Data shares'!$C$2:$CV$216,98,0)</f>
        <v>4329975</v>
      </c>
      <c r="C58" s="82">
        <f>VLOOKUP(A58,'Data shares'!$C$2:$CX$216,100,0)</f>
        <v>-354575</v>
      </c>
      <c r="D58" s="141">
        <f>VLOOKUP(A58,'Data shares'!$C$2:$CY$539,101,0)</f>
        <v>-7.5700000000000003E-2</v>
      </c>
      <c r="E58" s="86">
        <f>VLOOKUP($A58,'Data shares'!$C:$FA,74)</f>
        <v>2277600</v>
      </c>
      <c r="F58" s="86">
        <f>VLOOKUP($A58,'Data shares'!$C:$FA,76)</f>
        <v>28275</v>
      </c>
      <c r="G58" s="87">
        <f>VLOOKUP(A58,'Data shares'!$C$2:$CA$216,77,0)</f>
        <v>1.26E-2</v>
      </c>
      <c r="H58" s="86">
        <f>VLOOKUP($A58,'Data shares'!$C:$FA,90)</f>
        <v>1423500</v>
      </c>
      <c r="I58" s="86">
        <f>VLOOKUP($A58,'Data shares'!$C:$FA,92)</f>
        <v>-286000</v>
      </c>
      <c r="J58" s="87">
        <f>VLOOKUP($A58,'Data shares'!$C:$FA,93)</f>
        <v>-0.1673</v>
      </c>
      <c r="K58" s="86">
        <f>VLOOKUP($A58,'Data shares'!$C:$FA,94)</f>
        <v>628875</v>
      </c>
      <c r="L58" s="86">
        <f>VLOOKUP($A58,'Data shares'!$C:$FA,96)</f>
        <v>-96850</v>
      </c>
      <c r="M58" s="87">
        <f>VLOOKUP($A58,'Data shares'!$C:$FA,97)</f>
        <v>-0.13350000000000001</v>
      </c>
      <c r="N58" s="86">
        <f>VLOOKUP($A58,'Data shares'!$C:$FA,78)</f>
        <v>288600</v>
      </c>
      <c r="O58" s="87">
        <f>VLOOKUP($A58,'Data shares'!$C:$FA,81)</f>
        <v>-0.63959999999999995</v>
      </c>
    </row>
    <row r="59" spans="1:15" x14ac:dyDescent="0.25">
      <c r="A59" s="100" t="str">
        <f>'OI(Value)'!A59</f>
        <v>DELHIVERY</v>
      </c>
      <c r="B59" s="82">
        <f>VLOOKUP(A59,'Data shares'!$C$2:$CV$216,98,0)</f>
        <v>34156575</v>
      </c>
      <c r="C59" s="82">
        <f>VLOOKUP(A59,'Data shares'!$C$2:$CX$216,100,0)</f>
        <v>-1651700</v>
      </c>
      <c r="D59" s="141">
        <f>VLOOKUP(A59,'Data shares'!$C$2:$CY$539,101,0)</f>
        <v>-4.6100000000000002E-2</v>
      </c>
      <c r="E59" s="86">
        <f>VLOOKUP($A59,'Data shares'!$C:$FA,74)</f>
        <v>18843075</v>
      </c>
      <c r="F59" s="86">
        <f>VLOOKUP($A59,'Data shares'!$C:$FA,76)</f>
        <v>-170150</v>
      </c>
      <c r="G59" s="87">
        <f>VLOOKUP(A59,'Data shares'!$C$2:$CA$216,77,0)</f>
        <v>-8.8999999999999999E-3</v>
      </c>
      <c r="H59" s="86">
        <f>VLOOKUP($A59,'Data shares'!$C:$FA,90)</f>
        <v>9366550</v>
      </c>
      <c r="I59" s="86">
        <f>VLOOKUP($A59,'Data shares'!$C:$FA,92)</f>
        <v>-1641325</v>
      </c>
      <c r="J59" s="87">
        <f>VLOOKUP($A59,'Data shares'!$C:$FA,93)</f>
        <v>-0.14910000000000001</v>
      </c>
      <c r="K59" s="86">
        <f>VLOOKUP($A59,'Data shares'!$C:$FA,94)</f>
        <v>5946950</v>
      </c>
      <c r="L59" s="86">
        <f>VLOOKUP($A59,'Data shares'!$C:$FA,96)</f>
        <v>159775</v>
      </c>
      <c r="M59" s="87">
        <f>VLOOKUP($A59,'Data shares'!$C:$FA,97)</f>
        <v>2.76E-2</v>
      </c>
      <c r="N59" s="86">
        <f>VLOOKUP($A59,'Data shares'!$C:$FA,78)</f>
        <v>2373800</v>
      </c>
      <c r="O59" s="87">
        <f>VLOOKUP($A59,'Data shares'!$C:$FA,81)</f>
        <v>-0.7026</v>
      </c>
    </row>
    <row r="60" spans="1:15" x14ac:dyDescent="0.25">
      <c r="A60" s="100" t="str">
        <f>'OI(Value)'!A60</f>
        <v>DIVISLAB</v>
      </c>
      <c r="B60" s="82">
        <f>VLOOKUP(A60,'Data shares'!$C$2:$CV$216,98,0)</f>
        <v>5212000</v>
      </c>
      <c r="C60" s="82">
        <f>VLOOKUP(A60,'Data shares'!$C$2:$CX$216,100,0)</f>
        <v>-263400</v>
      </c>
      <c r="D60" s="141">
        <f>VLOOKUP(A60,'Data shares'!$C$2:$CY$539,101,0)</f>
        <v>-4.8099999999999997E-2</v>
      </c>
      <c r="E60" s="86">
        <f>VLOOKUP($A60,'Data shares'!$C:$FA,74)</f>
        <v>2594200</v>
      </c>
      <c r="F60" s="86">
        <f>VLOOKUP($A60,'Data shares'!$C:$FA,76)</f>
        <v>-63400</v>
      </c>
      <c r="G60" s="87">
        <f>VLOOKUP(A60,'Data shares'!$C$2:$CA$216,77,0)</f>
        <v>-2.3900000000000001E-2</v>
      </c>
      <c r="H60" s="86">
        <f>VLOOKUP($A60,'Data shares'!$C:$FA,90)</f>
        <v>1425800</v>
      </c>
      <c r="I60" s="86">
        <f>VLOOKUP($A60,'Data shares'!$C:$FA,92)</f>
        <v>15500</v>
      </c>
      <c r="J60" s="87">
        <f>VLOOKUP($A60,'Data shares'!$C:$FA,93)</f>
        <v>1.0999999999999999E-2</v>
      </c>
      <c r="K60" s="86">
        <f>VLOOKUP($A60,'Data shares'!$C:$FA,94)</f>
        <v>1192000</v>
      </c>
      <c r="L60" s="86">
        <f>VLOOKUP($A60,'Data shares'!$C:$FA,96)</f>
        <v>-215500</v>
      </c>
      <c r="M60" s="87">
        <f>VLOOKUP($A60,'Data shares'!$C:$FA,97)</f>
        <v>-0.15310000000000001</v>
      </c>
      <c r="N60" s="86">
        <f>VLOOKUP($A60,'Data shares'!$C:$FA,78)</f>
        <v>499700</v>
      </c>
      <c r="O60" s="87">
        <f>VLOOKUP($A60,'Data shares'!$C:$FA,81)</f>
        <v>-0.58389999999999997</v>
      </c>
    </row>
    <row r="61" spans="1:15" x14ac:dyDescent="0.25">
      <c r="A61" s="100" t="str">
        <f>'OI(Value)'!A61</f>
        <v>DIXON</v>
      </c>
      <c r="B61" s="82">
        <f>VLOOKUP(A61,'Data shares'!$C$2:$CV$216,98,0)</f>
        <v>5885600</v>
      </c>
      <c r="C61" s="82">
        <f>VLOOKUP(A61,'Data shares'!$C$2:$CX$216,100,0)</f>
        <v>-467150</v>
      </c>
      <c r="D61" s="141">
        <f>VLOOKUP(A61,'Data shares'!$C$2:$CY$539,101,0)</f>
        <v>-7.3499999999999996E-2</v>
      </c>
      <c r="E61" s="86">
        <f>VLOOKUP($A61,'Data shares'!$C:$FA,74)</f>
        <v>1980050</v>
      </c>
      <c r="F61" s="86">
        <f>VLOOKUP($A61,'Data shares'!$C:$FA,76)</f>
        <v>33750</v>
      </c>
      <c r="G61" s="87">
        <f>VLOOKUP(A61,'Data shares'!$C$2:$CA$216,77,0)</f>
        <v>1.7299999999999999E-2</v>
      </c>
      <c r="H61" s="86">
        <f>VLOOKUP($A61,'Data shares'!$C:$FA,90)</f>
        <v>2752450</v>
      </c>
      <c r="I61" s="86">
        <f>VLOOKUP($A61,'Data shares'!$C:$FA,92)</f>
        <v>-390600</v>
      </c>
      <c r="J61" s="87">
        <f>VLOOKUP($A61,'Data shares'!$C:$FA,93)</f>
        <v>-0.12429999999999999</v>
      </c>
      <c r="K61" s="86">
        <f>VLOOKUP($A61,'Data shares'!$C:$FA,94)</f>
        <v>1153100</v>
      </c>
      <c r="L61" s="86">
        <f>VLOOKUP($A61,'Data shares'!$C:$FA,96)</f>
        <v>-110300</v>
      </c>
      <c r="M61" s="87">
        <f>VLOOKUP($A61,'Data shares'!$C:$FA,97)</f>
        <v>-8.7300000000000003E-2</v>
      </c>
      <c r="N61" s="86">
        <f>VLOOKUP($A61,'Data shares'!$C:$FA,78)</f>
        <v>450550</v>
      </c>
      <c r="O61" s="87">
        <f>VLOOKUP($A61,'Data shares'!$C:$FA,81)</f>
        <v>-0.41110000000000002</v>
      </c>
    </row>
    <row r="62" spans="1:15" x14ac:dyDescent="0.25">
      <c r="A62" s="100" t="str">
        <f>'OI(Value)'!A62</f>
        <v>DLF</v>
      </c>
      <c r="B62" s="82">
        <f>VLOOKUP(A62,'Data shares'!$C$2:$CV$216,98,0)</f>
        <v>58966875</v>
      </c>
      <c r="C62" s="82">
        <f>VLOOKUP(A62,'Data shares'!$C$2:$CX$216,100,0)</f>
        <v>267300</v>
      </c>
      <c r="D62" s="141">
        <f>VLOOKUP(A62,'Data shares'!$C$2:$CY$539,101,0)</f>
        <v>4.5999999999999999E-3</v>
      </c>
      <c r="E62" s="86">
        <f>VLOOKUP($A62,'Data shares'!$C:$FA,74)</f>
        <v>35995575</v>
      </c>
      <c r="F62" s="86">
        <f>VLOOKUP($A62,'Data shares'!$C:$FA,76)</f>
        <v>524700</v>
      </c>
      <c r="G62" s="87">
        <f>VLOOKUP(A62,'Data shares'!$C$2:$CA$216,77,0)</f>
        <v>1.4800000000000001E-2</v>
      </c>
      <c r="H62" s="86">
        <f>VLOOKUP($A62,'Data shares'!$C:$FA,90)</f>
        <v>12585375</v>
      </c>
      <c r="I62" s="86">
        <f>VLOOKUP($A62,'Data shares'!$C:$FA,92)</f>
        <v>16500</v>
      </c>
      <c r="J62" s="87">
        <f>VLOOKUP($A62,'Data shares'!$C:$FA,93)</f>
        <v>1.2999999999999999E-3</v>
      </c>
      <c r="K62" s="86">
        <f>VLOOKUP($A62,'Data shares'!$C:$FA,94)</f>
        <v>10385925</v>
      </c>
      <c r="L62" s="86">
        <f>VLOOKUP($A62,'Data shares'!$C:$FA,96)</f>
        <v>-273900</v>
      </c>
      <c r="M62" s="87">
        <f>VLOOKUP($A62,'Data shares'!$C:$FA,97)</f>
        <v>-2.5700000000000001E-2</v>
      </c>
      <c r="N62" s="86">
        <f>VLOOKUP($A62,'Data shares'!$C:$FA,78)</f>
        <v>7472025</v>
      </c>
      <c r="O62" s="87">
        <f>VLOOKUP($A62,'Data shares'!$C:$FA,81)</f>
        <v>-0.55330000000000001</v>
      </c>
    </row>
    <row r="63" spans="1:15" x14ac:dyDescent="0.25">
      <c r="A63" s="100" t="str">
        <f>'OI(Value)'!A63</f>
        <v>DMART</v>
      </c>
      <c r="B63" s="82">
        <f>VLOOKUP(A63,'Data shares'!$C$2:$CV$216,98,0)</f>
        <v>10514250</v>
      </c>
      <c r="C63" s="82">
        <f>VLOOKUP(A63,'Data shares'!$C$2:$CX$216,100,0)</f>
        <v>-852300</v>
      </c>
      <c r="D63" s="141">
        <f>VLOOKUP(A63,'Data shares'!$C$2:$CY$539,101,0)</f>
        <v>-7.4999999999999997E-2</v>
      </c>
      <c r="E63" s="86">
        <f>VLOOKUP($A63,'Data shares'!$C:$FA,74)</f>
        <v>6685800</v>
      </c>
      <c r="F63" s="86">
        <f>VLOOKUP($A63,'Data shares'!$C:$FA,76)</f>
        <v>-154350</v>
      </c>
      <c r="G63" s="87">
        <f>VLOOKUP(A63,'Data shares'!$C$2:$CA$216,77,0)</f>
        <v>-2.2599999999999999E-2</v>
      </c>
      <c r="H63" s="86">
        <f>VLOOKUP($A63,'Data shares'!$C:$FA,90)</f>
        <v>2725650</v>
      </c>
      <c r="I63" s="86">
        <f>VLOOKUP($A63,'Data shares'!$C:$FA,92)</f>
        <v>-569250</v>
      </c>
      <c r="J63" s="87">
        <f>VLOOKUP($A63,'Data shares'!$C:$FA,93)</f>
        <v>-0.17280000000000001</v>
      </c>
      <c r="K63" s="86">
        <f>VLOOKUP($A63,'Data shares'!$C:$FA,94)</f>
        <v>1102800</v>
      </c>
      <c r="L63" s="86">
        <f>VLOOKUP($A63,'Data shares'!$C:$FA,96)</f>
        <v>-128700</v>
      </c>
      <c r="M63" s="87">
        <f>VLOOKUP($A63,'Data shares'!$C:$FA,97)</f>
        <v>-0.1045</v>
      </c>
      <c r="N63" s="86">
        <f>VLOOKUP($A63,'Data shares'!$C:$FA,78)</f>
        <v>859800</v>
      </c>
      <c r="O63" s="87">
        <f>VLOOKUP($A63,'Data shares'!$C:$FA,81)</f>
        <v>-0.64510000000000001</v>
      </c>
    </row>
    <row r="64" spans="1:15" x14ac:dyDescent="0.25">
      <c r="A64" s="100" t="str">
        <f>'OI(Value)'!A64</f>
        <v>DRREDDY</v>
      </c>
      <c r="B64" s="82">
        <f>VLOOKUP(A64,'Data shares'!$C$2:$CV$216,98,0)</f>
        <v>27736250</v>
      </c>
      <c r="C64" s="82">
        <f>VLOOKUP(A64,'Data shares'!$C$2:$CX$216,100,0)</f>
        <v>-603125</v>
      </c>
      <c r="D64" s="141">
        <f>VLOOKUP(A64,'Data shares'!$C$2:$CY$539,101,0)</f>
        <v>-2.1299999999999999E-2</v>
      </c>
      <c r="E64" s="86">
        <f>VLOOKUP($A64,'Data shares'!$C:$FA,74)</f>
        <v>13928125</v>
      </c>
      <c r="F64" s="86">
        <f>VLOOKUP($A64,'Data shares'!$C:$FA,76)</f>
        <v>73125</v>
      </c>
      <c r="G64" s="87">
        <f>VLOOKUP(A64,'Data shares'!$C$2:$CA$216,77,0)</f>
        <v>5.3E-3</v>
      </c>
      <c r="H64" s="86">
        <f>VLOOKUP($A64,'Data shares'!$C:$FA,90)</f>
        <v>8733125</v>
      </c>
      <c r="I64" s="86">
        <f>VLOOKUP($A64,'Data shares'!$C:$FA,92)</f>
        <v>-429375</v>
      </c>
      <c r="J64" s="87">
        <f>VLOOKUP($A64,'Data shares'!$C:$FA,93)</f>
        <v>-4.6899999999999997E-2</v>
      </c>
      <c r="K64" s="86">
        <f>VLOOKUP($A64,'Data shares'!$C:$FA,94)</f>
        <v>5075000</v>
      </c>
      <c r="L64" s="86">
        <f>VLOOKUP($A64,'Data shares'!$C:$FA,96)</f>
        <v>-246875</v>
      </c>
      <c r="M64" s="87">
        <f>VLOOKUP($A64,'Data shares'!$C:$FA,97)</f>
        <v>-4.6399999999999997E-2</v>
      </c>
      <c r="N64" s="86">
        <f>VLOOKUP($A64,'Data shares'!$C:$FA,78)</f>
        <v>2551250</v>
      </c>
      <c r="O64" s="87">
        <f>VLOOKUP($A64,'Data shares'!$C:$FA,81)</f>
        <v>-0.56689999999999996</v>
      </c>
    </row>
    <row r="65" spans="1:15" x14ac:dyDescent="0.25">
      <c r="A65" s="100" t="str">
        <f>'OI(Value)'!A65</f>
        <v>EICHERMOT</v>
      </c>
      <c r="B65" s="82">
        <f>VLOOKUP(A65,'Data shares'!$C$2:$CV$216,98,0)</f>
        <v>6677300</v>
      </c>
      <c r="C65" s="82">
        <f>VLOOKUP(A65,'Data shares'!$C$2:$CX$216,100,0)</f>
        <v>-297500</v>
      </c>
      <c r="D65" s="141">
        <f>VLOOKUP(A65,'Data shares'!$C$2:$CY$539,101,0)</f>
        <v>-4.2700000000000002E-2</v>
      </c>
      <c r="E65" s="86">
        <f>VLOOKUP($A65,'Data shares'!$C:$FA,74)</f>
        <v>3682700</v>
      </c>
      <c r="F65" s="86">
        <f>VLOOKUP($A65,'Data shares'!$C:$FA,76)</f>
        <v>80500</v>
      </c>
      <c r="G65" s="87">
        <f>VLOOKUP(A65,'Data shares'!$C$2:$CA$216,77,0)</f>
        <v>2.23E-2</v>
      </c>
      <c r="H65" s="86">
        <f>VLOOKUP($A65,'Data shares'!$C:$FA,90)</f>
        <v>1676675</v>
      </c>
      <c r="I65" s="86">
        <f>VLOOKUP($A65,'Data shares'!$C:$FA,92)</f>
        <v>-313600</v>
      </c>
      <c r="J65" s="87">
        <f>VLOOKUP($A65,'Data shares'!$C:$FA,93)</f>
        <v>-0.15759999999999999</v>
      </c>
      <c r="K65" s="86">
        <f>VLOOKUP($A65,'Data shares'!$C:$FA,94)</f>
        <v>1317925</v>
      </c>
      <c r="L65" s="86">
        <f>VLOOKUP($A65,'Data shares'!$C:$FA,96)</f>
        <v>-64400</v>
      </c>
      <c r="M65" s="87">
        <f>VLOOKUP($A65,'Data shares'!$C:$FA,97)</f>
        <v>-4.6600000000000003E-2</v>
      </c>
      <c r="N65" s="86">
        <f>VLOOKUP($A65,'Data shares'!$C:$FA,78)</f>
        <v>623875</v>
      </c>
      <c r="O65" s="87">
        <f>VLOOKUP($A65,'Data shares'!$C:$FA,81)</f>
        <v>-0.64370000000000005</v>
      </c>
    </row>
    <row r="66" spans="1:15" x14ac:dyDescent="0.25">
      <c r="A66" s="100" t="str">
        <f>'OI(Value)'!A66</f>
        <v>ETERNAL</v>
      </c>
      <c r="B66" s="82">
        <f>VLOOKUP(A66,'Data shares'!$C$2:$CV$216,98,0)</f>
        <v>385916925</v>
      </c>
      <c r="C66" s="82">
        <f>VLOOKUP(A66,'Data shares'!$C$2:$CX$216,100,0)</f>
        <v>-6118275</v>
      </c>
      <c r="D66" s="141">
        <f>VLOOKUP(A66,'Data shares'!$C$2:$CY$539,101,0)</f>
        <v>-1.5599999999999999E-2</v>
      </c>
      <c r="E66" s="86">
        <f>VLOOKUP($A66,'Data shares'!$C:$FA,74)</f>
        <v>247199650</v>
      </c>
      <c r="F66" s="86">
        <f>VLOOKUP($A66,'Data shares'!$C:$FA,76)</f>
        <v>6140100</v>
      </c>
      <c r="G66" s="87">
        <f>VLOOKUP(A66,'Data shares'!$C$2:$CA$216,77,0)</f>
        <v>2.5499999999999998E-2</v>
      </c>
      <c r="H66" s="86">
        <f>VLOOKUP($A66,'Data shares'!$C:$FA,90)</f>
        <v>89492200</v>
      </c>
      <c r="I66" s="86">
        <f>VLOOKUP($A66,'Data shares'!$C:$FA,92)</f>
        <v>-8317750</v>
      </c>
      <c r="J66" s="87">
        <f>VLOOKUP($A66,'Data shares'!$C:$FA,93)</f>
        <v>-8.5000000000000006E-2</v>
      </c>
      <c r="K66" s="86">
        <f>VLOOKUP($A66,'Data shares'!$C:$FA,94)</f>
        <v>49225075</v>
      </c>
      <c r="L66" s="86">
        <f>VLOOKUP($A66,'Data shares'!$C:$FA,96)</f>
        <v>-3940625</v>
      </c>
      <c r="M66" s="87">
        <f>VLOOKUP($A66,'Data shares'!$C:$FA,97)</f>
        <v>-7.4099999999999999E-2</v>
      </c>
      <c r="N66" s="86">
        <f>VLOOKUP($A66,'Data shares'!$C:$FA,78)</f>
        <v>32946050</v>
      </c>
      <c r="O66" s="87">
        <f>VLOOKUP($A66,'Data shares'!$C:$FA,81)</f>
        <v>-0.54490000000000005</v>
      </c>
    </row>
    <row r="67" spans="1:15" x14ac:dyDescent="0.25">
      <c r="A67" s="100" t="str">
        <f>'OI(Value)'!A67</f>
        <v>EXIDEIND</v>
      </c>
      <c r="B67" s="82">
        <f>VLOOKUP(A67,'Data shares'!$C$2:$CV$216,98,0)</f>
        <v>61236000</v>
      </c>
      <c r="C67" s="82">
        <f>VLOOKUP(A67,'Data shares'!$C$2:$CX$216,100,0)</f>
        <v>4647600</v>
      </c>
      <c r="D67" s="141">
        <f>VLOOKUP(A67,'Data shares'!$C$2:$CY$539,101,0)</f>
        <v>8.2100000000000006E-2</v>
      </c>
      <c r="E67" s="86">
        <f>VLOOKUP($A67,'Data shares'!$C:$FA,74)</f>
        <v>35854200</v>
      </c>
      <c r="F67" s="86">
        <f>VLOOKUP($A67,'Data shares'!$C:$FA,76)</f>
        <v>3164400</v>
      </c>
      <c r="G67" s="87">
        <f>VLOOKUP(A67,'Data shares'!$C$2:$CA$216,77,0)</f>
        <v>9.6799999999999997E-2</v>
      </c>
      <c r="H67" s="86">
        <f>VLOOKUP($A67,'Data shares'!$C:$FA,90)</f>
        <v>14646600</v>
      </c>
      <c r="I67" s="86">
        <f>VLOOKUP($A67,'Data shares'!$C:$FA,92)</f>
        <v>1020600</v>
      </c>
      <c r="J67" s="87">
        <f>VLOOKUP($A67,'Data shares'!$C:$FA,93)</f>
        <v>7.4899999999999994E-2</v>
      </c>
      <c r="K67" s="86">
        <f>VLOOKUP($A67,'Data shares'!$C:$FA,94)</f>
        <v>10735200</v>
      </c>
      <c r="L67" s="86">
        <f>VLOOKUP($A67,'Data shares'!$C:$FA,96)</f>
        <v>462600</v>
      </c>
      <c r="M67" s="87">
        <f>VLOOKUP($A67,'Data shares'!$C:$FA,97)</f>
        <v>4.4999999999999998E-2</v>
      </c>
      <c r="N67" s="86">
        <f>VLOOKUP($A67,'Data shares'!$C:$FA,78)</f>
        <v>7335000</v>
      </c>
      <c r="O67" s="87">
        <f>VLOOKUP($A67,'Data shares'!$C:$FA,81)</f>
        <v>-0.4738</v>
      </c>
    </row>
    <row r="68" spans="1:15" x14ac:dyDescent="0.25">
      <c r="A68" s="100" t="str">
        <f>'OI(Value)'!A68</f>
        <v>FEDERALBNK</v>
      </c>
      <c r="B68" s="82">
        <f>VLOOKUP(A68,'Data shares'!$C$2:$CV$216,98,0)</f>
        <v>249100000</v>
      </c>
      <c r="C68" s="82">
        <f>VLOOKUP(A68,'Data shares'!$C$2:$CX$216,100,0)</f>
        <v>-3075000</v>
      </c>
      <c r="D68" s="141">
        <f>VLOOKUP(A68,'Data shares'!$C$2:$CY$539,101,0)</f>
        <v>-1.2200000000000001E-2</v>
      </c>
      <c r="E68" s="86">
        <f>VLOOKUP($A68,'Data shares'!$C:$FA,74)</f>
        <v>104000000</v>
      </c>
      <c r="F68" s="86">
        <f>VLOOKUP($A68,'Data shares'!$C:$FA,76)</f>
        <v>-270000</v>
      </c>
      <c r="G68" s="87">
        <f>VLOOKUP(A68,'Data shares'!$C$2:$CA$216,77,0)</f>
        <v>-2.5999999999999999E-3</v>
      </c>
      <c r="H68" s="86">
        <f>VLOOKUP($A68,'Data shares'!$C:$FA,90)</f>
        <v>67670000</v>
      </c>
      <c r="I68" s="86">
        <f>VLOOKUP($A68,'Data shares'!$C:$FA,92)</f>
        <v>-7715000</v>
      </c>
      <c r="J68" s="87">
        <f>VLOOKUP($A68,'Data shares'!$C:$FA,93)</f>
        <v>-0.1023</v>
      </c>
      <c r="K68" s="86">
        <f>VLOOKUP($A68,'Data shares'!$C:$FA,94)</f>
        <v>77430000</v>
      </c>
      <c r="L68" s="86">
        <f>VLOOKUP($A68,'Data shares'!$C:$FA,96)</f>
        <v>4910000</v>
      </c>
      <c r="M68" s="87">
        <f>VLOOKUP($A68,'Data shares'!$C:$FA,97)</f>
        <v>6.7699999999999996E-2</v>
      </c>
      <c r="N68" s="86">
        <f>VLOOKUP($A68,'Data shares'!$C:$FA,78)</f>
        <v>23095000</v>
      </c>
      <c r="O68" s="87">
        <f>VLOOKUP($A68,'Data shares'!$C:$FA,81)</f>
        <v>-0.46100000000000002</v>
      </c>
    </row>
    <row r="69" spans="1:15" x14ac:dyDescent="0.25">
      <c r="A69" s="100" t="str">
        <f>'OI(Value)'!A69</f>
        <v>FINNIFTY</v>
      </c>
      <c r="B69" s="82">
        <f>VLOOKUP(A69,'Data shares'!$C$2:$CV$216,98,0)</f>
        <v>3740295</v>
      </c>
      <c r="C69" s="82">
        <f>VLOOKUP(A69,'Data shares'!$C$2:$CX$216,100,0)</f>
        <v>-110045</v>
      </c>
      <c r="D69" s="141">
        <f>VLOOKUP(A69,'Data shares'!$C$2:$CY$539,101,0)</f>
        <v>-2.86E-2</v>
      </c>
      <c r="E69" s="86">
        <f>VLOOKUP($A69,'Data shares'!$C:$FA,74)</f>
        <v>44980</v>
      </c>
      <c r="F69" s="86">
        <f>VLOOKUP($A69,'Data shares'!$C:$FA,76)</f>
        <v>325</v>
      </c>
      <c r="G69" s="87">
        <f>VLOOKUP(A69,'Data shares'!$C$2:$CA$216,77,0)</f>
        <v>7.3000000000000001E-3</v>
      </c>
      <c r="H69" s="86">
        <f>VLOOKUP($A69,'Data shares'!$C:$FA,90)</f>
        <v>1777945</v>
      </c>
      <c r="I69" s="86">
        <f>VLOOKUP($A69,'Data shares'!$C:$FA,92)</f>
        <v>-97500</v>
      </c>
      <c r="J69" s="87">
        <f>VLOOKUP($A69,'Data shares'!$C:$FA,93)</f>
        <v>-5.1999999999999998E-2</v>
      </c>
      <c r="K69" s="86">
        <f>VLOOKUP($A69,'Data shares'!$C:$FA,94)</f>
        <v>1917370</v>
      </c>
      <c r="L69" s="86">
        <f>VLOOKUP($A69,'Data shares'!$C:$FA,96)</f>
        <v>-12870</v>
      </c>
      <c r="M69" s="87">
        <f>VLOOKUP($A69,'Data shares'!$C:$FA,97)</f>
        <v>-6.7000000000000002E-3</v>
      </c>
      <c r="N69" s="86">
        <f>VLOOKUP($A69,'Data shares'!$C:$FA,78)</f>
        <v>26715</v>
      </c>
      <c r="O69" s="87">
        <f>VLOOKUP($A69,'Data shares'!$C:$FA,81)</f>
        <v>-0.25950000000000001</v>
      </c>
    </row>
    <row r="70" spans="1:15" x14ac:dyDescent="0.25">
      <c r="A70" s="100" t="str">
        <f>'OI(Value)'!A70</f>
        <v>FORTIS</v>
      </c>
      <c r="B70" s="82">
        <f>VLOOKUP(A70,'Data shares'!$C$2:$CV$216,98,0)</f>
        <v>15835575</v>
      </c>
      <c r="C70" s="82">
        <f>VLOOKUP(A70,'Data shares'!$C$2:$CX$216,100,0)</f>
        <v>-406100</v>
      </c>
      <c r="D70" s="141">
        <f>VLOOKUP(A70,'Data shares'!$C$2:$CY$539,101,0)</f>
        <v>-2.5000000000000001E-2</v>
      </c>
      <c r="E70" s="86">
        <f>VLOOKUP($A70,'Data shares'!$C:$FA,74)</f>
        <v>9621625</v>
      </c>
      <c r="F70" s="86">
        <f>VLOOKUP($A70,'Data shares'!$C:$FA,76)</f>
        <v>219325</v>
      </c>
      <c r="G70" s="87">
        <f>VLOOKUP(A70,'Data shares'!$C$2:$CA$216,77,0)</f>
        <v>2.3300000000000001E-2</v>
      </c>
      <c r="H70" s="86">
        <f>VLOOKUP($A70,'Data shares'!$C:$FA,90)</f>
        <v>3630875</v>
      </c>
      <c r="I70" s="86">
        <f>VLOOKUP($A70,'Data shares'!$C:$FA,92)</f>
        <v>-426250</v>
      </c>
      <c r="J70" s="87">
        <f>VLOOKUP($A70,'Data shares'!$C:$FA,93)</f>
        <v>-0.1051</v>
      </c>
      <c r="K70" s="86">
        <f>VLOOKUP($A70,'Data shares'!$C:$FA,94)</f>
        <v>2583075</v>
      </c>
      <c r="L70" s="86">
        <f>VLOOKUP($A70,'Data shares'!$C:$FA,96)</f>
        <v>-199175</v>
      </c>
      <c r="M70" s="87">
        <f>VLOOKUP($A70,'Data shares'!$C:$FA,97)</f>
        <v>-7.1599999999999997E-2</v>
      </c>
      <c r="N70" s="86">
        <f>VLOOKUP($A70,'Data shares'!$C:$FA,78)</f>
        <v>877300</v>
      </c>
      <c r="O70" s="87">
        <f>VLOOKUP($A70,'Data shares'!$C:$FA,81)</f>
        <v>-0.70330000000000004</v>
      </c>
    </row>
    <row r="71" spans="1:15" x14ac:dyDescent="0.25">
      <c r="A71" s="100" t="str">
        <f>'OI(Value)'!A71</f>
        <v>GAIL</v>
      </c>
      <c r="B71" s="82">
        <f>VLOOKUP(A71,'Data shares'!$C$2:$CV$216,98,0)</f>
        <v>156347100</v>
      </c>
      <c r="C71" s="82">
        <f>VLOOKUP(A71,'Data shares'!$C$2:$CX$216,100,0)</f>
        <v>151200</v>
      </c>
      <c r="D71" s="141">
        <f>VLOOKUP(A71,'Data shares'!$C$2:$CY$539,101,0)</f>
        <v>1E-3</v>
      </c>
      <c r="E71" s="86">
        <f>VLOOKUP($A71,'Data shares'!$C:$FA,74)</f>
        <v>88467750</v>
      </c>
      <c r="F71" s="86">
        <f>VLOOKUP($A71,'Data shares'!$C:$FA,76)</f>
        <v>-1600200</v>
      </c>
      <c r="G71" s="87">
        <f>VLOOKUP(A71,'Data shares'!$C$2:$CA$216,77,0)</f>
        <v>-1.78E-2</v>
      </c>
      <c r="H71" s="86">
        <f>VLOOKUP($A71,'Data shares'!$C:$FA,90)</f>
        <v>40030200</v>
      </c>
      <c r="I71" s="86">
        <f>VLOOKUP($A71,'Data shares'!$C:$FA,92)</f>
        <v>415800</v>
      </c>
      <c r="J71" s="87">
        <f>VLOOKUP($A71,'Data shares'!$C:$FA,93)</f>
        <v>1.0500000000000001E-2</v>
      </c>
      <c r="K71" s="86">
        <f>VLOOKUP($A71,'Data shares'!$C:$FA,94)</f>
        <v>27849150</v>
      </c>
      <c r="L71" s="86">
        <f>VLOOKUP($A71,'Data shares'!$C:$FA,96)</f>
        <v>1335600</v>
      </c>
      <c r="M71" s="87">
        <f>VLOOKUP($A71,'Data shares'!$C:$FA,97)</f>
        <v>5.04E-2</v>
      </c>
      <c r="N71" s="86">
        <f>VLOOKUP($A71,'Data shares'!$C:$FA,78)</f>
        <v>16991100</v>
      </c>
      <c r="O71" s="87">
        <f>VLOOKUP($A71,'Data shares'!$C:$FA,81)</f>
        <v>-0.54669999999999996</v>
      </c>
    </row>
    <row r="72" spans="1:15" x14ac:dyDescent="0.25">
      <c r="A72" s="100" t="str">
        <f>'OI(Value)'!A72</f>
        <v>GLENMARK</v>
      </c>
      <c r="B72" s="82">
        <f>VLOOKUP(A72,'Data shares'!$C$2:$CV$216,98,0)</f>
        <v>13795125</v>
      </c>
      <c r="C72" s="82">
        <f>VLOOKUP(A72,'Data shares'!$C$2:$CX$216,100,0)</f>
        <v>849375</v>
      </c>
      <c r="D72" s="141">
        <f>VLOOKUP(A72,'Data shares'!$C$2:$CY$539,101,0)</f>
        <v>6.5600000000000006E-2</v>
      </c>
      <c r="E72" s="86">
        <f>VLOOKUP($A72,'Data shares'!$C:$FA,74)</f>
        <v>9322875</v>
      </c>
      <c r="F72" s="86">
        <f>VLOOKUP($A72,'Data shares'!$C:$FA,76)</f>
        <v>672375</v>
      </c>
      <c r="G72" s="87">
        <f>VLOOKUP(A72,'Data shares'!$C$2:$CA$216,77,0)</f>
        <v>7.7700000000000005E-2</v>
      </c>
      <c r="H72" s="86">
        <f>VLOOKUP($A72,'Data shares'!$C:$FA,90)</f>
        <v>2913750</v>
      </c>
      <c r="I72" s="86">
        <f>VLOOKUP($A72,'Data shares'!$C:$FA,92)</f>
        <v>102750</v>
      </c>
      <c r="J72" s="87">
        <f>VLOOKUP($A72,'Data shares'!$C:$FA,93)</f>
        <v>3.6600000000000001E-2</v>
      </c>
      <c r="K72" s="86">
        <f>VLOOKUP($A72,'Data shares'!$C:$FA,94)</f>
        <v>1558500</v>
      </c>
      <c r="L72" s="86">
        <f>VLOOKUP($A72,'Data shares'!$C:$FA,96)</f>
        <v>74250</v>
      </c>
      <c r="M72" s="87">
        <f>VLOOKUP($A72,'Data shares'!$C:$FA,97)</f>
        <v>0.05</v>
      </c>
      <c r="N72" s="86">
        <f>VLOOKUP($A72,'Data shares'!$C:$FA,78)</f>
        <v>1407750</v>
      </c>
      <c r="O72" s="87">
        <f>VLOOKUP($A72,'Data shares'!$C:$FA,81)</f>
        <v>-0.5968</v>
      </c>
    </row>
    <row r="73" spans="1:15" x14ac:dyDescent="0.25">
      <c r="A73" s="100" t="str">
        <f>'OI(Value)'!A73</f>
        <v>GMRAIRPORT</v>
      </c>
      <c r="B73" s="82">
        <f>VLOOKUP(A73,'Data shares'!$C$2:$CV$216,98,0)</f>
        <v>370246950</v>
      </c>
      <c r="C73" s="82">
        <f>VLOOKUP(A73,'Data shares'!$C$2:$CX$216,100,0)</f>
        <v>10553175</v>
      </c>
      <c r="D73" s="141">
        <f>VLOOKUP(A73,'Data shares'!$C$2:$CY$539,101,0)</f>
        <v>2.93E-2</v>
      </c>
      <c r="E73" s="86">
        <f>VLOOKUP($A73,'Data shares'!$C:$FA,74)</f>
        <v>230314500</v>
      </c>
      <c r="F73" s="86">
        <f>VLOOKUP($A73,'Data shares'!$C:$FA,76)</f>
        <v>6179850</v>
      </c>
      <c r="G73" s="87">
        <f>VLOOKUP(A73,'Data shares'!$C$2:$CA$216,77,0)</f>
        <v>2.76E-2</v>
      </c>
      <c r="H73" s="86">
        <f>VLOOKUP($A73,'Data shares'!$C:$FA,90)</f>
        <v>93206925</v>
      </c>
      <c r="I73" s="86">
        <f>VLOOKUP($A73,'Data shares'!$C:$FA,92)</f>
        <v>1234575</v>
      </c>
      <c r="J73" s="87">
        <f>VLOOKUP($A73,'Data shares'!$C:$FA,93)</f>
        <v>1.34E-2</v>
      </c>
      <c r="K73" s="86">
        <f>VLOOKUP($A73,'Data shares'!$C:$FA,94)</f>
        <v>46725525</v>
      </c>
      <c r="L73" s="86">
        <f>VLOOKUP($A73,'Data shares'!$C:$FA,96)</f>
        <v>3138750</v>
      </c>
      <c r="M73" s="87">
        <f>VLOOKUP($A73,'Data shares'!$C:$FA,97)</f>
        <v>7.1999999999999995E-2</v>
      </c>
      <c r="N73" s="86">
        <f>VLOOKUP($A73,'Data shares'!$C:$FA,78)</f>
        <v>54983925</v>
      </c>
      <c r="O73" s="87">
        <f>VLOOKUP($A73,'Data shares'!$C:$FA,81)</f>
        <v>-0.42980000000000002</v>
      </c>
    </row>
    <row r="74" spans="1:15" x14ac:dyDescent="0.25">
      <c r="A74" s="100" t="str">
        <f>'OI(Value)'!A74</f>
        <v>GODREJCP</v>
      </c>
      <c r="B74" s="82">
        <f>VLOOKUP(A74,'Data shares'!$C$2:$CV$216,98,0)</f>
        <v>18492500</v>
      </c>
      <c r="C74" s="82">
        <f>VLOOKUP(A74,'Data shares'!$C$2:$CX$216,100,0)</f>
        <v>135000</v>
      </c>
      <c r="D74" s="141">
        <f>VLOOKUP(A74,'Data shares'!$C$2:$CY$539,101,0)</f>
        <v>7.4000000000000003E-3</v>
      </c>
      <c r="E74" s="86">
        <f>VLOOKUP($A74,'Data shares'!$C:$FA,74)</f>
        <v>13379500</v>
      </c>
      <c r="F74" s="86">
        <f>VLOOKUP($A74,'Data shares'!$C:$FA,76)</f>
        <v>623500</v>
      </c>
      <c r="G74" s="87">
        <f>VLOOKUP(A74,'Data shares'!$C$2:$CA$216,77,0)</f>
        <v>4.8899999999999999E-2</v>
      </c>
      <c r="H74" s="86">
        <f>VLOOKUP($A74,'Data shares'!$C:$FA,90)</f>
        <v>2907500</v>
      </c>
      <c r="I74" s="86">
        <f>VLOOKUP($A74,'Data shares'!$C:$FA,92)</f>
        <v>-385000</v>
      </c>
      <c r="J74" s="87">
        <f>VLOOKUP($A74,'Data shares'!$C:$FA,93)</f>
        <v>-0.1169</v>
      </c>
      <c r="K74" s="86">
        <f>VLOOKUP($A74,'Data shares'!$C:$FA,94)</f>
        <v>2205500</v>
      </c>
      <c r="L74" s="86">
        <f>VLOOKUP($A74,'Data shares'!$C:$FA,96)</f>
        <v>-103500</v>
      </c>
      <c r="M74" s="87">
        <f>VLOOKUP($A74,'Data shares'!$C:$FA,97)</f>
        <v>-4.48E-2</v>
      </c>
      <c r="N74" s="86">
        <f>VLOOKUP($A74,'Data shares'!$C:$FA,78)</f>
        <v>2190500</v>
      </c>
      <c r="O74" s="87">
        <f>VLOOKUP($A74,'Data shares'!$C:$FA,81)</f>
        <v>-0.46250000000000002</v>
      </c>
    </row>
    <row r="75" spans="1:15" x14ac:dyDescent="0.25">
      <c r="A75" s="100" t="str">
        <f>'OI(Value)'!A75</f>
        <v>GODREJPROP</v>
      </c>
      <c r="B75" s="82">
        <f>VLOOKUP(A75,'Data shares'!$C$2:$CV$216,98,0)</f>
        <v>14045625</v>
      </c>
      <c r="C75" s="82">
        <f>VLOOKUP(A75,'Data shares'!$C$2:$CX$216,100,0)</f>
        <v>-244750</v>
      </c>
      <c r="D75" s="141">
        <f>VLOOKUP(A75,'Data shares'!$C$2:$CY$539,101,0)</f>
        <v>-1.7100000000000001E-2</v>
      </c>
      <c r="E75" s="86">
        <f>VLOOKUP($A75,'Data shares'!$C:$FA,74)</f>
        <v>8797525</v>
      </c>
      <c r="F75" s="86">
        <f>VLOOKUP($A75,'Data shares'!$C:$FA,76)</f>
        <v>-10450</v>
      </c>
      <c r="G75" s="87">
        <f>VLOOKUP(A75,'Data shares'!$C$2:$CA$216,77,0)</f>
        <v>-1.1999999999999999E-3</v>
      </c>
      <c r="H75" s="86">
        <f>VLOOKUP($A75,'Data shares'!$C:$FA,90)</f>
        <v>2709850</v>
      </c>
      <c r="I75" s="86">
        <f>VLOOKUP($A75,'Data shares'!$C:$FA,92)</f>
        <v>-3575</v>
      </c>
      <c r="J75" s="87">
        <f>VLOOKUP($A75,'Data shares'!$C:$FA,93)</f>
        <v>-1.2999999999999999E-3</v>
      </c>
      <c r="K75" s="86">
        <f>VLOOKUP($A75,'Data shares'!$C:$FA,94)</f>
        <v>2538250</v>
      </c>
      <c r="L75" s="86">
        <f>VLOOKUP($A75,'Data shares'!$C:$FA,96)</f>
        <v>-230725</v>
      </c>
      <c r="M75" s="87">
        <f>VLOOKUP($A75,'Data shares'!$C:$FA,97)</f>
        <v>-8.3299999999999999E-2</v>
      </c>
      <c r="N75" s="86">
        <f>VLOOKUP($A75,'Data shares'!$C:$FA,78)</f>
        <v>1348600</v>
      </c>
      <c r="O75" s="87">
        <f>VLOOKUP($A75,'Data shares'!$C:$FA,81)</f>
        <v>-0.56320000000000003</v>
      </c>
    </row>
    <row r="76" spans="1:15" x14ac:dyDescent="0.25">
      <c r="A76" s="100" t="str">
        <f>'OI(Value)'!A76</f>
        <v>GRASIM</v>
      </c>
      <c r="B76" s="82">
        <f>VLOOKUP(A76,'Data shares'!$C$2:$CV$216,98,0)</f>
        <v>19072500</v>
      </c>
      <c r="C76" s="82">
        <f>VLOOKUP(A76,'Data shares'!$C$2:$CX$216,100,0)</f>
        <v>799250</v>
      </c>
      <c r="D76" s="141">
        <f>VLOOKUP(A76,'Data shares'!$C$2:$CY$539,101,0)</f>
        <v>4.3700000000000003E-2</v>
      </c>
      <c r="E76" s="86">
        <f>VLOOKUP($A76,'Data shares'!$C:$FA,74)</f>
        <v>15485500</v>
      </c>
      <c r="F76" s="86">
        <f>VLOOKUP($A76,'Data shares'!$C:$FA,76)</f>
        <v>137250</v>
      </c>
      <c r="G76" s="87">
        <f>VLOOKUP(A76,'Data shares'!$C$2:$CA$216,77,0)</f>
        <v>8.8999999999999999E-3</v>
      </c>
      <c r="H76" s="86">
        <f>VLOOKUP($A76,'Data shares'!$C:$FA,90)</f>
        <v>2206000</v>
      </c>
      <c r="I76" s="86">
        <f>VLOOKUP($A76,'Data shares'!$C:$FA,92)</f>
        <v>378000</v>
      </c>
      <c r="J76" s="87">
        <f>VLOOKUP($A76,'Data shares'!$C:$FA,93)</f>
        <v>0.20680000000000001</v>
      </c>
      <c r="K76" s="86">
        <f>VLOOKUP($A76,'Data shares'!$C:$FA,94)</f>
        <v>1381000</v>
      </c>
      <c r="L76" s="86">
        <f>VLOOKUP($A76,'Data shares'!$C:$FA,96)</f>
        <v>284000</v>
      </c>
      <c r="M76" s="87">
        <f>VLOOKUP($A76,'Data shares'!$C:$FA,97)</f>
        <v>0.25890000000000002</v>
      </c>
      <c r="N76" s="86">
        <f>VLOOKUP($A76,'Data shares'!$C:$FA,78)</f>
        <v>2601000</v>
      </c>
      <c r="O76" s="87">
        <f>VLOOKUP($A76,'Data shares'!$C:$FA,81)</f>
        <v>-0.49569999999999997</v>
      </c>
    </row>
    <row r="77" spans="1:15" x14ac:dyDescent="0.25">
      <c r="A77" s="100" t="str">
        <f>'OI(Value)'!A77</f>
        <v>HAL</v>
      </c>
      <c r="B77" s="82">
        <f>VLOOKUP(A77,'Data shares'!$C$2:$CV$216,98,0)</f>
        <v>17473200</v>
      </c>
      <c r="C77" s="82">
        <f>VLOOKUP(A77,'Data shares'!$C$2:$CX$216,100,0)</f>
        <v>-149250</v>
      </c>
      <c r="D77" s="141">
        <f>VLOOKUP(A77,'Data shares'!$C$2:$CY$539,101,0)</f>
        <v>-8.5000000000000006E-3</v>
      </c>
      <c r="E77" s="86">
        <f>VLOOKUP($A77,'Data shares'!$C:$FA,74)</f>
        <v>9960900</v>
      </c>
      <c r="F77" s="86">
        <f>VLOOKUP($A77,'Data shares'!$C:$FA,76)</f>
        <v>78000</v>
      </c>
      <c r="G77" s="87">
        <f>VLOOKUP(A77,'Data shares'!$C$2:$CA$216,77,0)</f>
        <v>7.9000000000000008E-3</v>
      </c>
      <c r="H77" s="86">
        <f>VLOOKUP($A77,'Data shares'!$C:$FA,90)</f>
        <v>4930200</v>
      </c>
      <c r="I77" s="86">
        <f>VLOOKUP($A77,'Data shares'!$C:$FA,92)</f>
        <v>-182400</v>
      </c>
      <c r="J77" s="87">
        <f>VLOOKUP($A77,'Data shares'!$C:$FA,93)</f>
        <v>-3.5700000000000003E-2</v>
      </c>
      <c r="K77" s="86">
        <f>VLOOKUP($A77,'Data shares'!$C:$FA,94)</f>
        <v>2582100</v>
      </c>
      <c r="L77" s="86">
        <f>VLOOKUP($A77,'Data shares'!$C:$FA,96)</f>
        <v>-44850</v>
      </c>
      <c r="M77" s="87">
        <f>VLOOKUP($A77,'Data shares'!$C:$FA,97)</f>
        <v>-1.7100000000000001E-2</v>
      </c>
      <c r="N77" s="86">
        <f>VLOOKUP($A77,'Data shares'!$C:$FA,78)</f>
        <v>2131800</v>
      </c>
      <c r="O77" s="87">
        <f>VLOOKUP($A77,'Data shares'!$C:$FA,81)</f>
        <v>-0.52690000000000003</v>
      </c>
    </row>
    <row r="78" spans="1:15" x14ac:dyDescent="0.25">
      <c r="A78" s="100" t="str">
        <f>'OI(Value)'!A78</f>
        <v>HAVELLS</v>
      </c>
      <c r="B78" s="82">
        <f>VLOOKUP(A78,'Data shares'!$C$2:$CV$216,98,0)</f>
        <v>14216500</v>
      </c>
      <c r="C78" s="82">
        <f>VLOOKUP(A78,'Data shares'!$C$2:$CX$216,100,0)</f>
        <v>-470500</v>
      </c>
      <c r="D78" s="141">
        <f>VLOOKUP(A78,'Data shares'!$C$2:$CY$539,101,0)</f>
        <v>-3.2000000000000001E-2</v>
      </c>
      <c r="E78" s="86">
        <f>VLOOKUP($A78,'Data shares'!$C:$FA,74)</f>
        <v>10040000</v>
      </c>
      <c r="F78" s="86">
        <f>VLOOKUP($A78,'Data shares'!$C:$FA,76)</f>
        <v>118000</v>
      </c>
      <c r="G78" s="87">
        <f>VLOOKUP(A78,'Data shares'!$C$2:$CA$216,77,0)</f>
        <v>1.1900000000000001E-2</v>
      </c>
      <c r="H78" s="86">
        <f>VLOOKUP($A78,'Data shares'!$C:$FA,90)</f>
        <v>2551000</v>
      </c>
      <c r="I78" s="86">
        <f>VLOOKUP($A78,'Data shares'!$C:$FA,92)</f>
        <v>-385500</v>
      </c>
      <c r="J78" s="87">
        <f>VLOOKUP($A78,'Data shares'!$C:$FA,93)</f>
        <v>-0.1313</v>
      </c>
      <c r="K78" s="86">
        <f>VLOOKUP($A78,'Data shares'!$C:$FA,94)</f>
        <v>1625500</v>
      </c>
      <c r="L78" s="86">
        <f>VLOOKUP($A78,'Data shares'!$C:$FA,96)</f>
        <v>-203000</v>
      </c>
      <c r="M78" s="87">
        <f>VLOOKUP($A78,'Data shares'!$C:$FA,97)</f>
        <v>-0.111</v>
      </c>
      <c r="N78" s="86">
        <f>VLOOKUP($A78,'Data shares'!$C:$FA,78)</f>
        <v>1992000</v>
      </c>
      <c r="O78" s="87">
        <f>VLOOKUP($A78,'Data shares'!$C:$FA,81)</f>
        <v>-0.45500000000000002</v>
      </c>
    </row>
    <row r="79" spans="1:15" x14ac:dyDescent="0.25">
      <c r="A79" s="100" t="str">
        <f>'OI(Value)'!A79</f>
        <v>HCLTECH</v>
      </c>
      <c r="B79" s="82">
        <f>VLOOKUP(A79,'Data shares'!$C$2:$CV$216,98,0)</f>
        <v>30503900</v>
      </c>
      <c r="C79" s="82">
        <f>VLOOKUP(A79,'Data shares'!$C$2:$CX$216,100,0)</f>
        <v>-581350</v>
      </c>
      <c r="D79" s="141">
        <f>VLOOKUP(A79,'Data shares'!$C$2:$CY$539,101,0)</f>
        <v>-1.8700000000000001E-2</v>
      </c>
      <c r="E79" s="86">
        <f>VLOOKUP($A79,'Data shares'!$C:$FA,74)</f>
        <v>18294850</v>
      </c>
      <c r="F79" s="86">
        <f>VLOOKUP($A79,'Data shares'!$C:$FA,76)</f>
        <v>275450</v>
      </c>
      <c r="G79" s="87">
        <f>VLOOKUP(A79,'Data shares'!$C$2:$CA$216,77,0)</f>
        <v>1.5299999999999999E-2</v>
      </c>
      <c r="H79" s="86">
        <f>VLOOKUP($A79,'Data shares'!$C:$FA,90)</f>
        <v>7290500</v>
      </c>
      <c r="I79" s="86">
        <f>VLOOKUP($A79,'Data shares'!$C:$FA,92)</f>
        <v>-727650</v>
      </c>
      <c r="J79" s="87">
        <f>VLOOKUP($A79,'Data shares'!$C:$FA,93)</f>
        <v>-9.0800000000000006E-2</v>
      </c>
      <c r="K79" s="86">
        <f>VLOOKUP($A79,'Data shares'!$C:$FA,94)</f>
        <v>4918550</v>
      </c>
      <c r="L79" s="86">
        <f>VLOOKUP($A79,'Data shares'!$C:$FA,96)</f>
        <v>-129150</v>
      </c>
      <c r="M79" s="87">
        <f>VLOOKUP($A79,'Data shares'!$C:$FA,97)</f>
        <v>-2.5600000000000001E-2</v>
      </c>
      <c r="N79" s="86">
        <f>VLOOKUP($A79,'Data shares'!$C:$FA,78)</f>
        <v>3228750</v>
      </c>
      <c r="O79" s="87">
        <f>VLOOKUP($A79,'Data shares'!$C:$FA,81)</f>
        <v>-0.59870000000000001</v>
      </c>
    </row>
    <row r="80" spans="1:15" x14ac:dyDescent="0.25">
      <c r="A80" s="100" t="str">
        <f>'OI(Value)'!A80</f>
        <v>HDFCAMC</v>
      </c>
      <c r="B80" s="82">
        <f>VLOOKUP(A80,'Data shares'!$C$2:$CV$216,98,0)</f>
        <v>4739100</v>
      </c>
      <c r="C80" s="82">
        <f>VLOOKUP(A80,'Data shares'!$C$2:$CX$216,100,0)</f>
        <v>-420150</v>
      </c>
      <c r="D80" s="141">
        <f>VLOOKUP(A80,'Data shares'!$C$2:$CY$539,101,0)</f>
        <v>-8.14E-2</v>
      </c>
      <c r="E80" s="86">
        <f>VLOOKUP($A80,'Data shares'!$C:$FA,74)</f>
        <v>2180400</v>
      </c>
      <c r="F80" s="86">
        <f>VLOOKUP($A80,'Data shares'!$C:$FA,76)</f>
        <v>-13500</v>
      </c>
      <c r="G80" s="87">
        <f>VLOOKUP(A80,'Data shares'!$C$2:$CA$216,77,0)</f>
        <v>-6.1999999999999998E-3</v>
      </c>
      <c r="H80" s="86">
        <f>VLOOKUP($A80,'Data shares'!$C:$FA,90)</f>
        <v>1668000</v>
      </c>
      <c r="I80" s="86">
        <f>VLOOKUP($A80,'Data shares'!$C:$FA,92)</f>
        <v>-386100</v>
      </c>
      <c r="J80" s="87">
        <f>VLOOKUP($A80,'Data shares'!$C:$FA,93)</f>
        <v>-0.188</v>
      </c>
      <c r="K80" s="86">
        <f>VLOOKUP($A80,'Data shares'!$C:$FA,94)</f>
        <v>890700</v>
      </c>
      <c r="L80" s="86">
        <f>VLOOKUP($A80,'Data shares'!$C:$FA,96)</f>
        <v>-20550</v>
      </c>
      <c r="M80" s="87">
        <f>VLOOKUP($A80,'Data shares'!$C:$FA,97)</f>
        <v>-2.2599999999999999E-2</v>
      </c>
      <c r="N80" s="86">
        <f>VLOOKUP($A80,'Data shares'!$C:$FA,78)</f>
        <v>353850</v>
      </c>
      <c r="O80" s="87">
        <f>VLOOKUP($A80,'Data shares'!$C:$FA,81)</f>
        <v>-0.60940000000000005</v>
      </c>
    </row>
    <row r="81" spans="1:15" x14ac:dyDescent="0.25">
      <c r="A81" s="100" t="str">
        <f>'OI(Value)'!A81</f>
        <v>HDFCBANK</v>
      </c>
      <c r="B81" s="82">
        <f>VLOOKUP(A81,'Data shares'!$C$2:$CV$216,98,0)</f>
        <v>275965800</v>
      </c>
      <c r="C81" s="82">
        <f>VLOOKUP(A81,'Data shares'!$C$2:$CX$216,100,0)</f>
        <v>-6978400</v>
      </c>
      <c r="D81" s="141">
        <f>VLOOKUP(A81,'Data shares'!$C$2:$CY$539,101,0)</f>
        <v>-2.47E-2</v>
      </c>
      <c r="E81" s="86">
        <f>VLOOKUP($A81,'Data shares'!$C:$FA,74)</f>
        <v>210641200</v>
      </c>
      <c r="F81" s="86">
        <f>VLOOKUP($A81,'Data shares'!$C:$FA,76)</f>
        <v>-1901900</v>
      </c>
      <c r="G81" s="87">
        <f>VLOOKUP(A81,'Data shares'!$C$2:$CA$216,77,0)</f>
        <v>-8.8999999999999999E-3</v>
      </c>
      <c r="H81" s="86">
        <f>VLOOKUP($A81,'Data shares'!$C:$FA,90)</f>
        <v>33664400</v>
      </c>
      <c r="I81" s="86">
        <f>VLOOKUP($A81,'Data shares'!$C:$FA,92)</f>
        <v>-3918200</v>
      </c>
      <c r="J81" s="87">
        <f>VLOOKUP($A81,'Data shares'!$C:$FA,93)</f>
        <v>-0.1043</v>
      </c>
      <c r="K81" s="86">
        <f>VLOOKUP($A81,'Data shares'!$C:$FA,94)</f>
        <v>31660200</v>
      </c>
      <c r="L81" s="86">
        <f>VLOOKUP($A81,'Data shares'!$C:$FA,96)</f>
        <v>-1158300</v>
      </c>
      <c r="M81" s="87">
        <f>VLOOKUP($A81,'Data shares'!$C:$FA,97)</f>
        <v>-3.5299999999999998E-2</v>
      </c>
      <c r="N81" s="86">
        <f>VLOOKUP($A81,'Data shares'!$C:$FA,78)</f>
        <v>30690000</v>
      </c>
      <c r="O81" s="87">
        <f>VLOOKUP($A81,'Data shares'!$C:$FA,81)</f>
        <v>-0.59560000000000002</v>
      </c>
    </row>
    <row r="82" spans="1:15" x14ac:dyDescent="0.25">
      <c r="A82" s="100" t="str">
        <f>'OI(Value)'!A82</f>
        <v>HDFCLIFE</v>
      </c>
      <c r="B82" s="82">
        <f>VLOOKUP(A82,'Data shares'!$C$2:$CV$216,98,0)</f>
        <v>52929800</v>
      </c>
      <c r="C82" s="82">
        <f>VLOOKUP(A82,'Data shares'!$C$2:$CX$216,100,0)</f>
        <v>-1691800</v>
      </c>
      <c r="D82" s="141">
        <f>VLOOKUP(A82,'Data shares'!$C$2:$CY$539,101,0)</f>
        <v>-3.1E-2</v>
      </c>
      <c r="E82" s="86">
        <f>VLOOKUP($A82,'Data shares'!$C:$FA,74)</f>
        <v>33405900</v>
      </c>
      <c r="F82" s="86">
        <f>VLOOKUP($A82,'Data shares'!$C:$FA,76)</f>
        <v>-528000</v>
      </c>
      <c r="G82" s="87">
        <f>VLOOKUP(A82,'Data shares'!$C$2:$CA$216,77,0)</f>
        <v>-1.5599999999999999E-2</v>
      </c>
      <c r="H82" s="86">
        <f>VLOOKUP($A82,'Data shares'!$C:$FA,90)</f>
        <v>12999800</v>
      </c>
      <c r="I82" s="86">
        <f>VLOOKUP($A82,'Data shares'!$C:$FA,92)</f>
        <v>-585200</v>
      </c>
      <c r="J82" s="87">
        <f>VLOOKUP($A82,'Data shares'!$C:$FA,93)</f>
        <v>-4.3099999999999999E-2</v>
      </c>
      <c r="K82" s="86">
        <f>VLOOKUP($A82,'Data shares'!$C:$FA,94)</f>
        <v>6524100</v>
      </c>
      <c r="L82" s="86">
        <f>VLOOKUP($A82,'Data shares'!$C:$FA,96)</f>
        <v>-578600</v>
      </c>
      <c r="M82" s="87">
        <f>VLOOKUP($A82,'Data shares'!$C:$FA,97)</f>
        <v>-8.1500000000000003E-2</v>
      </c>
      <c r="N82" s="86">
        <f>VLOOKUP($A82,'Data shares'!$C:$FA,78)</f>
        <v>4288900</v>
      </c>
      <c r="O82" s="87">
        <f>VLOOKUP($A82,'Data shares'!$C:$FA,81)</f>
        <v>-0.70469999999999999</v>
      </c>
    </row>
    <row r="83" spans="1:15" x14ac:dyDescent="0.25">
      <c r="A83" s="100" t="str">
        <f>'OI(Value)'!A83</f>
        <v>HEROMOTOCO</v>
      </c>
      <c r="B83" s="82">
        <f>VLOOKUP(A83,'Data shares'!$C$2:$CV$216,98,0)</f>
        <v>8279850</v>
      </c>
      <c r="C83" s="82">
        <f>VLOOKUP(A83,'Data shares'!$C$2:$CX$216,100,0)</f>
        <v>-572250</v>
      </c>
      <c r="D83" s="141">
        <f>VLOOKUP(A83,'Data shares'!$C$2:$CY$539,101,0)</f>
        <v>-6.4600000000000005E-2</v>
      </c>
      <c r="E83" s="86">
        <f>VLOOKUP($A83,'Data shares'!$C:$FA,74)</f>
        <v>4807350</v>
      </c>
      <c r="F83" s="86">
        <f>VLOOKUP($A83,'Data shares'!$C:$FA,76)</f>
        <v>-162450</v>
      </c>
      <c r="G83" s="87">
        <f>VLOOKUP(A83,'Data shares'!$C$2:$CA$216,77,0)</f>
        <v>-3.27E-2</v>
      </c>
      <c r="H83" s="86">
        <f>VLOOKUP($A83,'Data shares'!$C:$FA,90)</f>
        <v>1947150</v>
      </c>
      <c r="I83" s="86">
        <f>VLOOKUP($A83,'Data shares'!$C:$FA,92)</f>
        <v>-392100</v>
      </c>
      <c r="J83" s="87">
        <f>VLOOKUP($A83,'Data shares'!$C:$FA,93)</f>
        <v>-0.1676</v>
      </c>
      <c r="K83" s="86">
        <f>VLOOKUP($A83,'Data shares'!$C:$FA,94)</f>
        <v>1525350</v>
      </c>
      <c r="L83" s="86">
        <f>VLOOKUP($A83,'Data shares'!$C:$FA,96)</f>
        <v>-17700</v>
      </c>
      <c r="M83" s="87">
        <f>VLOOKUP($A83,'Data shares'!$C:$FA,97)</f>
        <v>-1.15E-2</v>
      </c>
      <c r="N83" s="86">
        <f>VLOOKUP($A83,'Data shares'!$C:$FA,78)</f>
        <v>723150</v>
      </c>
      <c r="O83" s="87">
        <f>VLOOKUP($A83,'Data shares'!$C:$FA,81)</f>
        <v>-0.65100000000000002</v>
      </c>
    </row>
    <row r="84" spans="1:15" x14ac:dyDescent="0.25">
      <c r="A84" s="100" t="str">
        <f>'OI(Value)'!A84</f>
        <v>HFCL</v>
      </c>
      <c r="B84" s="82">
        <f>VLOOKUP(A84,'Data shares'!$C$2:$CV$216,98,0)</f>
        <v>219577350</v>
      </c>
      <c r="C84" s="82">
        <f>VLOOKUP(A84,'Data shares'!$C$2:$CX$216,100,0)</f>
        <v>5875950</v>
      </c>
      <c r="D84" s="141">
        <f>VLOOKUP(A84,'Data shares'!$C$2:$CY$539,101,0)</f>
        <v>2.75E-2</v>
      </c>
      <c r="E84" s="86">
        <f>VLOOKUP($A84,'Data shares'!$C:$FA,74)</f>
        <v>126497400</v>
      </c>
      <c r="F84" s="86">
        <f>VLOOKUP($A84,'Data shares'!$C:$FA,76)</f>
        <v>-2528400</v>
      </c>
      <c r="G84" s="87">
        <f>VLOOKUP(A84,'Data shares'!$C$2:$CA$216,77,0)</f>
        <v>-1.9599999999999999E-2</v>
      </c>
      <c r="H84" s="86">
        <f>VLOOKUP($A84,'Data shares'!$C:$FA,90)</f>
        <v>62629500</v>
      </c>
      <c r="I84" s="86">
        <f>VLOOKUP($A84,'Data shares'!$C:$FA,92)</f>
        <v>6398400</v>
      </c>
      <c r="J84" s="87">
        <f>VLOOKUP($A84,'Data shares'!$C:$FA,93)</f>
        <v>0.1138</v>
      </c>
      <c r="K84" s="86">
        <f>VLOOKUP($A84,'Data shares'!$C:$FA,94)</f>
        <v>30450450</v>
      </c>
      <c r="L84" s="86">
        <f>VLOOKUP($A84,'Data shares'!$C:$FA,96)</f>
        <v>2005950</v>
      </c>
      <c r="M84" s="87">
        <f>VLOOKUP($A84,'Data shares'!$C:$FA,97)</f>
        <v>7.0499999999999993E-2</v>
      </c>
      <c r="N84" s="86">
        <f>VLOOKUP($A84,'Data shares'!$C:$FA,78)</f>
        <v>34384950</v>
      </c>
      <c r="O84" s="87">
        <f>VLOOKUP($A84,'Data shares'!$C:$FA,81)</f>
        <v>-0.40210000000000001</v>
      </c>
    </row>
    <row r="85" spans="1:15" x14ac:dyDescent="0.25">
      <c r="A85" s="100" t="str">
        <f>'OI(Value)'!A85</f>
        <v>HINDALCO</v>
      </c>
      <c r="B85" s="82">
        <f>VLOOKUP(A85,'Data shares'!$C$2:$CV$216,98,0)</f>
        <v>103138000</v>
      </c>
      <c r="C85" s="82">
        <f>VLOOKUP(A85,'Data shares'!$C$2:$CX$216,100,0)</f>
        <v>1240400</v>
      </c>
      <c r="D85" s="141">
        <f>VLOOKUP(A85,'Data shares'!$C$2:$CY$539,101,0)</f>
        <v>1.2200000000000001E-2</v>
      </c>
      <c r="E85" s="86">
        <f>VLOOKUP($A85,'Data shares'!$C:$FA,74)</f>
        <v>65990400</v>
      </c>
      <c r="F85" s="86">
        <f>VLOOKUP($A85,'Data shares'!$C:$FA,76)</f>
        <v>1318800</v>
      </c>
      <c r="G85" s="87">
        <f>VLOOKUP(A85,'Data shares'!$C$2:$CA$216,77,0)</f>
        <v>2.0400000000000001E-2</v>
      </c>
      <c r="H85" s="86">
        <f>VLOOKUP($A85,'Data shares'!$C:$FA,90)</f>
        <v>18016600</v>
      </c>
      <c r="I85" s="86">
        <f>VLOOKUP($A85,'Data shares'!$C:$FA,92)</f>
        <v>-2055200</v>
      </c>
      <c r="J85" s="87">
        <f>VLOOKUP($A85,'Data shares'!$C:$FA,93)</f>
        <v>-0.1024</v>
      </c>
      <c r="K85" s="86">
        <f>VLOOKUP($A85,'Data shares'!$C:$FA,94)</f>
        <v>19131000</v>
      </c>
      <c r="L85" s="86">
        <f>VLOOKUP($A85,'Data shares'!$C:$FA,96)</f>
        <v>1976800</v>
      </c>
      <c r="M85" s="87">
        <f>VLOOKUP($A85,'Data shares'!$C:$FA,97)</f>
        <v>0.1152</v>
      </c>
      <c r="N85" s="86">
        <f>VLOOKUP($A85,'Data shares'!$C:$FA,78)</f>
        <v>10946600</v>
      </c>
      <c r="O85" s="87">
        <f>VLOOKUP($A85,'Data shares'!$C:$FA,81)</f>
        <v>-0.47920000000000001</v>
      </c>
    </row>
    <row r="86" spans="1:15" x14ac:dyDescent="0.25">
      <c r="A86" s="100" t="str">
        <f>'OI(Value)'!A86</f>
        <v>HINDPETRO</v>
      </c>
      <c r="B86" s="82">
        <f>VLOOKUP(A86,'Data shares'!$C$2:$CV$216,98,0)</f>
        <v>90017325</v>
      </c>
      <c r="C86" s="82">
        <f>VLOOKUP(A86,'Data shares'!$C$2:$CX$216,100,0)</f>
        <v>2357100</v>
      </c>
      <c r="D86" s="141">
        <f>VLOOKUP(A86,'Data shares'!$C$2:$CY$539,101,0)</f>
        <v>2.69E-2</v>
      </c>
      <c r="E86" s="86">
        <f>VLOOKUP($A86,'Data shares'!$C:$FA,74)</f>
        <v>58155975</v>
      </c>
      <c r="F86" s="86">
        <f>VLOOKUP($A86,'Data shares'!$C:$FA,76)</f>
        <v>676350</v>
      </c>
      <c r="G86" s="87">
        <f>VLOOKUP(A86,'Data shares'!$C$2:$CA$216,77,0)</f>
        <v>1.18E-2</v>
      </c>
      <c r="H86" s="86">
        <f>VLOOKUP($A86,'Data shares'!$C:$FA,90)</f>
        <v>19041075</v>
      </c>
      <c r="I86" s="86">
        <f>VLOOKUP($A86,'Data shares'!$C:$FA,92)</f>
        <v>1571400</v>
      </c>
      <c r="J86" s="87">
        <f>VLOOKUP($A86,'Data shares'!$C:$FA,93)</f>
        <v>0.09</v>
      </c>
      <c r="K86" s="86">
        <f>VLOOKUP($A86,'Data shares'!$C:$FA,94)</f>
        <v>12820275</v>
      </c>
      <c r="L86" s="86">
        <f>VLOOKUP($A86,'Data shares'!$C:$FA,96)</f>
        <v>109350</v>
      </c>
      <c r="M86" s="87">
        <f>VLOOKUP($A86,'Data shares'!$C:$FA,97)</f>
        <v>8.6E-3</v>
      </c>
      <c r="N86" s="86">
        <f>VLOOKUP($A86,'Data shares'!$C:$FA,78)</f>
        <v>19444050</v>
      </c>
      <c r="O86" s="87">
        <f>VLOOKUP($A86,'Data shares'!$C:$FA,81)</f>
        <v>-0.36570000000000003</v>
      </c>
    </row>
    <row r="87" spans="1:15" x14ac:dyDescent="0.25">
      <c r="A87" s="100" t="str">
        <f>'OI(Value)'!A87</f>
        <v>HINDUNILVR</v>
      </c>
      <c r="B87" s="82">
        <f>VLOOKUP(A87,'Data shares'!$C$2:$CV$216,98,0)</f>
        <v>32531700</v>
      </c>
      <c r="C87" s="82">
        <f>VLOOKUP(A87,'Data shares'!$C$2:$CX$216,100,0)</f>
        <v>-1444200</v>
      </c>
      <c r="D87" s="141">
        <f>VLOOKUP(A87,'Data shares'!$C$2:$CY$539,101,0)</f>
        <v>-4.2500000000000003E-2</v>
      </c>
      <c r="E87" s="86">
        <f>VLOOKUP($A87,'Data shares'!$C:$FA,74)</f>
        <v>17795700</v>
      </c>
      <c r="F87" s="86">
        <f>VLOOKUP($A87,'Data shares'!$C:$FA,76)</f>
        <v>593100</v>
      </c>
      <c r="G87" s="87">
        <f>VLOOKUP(A87,'Data shares'!$C$2:$CA$216,77,0)</f>
        <v>3.4500000000000003E-2</v>
      </c>
      <c r="H87" s="86">
        <f>VLOOKUP($A87,'Data shares'!$C:$FA,90)</f>
        <v>9993300</v>
      </c>
      <c r="I87" s="86">
        <f>VLOOKUP($A87,'Data shares'!$C:$FA,92)</f>
        <v>-1642800</v>
      </c>
      <c r="J87" s="87">
        <f>VLOOKUP($A87,'Data shares'!$C:$FA,93)</f>
        <v>-0.14119999999999999</v>
      </c>
      <c r="K87" s="86">
        <f>VLOOKUP($A87,'Data shares'!$C:$FA,94)</f>
        <v>4742700</v>
      </c>
      <c r="L87" s="86">
        <f>VLOOKUP($A87,'Data shares'!$C:$FA,96)</f>
        <v>-394500</v>
      </c>
      <c r="M87" s="87">
        <f>VLOOKUP($A87,'Data shares'!$C:$FA,97)</f>
        <v>-7.6799999999999993E-2</v>
      </c>
      <c r="N87" s="86">
        <f>VLOOKUP($A87,'Data shares'!$C:$FA,78)</f>
        <v>1963800</v>
      </c>
      <c r="O87" s="87">
        <f>VLOOKUP($A87,'Data shares'!$C:$FA,81)</f>
        <v>-0.61209999999999998</v>
      </c>
    </row>
    <row r="88" spans="1:15" x14ac:dyDescent="0.25">
      <c r="A88" s="100" t="str">
        <f>'OI(Value)'!A88</f>
        <v>HINDZINC</v>
      </c>
      <c r="B88" s="82">
        <f>VLOOKUP(A88,'Data shares'!$C$2:$CV$216,98,0)</f>
        <v>84689150</v>
      </c>
      <c r="C88" s="82">
        <f>VLOOKUP(A88,'Data shares'!$C$2:$CX$216,100,0)</f>
        <v>-2377725</v>
      </c>
      <c r="D88" s="141">
        <f>VLOOKUP(A88,'Data shares'!$C$2:$CY$539,101,0)</f>
        <v>-2.7300000000000001E-2</v>
      </c>
      <c r="E88" s="86">
        <f>VLOOKUP($A88,'Data shares'!$C:$FA,74)</f>
        <v>38515225</v>
      </c>
      <c r="F88" s="86">
        <f>VLOOKUP($A88,'Data shares'!$C:$FA,76)</f>
        <v>-123725</v>
      </c>
      <c r="G88" s="87">
        <f>VLOOKUP(A88,'Data shares'!$C$2:$CA$216,77,0)</f>
        <v>-3.2000000000000002E-3</v>
      </c>
      <c r="H88" s="86">
        <f>VLOOKUP($A88,'Data shares'!$C:$FA,90)</f>
        <v>33166875</v>
      </c>
      <c r="I88" s="86">
        <f>VLOOKUP($A88,'Data shares'!$C:$FA,92)</f>
        <v>-1772575</v>
      </c>
      <c r="J88" s="87">
        <f>VLOOKUP($A88,'Data shares'!$C:$FA,93)</f>
        <v>-5.0700000000000002E-2</v>
      </c>
      <c r="K88" s="86">
        <f>VLOOKUP($A88,'Data shares'!$C:$FA,94)</f>
        <v>13007050</v>
      </c>
      <c r="L88" s="86">
        <f>VLOOKUP($A88,'Data shares'!$C:$FA,96)</f>
        <v>-481425</v>
      </c>
      <c r="M88" s="87">
        <f>VLOOKUP($A88,'Data shares'!$C:$FA,97)</f>
        <v>-3.5700000000000003E-2</v>
      </c>
      <c r="N88" s="86">
        <f>VLOOKUP($A88,'Data shares'!$C:$FA,78)</f>
        <v>8067850</v>
      </c>
      <c r="O88" s="87">
        <f>VLOOKUP($A88,'Data shares'!$C:$FA,81)</f>
        <v>-0.43590000000000001</v>
      </c>
    </row>
    <row r="89" spans="1:15" x14ac:dyDescent="0.25">
      <c r="A89" s="100" t="str">
        <f>'OI(Value)'!A89</f>
        <v>HUDCO</v>
      </c>
      <c r="B89" s="82">
        <f>VLOOKUP(A89,'Data shares'!$C$2:$CV$216,98,0)</f>
        <v>55294650</v>
      </c>
      <c r="C89" s="82">
        <f>VLOOKUP(A89,'Data shares'!$C$2:$CX$216,100,0)</f>
        <v>482850</v>
      </c>
      <c r="D89" s="141">
        <f>VLOOKUP(A89,'Data shares'!$C$2:$CY$539,101,0)</f>
        <v>8.8000000000000005E-3</v>
      </c>
      <c r="E89" s="86">
        <f>VLOOKUP($A89,'Data shares'!$C:$FA,74)</f>
        <v>30175350</v>
      </c>
      <c r="F89" s="86">
        <f>VLOOKUP($A89,'Data shares'!$C:$FA,76)</f>
        <v>799200</v>
      </c>
      <c r="G89" s="87">
        <f>VLOOKUP(A89,'Data shares'!$C$2:$CA$216,77,0)</f>
        <v>2.7199999999999998E-2</v>
      </c>
      <c r="H89" s="86">
        <f>VLOOKUP($A89,'Data shares'!$C:$FA,90)</f>
        <v>16403025</v>
      </c>
      <c r="I89" s="86">
        <f>VLOOKUP($A89,'Data shares'!$C:$FA,92)</f>
        <v>-255300</v>
      </c>
      <c r="J89" s="87">
        <f>VLOOKUP($A89,'Data shares'!$C:$FA,93)</f>
        <v>-1.5299999999999999E-2</v>
      </c>
      <c r="K89" s="86">
        <f>VLOOKUP($A89,'Data shares'!$C:$FA,94)</f>
        <v>8716275</v>
      </c>
      <c r="L89" s="86">
        <f>VLOOKUP($A89,'Data shares'!$C:$FA,96)</f>
        <v>-61050</v>
      </c>
      <c r="M89" s="87">
        <f>VLOOKUP($A89,'Data shares'!$C:$FA,97)</f>
        <v>-7.0000000000000001E-3</v>
      </c>
      <c r="N89" s="86">
        <f>VLOOKUP($A89,'Data shares'!$C:$FA,78)</f>
        <v>8677425</v>
      </c>
      <c r="O89" s="87">
        <f>VLOOKUP($A89,'Data shares'!$C:$FA,81)</f>
        <v>-0.43580000000000002</v>
      </c>
    </row>
    <row r="90" spans="1:15" x14ac:dyDescent="0.25">
      <c r="A90" s="100" t="str">
        <f>'OI(Value)'!A90</f>
        <v>ICICIBANK</v>
      </c>
      <c r="B90" s="82">
        <f>VLOOKUP(A90,'Data shares'!$C$2:$CV$216,98,0)</f>
        <v>180201700</v>
      </c>
      <c r="C90" s="82">
        <f>VLOOKUP(A90,'Data shares'!$C$2:$CX$216,100,0)</f>
        <v>-4067700</v>
      </c>
      <c r="D90" s="141">
        <f>VLOOKUP(A90,'Data shares'!$C$2:$CY$539,101,0)</f>
        <v>-2.2100000000000002E-2</v>
      </c>
      <c r="E90" s="86">
        <f>VLOOKUP($A90,'Data shares'!$C:$FA,74)</f>
        <v>110733000</v>
      </c>
      <c r="F90" s="86">
        <f>VLOOKUP($A90,'Data shares'!$C:$FA,76)</f>
        <v>830200</v>
      </c>
      <c r="G90" s="87">
        <f>VLOOKUP(A90,'Data shares'!$C$2:$CA$216,77,0)</f>
        <v>7.6E-3</v>
      </c>
      <c r="H90" s="86">
        <f>VLOOKUP($A90,'Data shares'!$C:$FA,90)</f>
        <v>44241400</v>
      </c>
      <c r="I90" s="86">
        <f>VLOOKUP($A90,'Data shares'!$C:$FA,92)</f>
        <v>-4744600</v>
      </c>
      <c r="J90" s="87">
        <f>VLOOKUP($A90,'Data shares'!$C:$FA,93)</f>
        <v>-9.69E-2</v>
      </c>
      <c r="K90" s="86">
        <f>VLOOKUP($A90,'Data shares'!$C:$FA,94)</f>
        <v>25227300</v>
      </c>
      <c r="L90" s="86">
        <f>VLOOKUP($A90,'Data shares'!$C:$FA,96)</f>
        <v>-153300</v>
      </c>
      <c r="M90" s="87">
        <f>VLOOKUP($A90,'Data shares'!$C:$FA,97)</f>
        <v>-6.0000000000000001E-3</v>
      </c>
      <c r="N90" s="86">
        <f>VLOOKUP($A90,'Data shares'!$C:$FA,78)</f>
        <v>23053800</v>
      </c>
      <c r="O90" s="87">
        <f>VLOOKUP($A90,'Data shares'!$C:$FA,81)</f>
        <v>-0.44069999999999998</v>
      </c>
    </row>
    <row r="91" spans="1:15" x14ac:dyDescent="0.25">
      <c r="A91" s="100" t="str">
        <f>'OI(Value)'!A91</f>
        <v>ICICIGI</v>
      </c>
      <c r="B91" s="82">
        <f>VLOOKUP(A91,'Data shares'!$C$2:$CV$216,98,0)</f>
        <v>9536800</v>
      </c>
      <c r="C91" s="82">
        <f>VLOOKUP(A91,'Data shares'!$C$2:$CX$216,100,0)</f>
        <v>-392600</v>
      </c>
      <c r="D91" s="141">
        <f>VLOOKUP(A91,'Data shares'!$C$2:$CY$539,101,0)</f>
        <v>-3.95E-2</v>
      </c>
      <c r="E91" s="86">
        <f>VLOOKUP($A91,'Data shares'!$C:$FA,74)</f>
        <v>6047275</v>
      </c>
      <c r="F91" s="86">
        <f>VLOOKUP($A91,'Data shares'!$C:$FA,76)</f>
        <v>-57850</v>
      </c>
      <c r="G91" s="87">
        <f>VLOOKUP(A91,'Data shares'!$C$2:$CA$216,77,0)</f>
        <v>-9.4999999999999998E-3</v>
      </c>
      <c r="H91" s="86">
        <f>VLOOKUP($A91,'Data shares'!$C:$FA,90)</f>
        <v>1584700</v>
      </c>
      <c r="I91" s="86">
        <f>VLOOKUP($A91,'Data shares'!$C:$FA,92)</f>
        <v>-104650</v>
      </c>
      <c r="J91" s="87">
        <f>VLOOKUP($A91,'Data shares'!$C:$FA,93)</f>
        <v>-6.1899999999999997E-2</v>
      </c>
      <c r="K91" s="86">
        <f>VLOOKUP($A91,'Data shares'!$C:$FA,94)</f>
        <v>1904825</v>
      </c>
      <c r="L91" s="86">
        <f>VLOOKUP($A91,'Data shares'!$C:$FA,96)</f>
        <v>-230100</v>
      </c>
      <c r="M91" s="87">
        <f>VLOOKUP($A91,'Data shares'!$C:$FA,97)</f>
        <v>-0.10780000000000001</v>
      </c>
      <c r="N91" s="86">
        <f>VLOOKUP($A91,'Data shares'!$C:$FA,78)</f>
        <v>800475</v>
      </c>
      <c r="O91" s="87">
        <f>VLOOKUP($A91,'Data shares'!$C:$FA,81)</f>
        <v>-0.66169999999999995</v>
      </c>
    </row>
    <row r="92" spans="1:15" x14ac:dyDescent="0.25">
      <c r="A92" s="100" t="str">
        <f>'OI(Value)'!A92</f>
        <v>ICICIPRULI</v>
      </c>
      <c r="B92" s="82">
        <f>VLOOKUP(A92,'Data shares'!$C$2:$CV$216,98,0)</f>
        <v>20022550</v>
      </c>
      <c r="C92" s="82">
        <f>VLOOKUP(A92,'Data shares'!$C$2:$CX$216,100,0)</f>
        <v>-42550</v>
      </c>
      <c r="D92" s="141">
        <f>VLOOKUP(A92,'Data shares'!$C$2:$CY$539,101,0)</f>
        <v>-2.0999999999999999E-3</v>
      </c>
      <c r="E92" s="86">
        <f>VLOOKUP($A92,'Data shares'!$C:$FA,74)</f>
        <v>12363550</v>
      </c>
      <c r="F92" s="86">
        <f>VLOOKUP($A92,'Data shares'!$C:$FA,76)</f>
        <v>268250</v>
      </c>
      <c r="G92" s="87">
        <f>VLOOKUP(A92,'Data shares'!$C$2:$CA$216,77,0)</f>
        <v>2.2200000000000001E-2</v>
      </c>
      <c r="H92" s="86">
        <f>VLOOKUP($A92,'Data shares'!$C:$FA,90)</f>
        <v>4818325</v>
      </c>
      <c r="I92" s="86">
        <f>VLOOKUP($A92,'Data shares'!$C:$FA,92)</f>
        <v>-172050</v>
      </c>
      <c r="J92" s="87">
        <f>VLOOKUP($A92,'Data shares'!$C:$FA,93)</f>
        <v>-3.4500000000000003E-2</v>
      </c>
      <c r="K92" s="86">
        <f>VLOOKUP($A92,'Data shares'!$C:$FA,94)</f>
        <v>2840675</v>
      </c>
      <c r="L92" s="86">
        <f>VLOOKUP($A92,'Data shares'!$C:$FA,96)</f>
        <v>-138750</v>
      </c>
      <c r="M92" s="87">
        <f>VLOOKUP($A92,'Data shares'!$C:$FA,97)</f>
        <v>-4.6600000000000003E-2</v>
      </c>
      <c r="N92" s="86">
        <f>VLOOKUP($A92,'Data shares'!$C:$FA,78)</f>
        <v>1464275</v>
      </c>
      <c r="O92" s="87">
        <f>VLOOKUP($A92,'Data shares'!$C:$FA,81)</f>
        <v>-0.6996</v>
      </c>
    </row>
    <row r="93" spans="1:15" x14ac:dyDescent="0.25">
      <c r="A93" s="100" t="str">
        <f>'OI(Value)'!A93</f>
        <v>IDEA</v>
      </c>
      <c r="B93" s="82">
        <f>VLOOKUP(A93,'Data shares'!$C$2:$CV$216,98,0)</f>
        <v>10701379950</v>
      </c>
      <c r="C93" s="82">
        <f>VLOOKUP(A93,'Data shares'!$C$2:$CX$216,100,0)</f>
        <v>395900025</v>
      </c>
      <c r="D93" s="141">
        <f>VLOOKUP(A93,'Data shares'!$C$2:$CY$539,101,0)</f>
        <v>3.8399999999999997E-2</v>
      </c>
      <c r="E93" s="86">
        <f>VLOOKUP($A93,'Data shares'!$C:$FA,74)</f>
        <v>6376642125</v>
      </c>
      <c r="F93" s="86">
        <f>VLOOKUP($A93,'Data shares'!$C:$FA,76)</f>
        <v>95204700</v>
      </c>
      <c r="G93" s="87">
        <f>VLOOKUP(A93,'Data shares'!$C$2:$CA$216,77,0)</f>
        <v>1.52E-2</v>
      </c>
      <c r="H93" s="86">
        <f>VLOOKUP($A93,'Data shares'!$C:$FA,90)</f>
        <v>2429077875</v>
      </c>
      <c r="I93" s="86">
        <f>VLOOKUP($A93,'Data shares'!$C:$FA,92)</f>
        <v>45243675</v>
      </c>
      <c r="J93" s="87">
        <f>VLOOKUP($A93,'Data shares'!$C:$FA,93)</f>
        <v>1.9E-2</v>
      </c>
      <c r="K93" s="86">
        <f>VLOOKUP($A93,'Data shares'!$C:$FA,94)</f>
        <v>1895659950</v>
      </c>
      <c r="L93" s="86">
        <f>VLOOKUP($A93,'Data shares'!$C:$FA,96)</f>
        <v>255451650</v>
      </c>
      <c r="M93" s="87">
        <f>VLOOKUP($A93,'Data shares'!$C:$FA,97)</f>
        <v>0.15570000000000001</v>
      </c>
      <c r="N93" s="86">
        <f>VLOOKUP($A93,'Data shares'!$C:$FA,78)</f>
        <v>1202638350</v>
      </c>
      <c r="O93" s="87">
        <f>VLOOKUP($A93,'Data shares'!$C:$FA,81)</f>
        <v>-0.55989999999999995</v>
      </c>
    </row>
    <row r="94" spans="1:15" x14ac:dyDescent="0.25">
      <c r="A94" s="100" t="str">
        <f>'OI(Value)'!A94</f>
        <v>IDFCFIRSTB</v>
      </c>
      <c r="B94" s="82">
        <f>VLOOKUP(A94,'Data shares'!$C$2:$CV$216,98,0)</f>
        <v>687518650</v>
      </c>
      <c r="C94" s="82">
        <f>VLOOKUP(A94,'Data shares'!$C$2:$CX$216,100,0)</f>
        <v>927500</v>
      </c>
      <c r="D94" s="141">
        <f>VLOOKUP(A94,'Data shares'!$C$2:$CY$539,101,0)</f>
        <v>1.4E-3</v>
      </c>
      <c r="E94" s="86">
        <f>VLOOKUP($A94,'Data shares'!$C:$FA,74)</f>
        <v>401106650</v>
      </c>
      <c r="F94" s="86">
        <f>VLOOKUP($A94,'Data shares'!$C:$FA,76)</f>
        <v>4396350</v>
      </c>
      <c r="G94" s="87">
        <f>VLOOKUP(A94,'Data shares'!$C$2:$CA$216,77,0)</f>
        <v>1.11E-2</v>
      </c>
      <c r="H94" s="86">
        <f>VLOOKUP($A94,'Data shares'!$C:$FA,90)</f>
        <v>145506200</v>
      </c>
      <c r="I94" s="86">
        <f>VLOOKUP($A94,'Data shares'!$C:$FA,92)</f>
        <v>-3153500</v>
      </c>
      <c r="J94" s="87">
        <f>VLOOKUP($A94,'Data shares'!$C:$FA,93)</f>
        <v>-2.12E-2</v>
      </c>
      <c r="K94" s="86">
        <f>VLOOKUP($A94,'Data shares'!$C:$FA,94)</f>
        <v>140905800</v>
      </c>
      <c r="L94" s="86">
        <f>VLOOKUP($A94,'Data shares'!$C:$FA,96)</f>
        <v>-315350</v>
      </c>
      <c r="M94" s="87">
        <f>VLOOKUP($A94,'Data shares'!$C:$FA,97)</f>
        <v>-2.2000000000000001E-3</v>
      </c>
      <c r="N94" s="86">
        <f>VLOOKUP($A94,'Data shares'!$C:$FA,78)</f>
        <v>57709050</v>
      </c>
      <c r="O94" s="87">
        <f>VLOOKUP($A94,'Data shares'!$C:$FA,81)</f>
        <v>-0.55589999999999995</v>
      </c>
    </row>
    <row r="95" spans="1:15" x14ac:dyDescent="0.25">
      <c r="A95" s="100" t="str">
        <f>'OI(Value)'!A95</f>
        <v>IEX</v>
      </c>
      <c r="B95" s="82">
        <f>VLOOKUP(A95,'Data shares'!$C$2:$CV$216,98,0)</f>
        <v>139342500</v>
      </c>
      <c r="C95" s="82">
        <f>VLOOKUP(A95,'Data shares'!$C$2:$CX$216,100,0)</f>
        <v>5891250</v>
      </c>
      <c r="D95" s="141">
        <f>VLOOKUP(A95,'Data shares'!$C$2:$CY$539,101,0)</f>
        <v>4.41E-2</v>
      </c>
      <c r="E95" s="86">
        <f>VLOOKUP($A95,'Data shares'!$C:$FA,74)</f>
        <v>73053750</v>
      </c>
      <c r="F95" s="86">
        <f>VLOOKUP($A95,'Data shares'!$C:$FA,76)</f>
        <v>1323750</v>
      </c>
      <c r="G95" s="87">
        <f>VLOOKUP(A95,'Data shares'!$C$2:$CA$216,77,0)</f>
        <v>1.8499999999999999E-2</v>
      </c>
      <c r="H95" s="86">
        <f>VLOOKUP($A95,'Data shares'!$C:$FA,90)</f>
        <v>38883750</v>
      </c>
      <c r="I95" s="86">
        <f>VLOOKUP($A95,'Data shares'!$C:$FA,92)</f>
        <v>3960000</v>
      </c>
      <c r="J95" s="87">
        <f>VLOOKUP($A95,'Data shares'!$C:$FA,93)</f>
        <v>0.1134</v>
      </c>
      <c r="K95" s="86">
        <f>VLOOKUP($A95,'Data shares'!$C:$FA,94)</f>
        <v>27405000</v>
      </c>
      <c r="L95" s="86">
        <f>VLOOKUP($A95,'Data shares'!$C:$FA,96)</f>
        <v>607500</v>
      </c>
      <c r="M95" s="87">
        <f>VLOOKUP($A95,'Data shares'!$C:$FA,97)</f>
        <v>2.2700000000000001E-2</v>
      </c>
      <c r="N95" s="86">
        <f>VLOOKUP($A95,'Data shares'!$C:$FA,78)</f>
        <v>12157500</v>
      </c>
      <c r="O95" s="87">
        <f>VLOOKUP($A95,'Data shares'!$C:$FA,81)</f>
        <v>-0.48659999999999998</v>
      </c>
    </row>
    <row r="96" spans="1:15" x14ac:dyDescent="0.25">
      <c r="A96" s="100" t="str">
        <f>'OI(Value)'!A96</f>
        <v>IGL</v>
      </c>
      <c r="B96" s="82">
        <f>VLOOKUP(A96,'Data shares'!$C$2:$CV$216,98,0)</f>
        <v>47949000</v>
      </c>
      <c r="C96" s="82">
        <f>VLOOKUP(A96,'Data shares'!$C$2:$CX$216,100,0)</f>
        <v>-1751750</v>
      </c>
      <c r="D96" s="141">
        <f>VLOOKUP(A96,'Data shares'!$C$2:$CY$539,101,0)</f>
        <v>-3.5200000000000002E-2</v>
      </c>
      <c r="E96" s="86">
        <f>VLOOKUP($A96,'Data shares'!$C:$FA,74)</f>
        <v>20971500</v>
      </c>
      <c r="F96" s="86">
        <f>VLOOKUP($A96,'Data shares'!$C:$FA,76)</f>
        <v>-55000</v>
      </c>
      <c r="G96" s="87">
        <f>VLOOKUP(A96,'Data shares'!$C$2:$CA$216,77,0)</f>
        <v>-2.5999999999999999E-3</v>
      </c>
      <c r="H96" s="86">
        <f>VLOOKUP($A96,'Data shares'!$C:$FA,90)</f>
        <v>17630250</v>
      </c>
      <c r="I96" s="86">
        <f>VLOOKUP($A96,'Data shares'!$C:$FA,92)</f>
        <v>-1201750</v>
      </c>
      <c r="J96" s="87">
        <f>VLOOKUP($A96,'Data shares'!$C:$FA,93)</f>
        <v>-6.3799999999999996E-2</v>
      </c>
      <c r="K96" s="86">
        <f>VLOOKUP($A96,'Data shares'!$C:$FA,94)</f>
        <v>9347250</v>
      </c>
      <c r="L96" s="86">
        <f>VLOOKUP($A96,'Data shares'!$C:$FA,96)</f>
        <v>-495000</v>
      </c>
      <c r="M96" s="87">
        <f>VLOOKUP($A96,'Data shares'!$C:$FA,97)</f>
        <v>-5.0299999999999997E-2</v>
      </c>
      <c r="N96" s="86">
        <f>VLOOKUP($A96,'Data shares'!$C:$FA,78)</f>
        <v>7771500</v>
      </c>
      <c r="O96" s="87">
        <f>VLOOKUP($A96,'Data shares'!$C:$FA,81)</f>
        <v>-0.28070000000000001</v>
      </c>
    </row>
    <row r="97" spans="1:15" x14ac:dyDescent="0.25">
      <c r="A97" s="100" t="str">
        <f>'OI(Value)'!A97</f>
        <v>IIFL</v>
      </c>
      <c r="B97" s="82">
        <f>VLOOKUP(A97,'Data shares'!$C$2:$CV$216,98,0)</f>
        <v>24134550</v>
      </c>
      <c r="C97" s="82">
        <f>VLOOKUP(A97,'Data shares'!$C$2:$CX$216,100,0)</f>
        <v>1242450</v>
      </c>
      <c r="D97" s="141">
        <f>VLOOKUP(A97,'Data shares'!$C$2:$CY$539,101,0)</f>
        <v>5.4300000000000001E-2</v>
      </c>
      <c r="E97" s="86">
        <f>VLOOKUP($A97,'Data shares'!$C:$FA,74)</f>
        <v>16217850</v>
      </c>
      <c r="F97" s="86">
        <f>VLOOKUP($A97,'Data shares'!$C:$FA,76)</f>
        <v>536250</v>
      </c>
      <c r="G97" s="87">
        <f>VLOOKUP(A97,'Data shares'!$C$2:$CA$216,77,0)</f>
        <v>3.4200000000000001E-2</v>
      </c>
      <c r="H97" s="86">
        <f>VLOOKUP($A97,'Data shares'!$C:$FA,90)</f>
        <v>4928550</v>
      </c>
      <c r="I97" s="86">
        <f>VLOOKUP($A97,'Data shares'!$C:$FA,92)</f>
        <v>646800</v>
      </c>
      <c r="J97" s="87">
        <f>VLOOKUP($A97,'Data shares'!$C:$FA,93)</f>
        <v>0.15110000000000001</v>
      </c>
      <c r="K97" s="86">
        <f>VLOOKUP($A97,'Data shares'!$C:$FA,94)</f>
        <v>2988150</v>
      </c>
      <c r="L97" s="86">
        <f>VLOOKUP($A97,'Data shares'!$C:$FA,96)</f>
        <v>59400</v>
      </c>
      <c r="M97" s="87">
        <f>VLOOKUP($A97,'Data shares'!$C:$FA,97)</f>
        <v>2.0299999999999999E-2</v>
      </c>
      <c r="N97" s="86">
        <f>VLOOKUP($A97,'Data shares'!$C:$FA,78)</f>
        <v>1981650</v>
      </c>
      <c r="O97" s="87">
        <f>VLOOKUP($A97,'Data shares'!$C:$FA,81)</f>
        <v>-0.65239999999999998</v>
      </c>
    </row>
    <row r="98" spans="1:15" x14ac:dyDescent="0.25">
      <c r="A98" s="100" t="str">
        <f>'OI(Value)'!A98</f>
        <v>INDHOTEL</v>
      </c>
      <c r="B98" s="82">
        <f>VLOOKUP(A98,'Data shares'!$C$2:$CV$216,98,0)</f>
        <v>43721000</v>
      </c>
      <c r="C98" s="82">
        <f>VLOOKUP(A98,'Data shares'!$C$2:$CX$216,100,0)</f>
        <v>-3649000</v>
      </c>
      <c r="D98" s="141">
        <f>VLOOKUP(A98,'Data shares'!$C$2:$CY$539,101,0)</f>
        <v>-7.6999999999999999E-2</v>
      </c>
      <c r="E98" s="86">
        <f>VLOOKUP($A98,'Data shares'!$C:$FA,74)</f>
        <v>27369000</v>
      </c>
      <c r="F98" s="86">
        <f>VLOOKUP($A98,'Data shares'!$C:$FA,76)</f>
        <v>-1465000</v>
      </c>
      <c r="G98" s="87">
        <f>VLOOKUP(A98,'Data shares'!$C$2:$CA$216,77,0)</f>
        <v>-5.0799999999999998E-2</v>
      </c>
      <c r="H98" s="86">
        <f>VLOOKUP($A98,'Data shares'!$C:$FA,90)</f>
        <v>9274000</v>
      </c>
      <c r="I98" s="86">
        <f>VLOOKUP($A98,'Data shares'!$C:$FA,92)</f>
        <v>-2302000</v>
      </c>
      <c r="J98" s="87">
        <f>VLOOKUP($A98,'Data shares'!$C:$FA,93)</f>
        <v>-0.19889999999999999</v>
      </c>
      <c r="K98" s="86">
        <f>VLOOKUP($A98,'Data shares'!$C:$FA,94)</f>
        <v>7078000</v>
      </c>
      <c r="L98" s="86">
        <f>VLOOKUP($A98,'Data shares'!$C:$FA,96)</f>
        <v>118000</v>
      </c>
      <c r="M98" s="87">
        <f>VLOOKUP($A98,'Data shares'!$C:$FA,97)</f>
        <v>1.7000000000000001E-2</v>
      </c>
      <c r="N98" s="86">
        <f>VLOOKUP($A98,'Data shares'!$C:$FA,78)</f>
        <v>4532000</v>
      </c>
      <c r="O98" s="87">
        <f>VLOOKUP($A98,'Data shares'!$C:$FA,81)</f>
        <v>-0.67479999999999996</v>
      </c>
    </row>
    <row r="99" spans="1:15" x14ac:dyDescent="0.25">
      <c r="A99" s="100" t="str">
        <f>'OI(Value)'!A99</f>
        <v>INDIANB</v>
      </c>
      <c r="B99" s="82">
        <f>VLOOKUP(A99,'Data shares'!$C$2:$CV$216,98,0)</f>
        <v>17670000</v>
      </c>
      <c r="C99" s="82">
        <f>VLOOKUP(A99,'Data shares'!$C$2:$CX$216,100,0)</f>
        <v>-535000</v>
      </c>
      <c r="D99" s="141">
        <f>VLOOKUP(A99,'Data shares'!$C$2:$CY$539,101,0)</f>
        <v>-2.9399999999999999E-2</v>
      </c>
      <c r="E99" s="86">
        <f>VLOOKUP($A99,'Data shares'!$C:$FA,74)</f>
        <v>8944000</v>
      </c>
      <c r="F99" s="86">
        <f>VLOOKUP($A99,'Data shares'!$C:$FA,76)</f>
        <v>88000</v>
      </c>
      <c r="G99" s="87">
        <f>VLOOKUP(A99,'Data shares'!$C$2:$CA$216,77,0)</f>
        <v>9.9000000000000008E-3</v>
      </c>
      <c r="H99" s="86">
        <f>VLOOKUP($A99,'Data shares'!$C:$FA,90)</f>
        <v>3986000</v>
      </c>
      <c r="I99" s="86">
        <f>VLOOKUP($A99,'Data shares'!$C:$FA,92)</f>
        <v>-462000</v>
      </c>
      <c r="J99" s="87">
        <f>VLOOKUP($A99,'Data shares'!$C:$FA,93)</f>
        <v>-0.10390000000000001</v>
      </c>
      <c r="K99" s="86">
        <f>VLOOKUP($A99,'Data shares'!$C:$FA,94)</f>
        <v>4740000</v>
      </c>
      <c r="L99" s="86">
        <f>VLOOKUP($A99,'Data shares'!$C:$FA,96)</f>
        <v>-161000</v>
      </c>
      <c r="M99" s="87">
        <f>VLOOKUP($A99,'Data shares'!$C:$FA,97)</f>
        <v>-3.2899999999999999E-2</v>
      </c>
      <c r="N99" s="86">
        <f>VLOOKUP($A99,'Data shares'!$C:$FA,78)</f>
        <v>1632000</v>
      </c>
      <c r="O99" s="87">
        <f>VLOOKUP($A99,'Data shares'!$C:$FA,81)</f>
        <v>-0.49740000000000001</v>
      </c>
    </row>
    <row r="100" spans="1:15" x14ac:dyDescent="0.25">
      <c r="A100" s="100" t="str">
        <f>'OI(Value)'!A100</f>
        <v>INDIAVIX</v>
      </c>
      <c r="B100" s="82">
        <f>VLOOKUP(A100,'Data shares'!$C$2:$CV$216,98,0)</f>
        <v>0</v>
      </c>
      <c r="C100" s="82">
        <f>VLOOKUP(A100,'Data shares'!$C$2:$CX$216,100,0)</f>
        <v>0</v>
      </c>
      <c r="D100" s="141">
        <f>VLOOKUP(A100,'Data shares'!$C$2:$CY$539,101,0)</f>
        <v>0</v>
      </c>
      <c r="E100" s="86">
        <f>VLOOKUP($A100,'Data shares'!$C:$FA,74)</f>
        <v>0</v>
      </c>
      <c r="F100" s="86">
        <f>VLOOKUP($A100,'Data shares'!$C:$FA,76)</f>
        <v>0</v>
      </c>
      <c r="G100" s="87">
        <f>VLOOKUP(A100,'Data shares'!$C$2:$CA$216,77,0)</f>
        <v>0</v>
      </c>
      <c r="H100" s="86">
        <f>VLOOKUP($A100,'Data shares'!$C:$FA,90)</f>
        <v>0</v>
      </c>
      <c r="I100" s="86">
        <f>VLOOKUP($A100,'Data shares'!$C:$FA,92)</f>
        <v>0</v>
      </c>
      <c r="J100" s="87">
        <f>VLOOKUP($A100,'Data shares'!$C:$FA,93)</f>
        <v>0</v>
      </c>
      <c r="K100" s="86">
        <f>VLOOKUP($A100,'Data shares'!$C:$FA,94)</f>
        <v>0</v>
      </c>
      <c r="L100" s="86">
        <f>VLOOKUP($A100,'Data shares'!$C:$FA,96)</f>
        <v>0</v>
      </c>
      <c r="M100" s="87">
        <f>VLOOKUP($A100,'Data shares'!$C:$FA,97)</f>
        <v>0</v>
      </c>
      <c r="N100" s="86">
        <f>VLOOKUP($A100,'Data shares'!$C:$FA,78)</f>
        <v>0</v>
      </c>
      <c r="O100" s="87">
        <f>VLOOKUP($A100,'Data shares'!$C:$FA,81)</f>
        <v>0</v>
      </c>
    </row>
    <row r="101" spans="1:15" x14ac:dyDescent="0.25">
      <c r="A101" s="100" t="str">
        <f>'OI(Value)'!A101</f>
        <v>INDIGO</v>
      </c>
      <c r="B101" s="82">
        <f>VLOOKUP(A101,'Data shares'!$C$2:$CV$216,98,0)</f>
        <v>11612400</v>
      </c>
      <c r="C101" s="82">
        <f>VLOOKUP(A101,'Data shares'!$C$2:$CX$216,100,0)</f>
        <v>-142350</v>
      </c>
      <c r="D101" s="141">
        <f>VLOOKUP(A101,'Data shares'!$C$2:$CY$539,101,0)</f>
        <v>-1.21E-2</v>
      </c>
      <c r="E101" s="86">
        <f>VLOOKUP($A101,'Data shares'!$C:$FA,74)</f>
        <v>7933800</v>
      </c>
      <c r="F101" s="86">
        <f>VLOOKUP($A101,'Data shares'!$C:$FA,76)</f>
        <v>-223200</v>
      </c>
      <c r="G101" s="87">
        <f>VLOOKUP(A101,'Data shares'!$C$2:$CA$216,77,0)</f>
        <v>-2.7400000000000001E-2</v>
      </c>
      <c r="H101" s="86">
        <f>VLOOKUP($A101,'Data shares'!$C:$FA,90)</f>
        <v>1927200</v>
      </c>
      <c r="I101" s="86">
        <f>VLOOKUP($A101,'Data shares'!$C:$FA,92)</f>
        <v>-104250</v>
      </c>
      <c r="J101" s="87">
        <f>VLOOKUP($A101,'Data shares'!$C:$FA,93)</f>
        <v>-5.1299999999999998E-2</v>
      </c>
      <c r="K101" s="86">
        <f>VLOOKUP($A101,'Data shares'!$C:$FA,94)</f>
        <v>1751400</v>
      </c>
      <c r="L101" s="86">
        <f>VLOOKUP($A101,'Data shares'!$C:$FA,96)</f>
        <v>185100</v>
      </c>
      <c r="M101" s="87">
        <f>VLOOKUP($A101,'Data shares'!$C:$FA,97)</f>
        <v>0.1182</v>
      </c>
      <c r="N101" s="86">
        <f>VLOOKUP($A101,'Data shares'!$C:$FA,78)</f>
        <v>1195650</v>
      </c>
      <c r="O101" s="87">
        <f>VLOOKUP($A101,'Data shares'!$C:$FA,81)</f>
        <v>-0.64429999999999998</v>
      </c>
    </row>
    <row r="102" spans="1:15" x14ac:dyDescent="0.25">
      <c r="A102" s="100" t="str">
        <f>'OI(Value)'!A102</f>
        <v>INDUSINDBK</v>
      </c>
      <c r="B102" s="82">
        <f>VLOOKUP(A102,'Data shares'!$C$2:$CV$216,98,0)</f>
        <v>92870400</v>
      </c>
      <c r="C102" s="82">
        <f>VLOOKUP(A102,'Data shares'!$C$2:$CX$216,100,0)</f>
        <v>249200</v>
      </c>
      <c r="D102" s="141">
        <f>VLOOKUP(A102,'Data shares'!$C$2:$CY$539,101,0)</f>
        <v>2.7000000000000001E-3</v>
      </c>
      <c r="E102" s="86">
        <f>VLOOKUP($A102,'Data shares'!$C:$FA,74)</f>
        <v>57239000</v>
      </c>
      <c r="F102" s="86">
        <f>VLOOKUP($A102,'Data shares'!$C:$FA,76)</f>
        <v>-649600</v>
      </c>
      <c r="G102" s="87">
        <f>VLOOKUP(A102,'Data shares'!$C$2:$CA$216,77,0)</f>
        <v>-1.12E-2</v>
      </c>
      <c r="H102" s="86">
        <f>VLOOKUP($A102,'Data shares'!$C:$FA,90)</f>
        <v>19786900</v>
      </c>
      <c r="I102" s="86">
        <f>VLOOKUP($A102,'Data shares'!$C:$FA,92)</f>
        <v>-324100</v>
      </c>
      <c r="J102" s="87">
        <f>VLOOKUP($A102,'Data shares'!$C:$FA,93)</f>
        <v>-1.61E-2</v>
      </c>
      <c r="K102" s="86">
        <f>VLOOKUP($A102,'Data shares'!$C:$FA,94)</f>
        <v>15844500</v>
      </c>
      <c r="L102" s="86">
        <f>VLOOKUP($A102,'Data shares'!$C:$FA,96)</f>
        <v>1222900</v>
      </c>
      <c r="M102" s="87">
        <f>VLOOKUP($A102,'Data shares'!$C:$FA,97)</f>
        <v>8.3599999999999994E-2</v>
      </c>
      <c r="N102" s="86">
        <f>VLOOKUP($A102,'Data shares'!$C:$FA,78)</f>
        <v>7819700</v>
      </c>
      <c r="O102" s="87">
        <f>VLOOKUP($A102,'Data shares'!$C:$FA,81)</f>
        <v>-0.64690000000000003</v>
      </c>
    </row>
    <row r="103" spans="1:15" x14ac:dyDescent="0.25">
      <c r="A103" s="100" t="str">
        <f>'OI(Value)'!A103</f>
        <v>INDUSTOWER</v>
      </c>
      <c r="B103" s="82">
        <f>VLOOKUP(A103,'Data shares'!$C$2:$CV$216,98,0)</f>
        <v>154562300</v>
      </c>
      <c r="C103" s="82">
        <f>VLOOKUP(A103,'Data shares'!$C$2:$CX$216,100,0)</f>
        <v>22661000</v>
      </c>
      <c r="D103" s="141">
        <f>VLOOKUP(A103,'Data shares'!$C$2:$CY$539,101,0)</f>
        <v>0.17180000000000001</v>
      </c>
      <c r="E103" s="86">
        <f>VLOOKUP($A103,'Data shares'!$C:$FA,74)</f>
        <v>99975300</v>
      </c>
      <c r="F103" s="86">
        <f>VLOOKUP($A103,'Data shares'!$C:$FA,76)</f>
        <v>4591700</v>
      </c>
      <c r="G103" s="87">
        <f>VLOOKUP(A103,'Data shares'!$C$2:$CA$216,77,0)</f>
        <v>4.8099999999999997E-2</v>
      </c>
      <c r="H103" s="86">
        <f>VLOOKUP($A103,'Data shares'!$C:$FA,90)</f>
        <v>30632300</v>
      </c>
      <c r="I103" s="86">
        <f>VLOOKUP($A103,'Data shares'!$C:$FA,92)</f>
        <v>9411200</v>
      </c>
      <c r="J103" s="87">
        <f>VLOOKUP($A103,'Data shares'!$C:$FA,93)</f>
        <v>0.44350000000000001</v>
      </c>
      <c r="K103" s="86">
        <f>VLOOKUP($A103,'Data shares'!$C:$FA,94)</f>
        <v>23954700</v>
      </c>
      <c r="L103" s="86">
        <f>VLOOKUP($A103,'Data shares'!$C:$FA,96)</f>
        <v>8658100</v>
      </c>
      <c r="M103" s="87">
        <f>VLOOKUP($A103,'Data shares'!$C:$FA,97)</f>
        <v>0.56599999999999995</v>
      </c>
      <c r="N103" s="86">
        <f>VLOOKUP($A103,'Data shares'!$C:$FA,78)</f>
        <v>14317400</v>
      </c>
      <c r="O103" s="87">
        <f>VLOOKUP($A103,'Data shares'!$C:$FA,81)</f>
        <v>-0.6804</v>
      </c>
    </row>
    <row r="104" spans="1:15" x14ac:dyDescent="0.25">
      <c r="A104" s="100" t="str">
        <f>'OI(Value)'!A104</f>
        <v>INFY</v>
      </c>
      <c r="B104" s="82">
        <f>VLOOKUP(A104,'Data shares'!$C$2:$CV$216,98,0)</f>
        <v>131326800</v>
      </c>
      <c r="C104" s="82">
        <f>VLOOKUP(A104,'Data shares'!$C$2:$CX$216,100,0)</f>
        <v>-5089200</v>
      </c>
      <c r="D104" s="141">
        <f>VLOOKUP(A104,'Data shares'!$C$2:$CY$539,101,0)</f>
        <v>-3.73E-2</v>
      </c>
      <c r="E104" s="86">
        <f>VLOOKUP($A104,'Data shares'!$C:$FA,74)</f>
        <v>65440000</v>
      </c>
      <c r="F104" s="86">
        <f>VLOOKUP($A104,'Data shares'!$C:$FA,76)</f>
        <v>205600</v>
      </c>
      <c r="G104" s="87">
        <f>VLOOKUP(A104,'Data shares'!$C$2:$CA$216,77,0)</f>
        <v>3.2000000000000002E-3</v>
      </c>
      <c r="H104" s="86">
        <f>VLOOKUP($A104,'Data shares'!$C:$FA,90)</f>
        <v>46368800</v>
      </c>
      <c r="I104" s="86">
        <f>VLOOKUP($A104,'Data shares'!$C:$FA,92)</f>
        <v>-3371200</v>
      </c>
      <c r="J104" s="87">
        <f>VLOOKUP($A104,'Data shares'!$C:$FA,93)</f>
        <v>-6.7799999999999999E-2</v>
      </c>
      <c r="K104" s="86">
        <f>VLOOKUP($A104,'Data shares'!$C:$FA,94)</f>
        <v>19518000</v>
      </c>
      <c r="L104" s="86">
        <f>VLOOKUP($A104,'Data shares'!$C:$FA,96)</f>
        <v>-1923600</v>
      </c>
      <c r="M104" s="87">
        <f>VLOOKUP($A104,'Data shares'!$C:$FA,97)</f>
        <v>-8.9700000000000002E-2</v>
      </c>
      <c r="N104" s="86">
        <f>VLOOKUP($A104,'Data shares'!$C:$FA,78)</f>
        <v>11507600</v>
      </c>
      <c r="O104" s="87">
        <f>VLOOKUP($A104,'Data shares'!$C:$FA,81)</f>
        <v>-0.46860000000000002</v>
      </c>
    </row>
    <row r="105" spans="1:15" x14ac:dyDescent="0.25">
      <c r="A105" s="100" t="str">
        <f>'OI(Value)'!A105</f>
        <v>INOXWIND</v>
      </c>
      <c r="B105" s="82">
        <f>VLOOKUP(A105,'Data shares'!$C$2:$CV$216,98,0)</f>
        <v>90372640</v>
      </c>
      <c r="C105" s="82">
        <f>VLOOKUP(A105,'Data shares'!$C$2:$CX$216,100,0)</f>
        <v>-2755024</v>
      </c>
      <c r="D105" s="141">
        <f>VLOOKUP(A105,'Data shares'!$C$2:$CY$539,101,0)</f>
        <v>-2.9600000000000001E-2</v>
      </c>
      <c r="E105" s="86">
        <f>VLOOKUP($A105,'Data shares'!$C:$FA,74)</f>
        <v>54953240</v>
      </c>
      <c r="F105" s="86">
        <f>VLOOKUP($A105,'Data shares'!$C:$FA,76)</f>
        <v>467896</v>
      </c>
      <c r="G105" s="87">
        <f>VLOOKUP(A105,'Data shares'!$C$2:$CA$216,77,0)</f>
        <v>8.6E-3</v>
      </c>
      <c r="H105" s="86">
        <f>VLOOKUP($A105,'Data shares'!$C:$FA,90)</f>
        <v>22157984</v>
      </c>
      <c r="I105" s="86">
        <f>VLOOKUP($A105,'Data shares'!$C:$FA,92)</f>
        <v>-2313304</v>
      </c>
      <c r="J105" s="87">
        <f>VLOOKUP($A105,'Data shares'!$C:$FA,93)</f>
        <v>-9.4500000000000001E-2</v>
      </c>
      <c r="K105" s="86">
        <f>VLOOKUP($A105,'Data shares'!$C:$FA,94)</f>
        <v>13261416</v>
      </c>
      <c r="L105" s="86">
        <f>VLOOKUP($A105,'Data shares'!$C:$FA,96)</f>
        <v>-909616</v>
      </c>
      <c r="M105" s="87">
        <f>VLOOKUP($A105,'Data shares'!$C:$FA,97)</f>
        <v>-6.4199999999999993E-2</v>
      </c>
      <c r="N105" s="86">
        <f>VLOOKUP($A105,'Data shares'!$C:$FA,78)</f>
        <v>10918664</v>
      </c>
      <c r="O105" s="87">
        <f>VLOOKUP($A105,'Data shares'!$C:$FA,81)</f>
        <v>-0.54430000000000001</v>
      </c>
    </row>
    <row r="106" spans="1:15" x14ac:dyDescent="0.25">
      <c r="A106" s="100" t="str">
        <f>'OI(Value)'!A106</f>
        <v>IOC</v>
      </c>
      <c r="B106" s="82">
        <f>VLOOKUP(A106,'Data shares'!$C$2:$CV$216,98,0)</f>
        <v>233951250</v>
      </c>
      <c r="C106" s="82">
        <f>VLOOKUP(A106,'Data shares'!$C$2:$CX$216,100,0)</f>
        <v>12226500</v>
      </c>
      <c r="D106" s="141">
        <f>VLOOKUP(A106,'Data shares'!$C$2:$CY$539,101,0)</f>
        <v>5.5100000000000003E-2</v>
      </c>
      <c r="E106" s="86">
        <f>VLOOKUP($A106,'Data shares'!$C:$FA,74)</f>
        <v>128514750</v>
      </c>
      <c r="F106" s="86">
        <f>VLOOKUP($A106,'Data shares'!$C:$FA,76)</f>
        <v>1404000</v>
      </c>
      <c r="G106" s="87">
        <f>VLOOKUP(A106,'Data shares'!$C$2:$CA$216,77,0)</f>
        <v>1.0999999999999999E-2</v>
      </c>
      <c r="H106" s="86">
        <f>VLOOKUP($A106,'Data shares'!$C:$FA,90)</f>
        <v>62317125</v>
      </c>
      <c r="I106" s="86">
        <f>VLOOKUP($A106,'Data shares'!$C:$FA,92)</f>
        <v>6030375</v>
      </c>
      <c r="J106" s="87">
        <f>VLOOKUP($A106,'Data shares'!$C:$FA,93)</f>
        <v>0.1071</v>
      </c>
      <c r="K106" s="86">
        <f>VLOOKUP($A106,'Data shares'!$C:$FA,94)</f>
        <v>43119375</v>
      </c>
      <c r="L106" s="86">
        <f>VLOOKUP($A106,'Data shares'!$C:$FA,96)</f>
        <v>4792125</v>
      </c>
      <c r="M106" s="87">
        <f>VLOOKUP($A106,'Data shares'!$C:$FA,97)</f>
        <v>0.125</v>
      </c>
      <c r="N106" s="86">
        <f>VLOOKUP($A106,'Data shares'!$C:$FA,78)</f>
        <v>44474625</v>
      </c>
      <c r="O106" s="87">
        <f>VLOOKUP($A106,'Data shares'!$C:$FA,81)</f>
        <v>-0.36099999999999999</v>
      </c>
    </row>
    <row r="107" spans="1:15" x14ac:dyDescent="0.25">
      <c r="A107" s="100" t="str">
        <f>'OI(Value)'!A107</f>
        <v>IRCTC</v>
      </c>
      <c r="B107" s="82">
        <f>VLOOKUP(A107,'Data shares'!$C$2:$CV$216,98,0)</f>
        <v>30556750</v>
      </c>
      <c r="C107" s="82">
        <f>VLOOKUP(A107,'Data shares'!$C$2:$CX$216,100,0)</f>
        <v>137375</v>
      </c>
      <c r="D107" s="141">
        <f>VLOOKUP(A107,'Data shares'!$C$2:$CY$539,101,0)</f>
        <v>4.4999999999999997E-3</v>
      </c>
      <c r="E107" s="86">
        <f>VLOOKUP($A107,'Data shares'!$C:$FA,74)</f>
        <v>16360750</v>
      </c>
      <c r="F107" s="86">
        <f>VLOOKUP($A107,'Data shares'!$C:$FA,76)</f>
        <v>787500</v>
      </c>
      <c r="G107" s="87">
        <f>VLOOKUP(A107,'Data shares'!$C$2:$CA$216,77,0)</f>
        <v>5.0599999999999999E-2</v>
      </c>
      <c r="H107" s="86">
        <f>VLOOKUP($A107,'Data shares'!$C:$FA,90)</f>
        <v>8860250</v>
      </c>
      <c r="I107" s="86">
        <f>VLOOKUP($A107,'Data shares'!$C:$FA,92)</f>
        <v>-679000</v>
      </c>
      <c r="J107" s="87">
        <f>VLOOKUP($A107,'Data shares'!$C:$FA,93)</f>
        <v>-7.1199999999999999E-2</v>
      </c>
      <c r="K107" s="86">
        <f>VLOOKUP($A107,'Data shares'!$C:$FA,94)</f>
        <v>5335750</v>
      </c>
      <c r="L107" s="86">
        <f>VLOOKUP($A107,'Data shares'!$C:$FA,96)</f>
        <v>28875</v>
      </c>
      <c r="M107" s="87">
        <f>VLOOKUP($A107,'Data shares'!$C:$FA,97)</f>
        <v>5.4000000000000003E-3</v>
      </c>
      <c r="N107" s="86">
        <f>VLOOKUP($A107,'Data shares'!$C:$FA,78)</f>
        <v>3313625</v>
      </c>
      <c r="O107" s="87">
        <f>VLOOKUP($A107,'Data shares'!$C:$FA,81)</f>
        <v>-0.36030000000000001</v>
      </c>
    </row>
    <row r="108" spans="1:15" x14ac:dyDescent="0.25">
      <c r="A108" s="100" t="str">
        <f>'OI(Value)'!A108</f>
        <v>IREDA</v>
      </c>
      <c r="B108" s="82">
        <f>VLOOKUP(A108,'Data shares'!$C$2:$CV$216,98,0)</f>
        <v>88030200</v>
      </c>
      <c r="C108" s="82">
        <f>VLOOKUP(A108,'Data shares'!$C$2:$CX$216,100,0)</f>
        <v>-10636350</v>
      </c>
      <c r="D108" s="141">
        <f>VLOOKUP(A108,'Data shares'!$C$2:$CY$539,101,0)</f>
        <v>-0.10780000000000001</v>
      </c>
      <c r="E108" s="86">
        <f>VLOOKUP($A108,'Data shares'!$C:$FA,74)</f>
        <v>42921450</v>
      </c>
      <c r="F108" s="86">
        <f>VLOOKUP($A108,'Data shares'!$C:$FA,76)</f>
        <v>-4754100</v>
      </c>
      <c r="G108" s="87">
        <f>VLOOKUP(A108,'Data shares'!$C$2:$CA$216,77,0)</f>
        <v>-9.9699999999999997E-2</v>
      </c>
      <c r="H108" s="86">
        <f>VLOOKUP($A108,'Data shares'!$C:$FA,90)</f>
        <v>29583750</v>
      </c>
      <c r="I108" s="86">
        <f>VLOOKUP($A108,'Data shares'!$C:$FA,92)</f>
        <v>-5026650</v>
      </c>
      <c r="J108" s="87">
        <f>VLOOKUP($A108,'Data shares'!$C:$FA,93)</f>
        <v>-0.1452</v>
      </c>
      <c r="K108" s="86">
        <f>VLOOKUP($A108,'Data shares'!$C:$FA,94)</f>
        <v>15525000</v>
      </c>
      <c r="L108" s="86">
        <f>VLOOKUP($A108,'Data shares'!$C:$FA,96)</f>
        <v>-855600</v>
      </c>
      <c r="M108" s="87">
        <f>VLOOKUP($A108,'Data shares'!$C:$FA,97)</f>
        <v>-5.2200000000000003E-2</v>
      </c>
      <c r="N108" s="86">
        <f>VLOOKUP($A108,'Data shares'!$C:$FA,78)</f>
        <v>9125250</v>
      </c>
      <c r="O108" s="87">
        <f>VLOOKUP($A108,'Data shares'!$C:$FA,81)</f>
        <v>-0.5423</v>
      </c>
    </row>
    <row r="109" spans="1:15" x14ac:dyDescent="0.25">
      <c r="A109" s="100" t="str">
        <f>'OI(Value)'!A109</f>
        <v>IRFC</v>
      </c>
      <c r="B109" s="82">
        <f>VLOOKUP(A109,'Data shares'!$C$2:$CV$216,98,0)</f>
        <v>98935750</v>
      </c>
      <c r="C109" s="82">
        <f>VLOOKUP(A109,'Data shares'!$C$2:$CX$216,100,0)</f>
        <v>-2333250</v>
      </c>
      <c r="D109" s="141">
        <f>VLOOKUP(A109,'Data shares'!$C$2:$CY$539,101,0)</f>
        <v>-2.3E-2</v>
      </c>
      <c r="E109" s="86">
        <f>VLOOKUP($A109,'Data shares'!$C:$FA,74)</f>
        <v>44676000</v>
      </c>
      <c r="F109" s="86">
        <f>VLOOKUP($A109,'Data shares'!$C:$FA,76)</f>
        <v>-1058250</v>
      </c>
      <c r="G109" s="87">
        <f>VLOOKUP(A109,'Data shares'!$C$2:$CA$216,77,0)</f>
        <v>-2.3099999999999999E-2</v>
      </c>
      <c r="H109" s="86">
        <f>VLOOKUP($A109,'Data shares'!$C:$FA,90)</f>
        <v>37004750</v>
      </c>
      <c r="I109" s="86">
        <f>VLOOKUP($A109,'Data shares'!$C:$FA,92)</f>
        <v>-1028500</v>
      </c>
      <c r="J109" s="87">
        <f>VLOOKUP($A109,'Data shares'!$C:$FA,93)</f>
        <v>-2.7E-2</v>
      </c>
      <c r="K109" s="86">
        <f>VLOOKUP($A109,'Data shares'!$C:$FA,94)</f>
        <v>17255000</v>
      </c>
      <c r="L109" s="86">
        <f>VLOOKUP($A109,'Data shares'!$C:$FA,96)</f>
        <v>-246500</v>
      </c>
      <c r="M109" s="87">
        <f>VLOOKUP($A109,'Data shares'!$C:$FA,97)</f>
        <v>-1.41E-2</v>
      </c>
      <c r="N109" s="86">
        <f>VLOOKUP($A109,'Data shares'!$C:$FA,78)</f>
        <v>12133750</v>
      </c>
      <c r="O109" s="87">
        <f>VLOOKUP($A109,'Data shares'!$C:$FA,81)</f>
        <v>-0.45860000000000001</v>
      </c>
    </row>
    <row r="110" spans="1:15" x14ac:dyDescent="0.25">
      <c r="A110" s="100" t="str">
        <f>'OI(Value)'!A110</f>
        <v>ITC</v>
      </c>
      <c r="B110" s="82">
        <f>VLOOKUP(A110,'Data shares'!$C$2:$CV$216,98,0)</f>
        <v>231707200</v>
      </c>
      <c r="C110" s="82">
        <f>VLOOKUP(A110,'Data shares'!$C$2:$CX$216,100,0)</f>
        <v>2272000</v>
      </c>
      <c r="D110" s="141">
        <f>VLOOKUP(A110,'Data shares'!$C$2:$CY$539,101,0)</f>
        <v>9.9000000000000008E-3</v>
      </c>
      <c r="E110" s="86">
        <f>VLOOKUP($A110,'Data shares'!$C:$FA,74)</f>
        <v>159212800</v>
      </c>
      <c r="F110" s="86">
        <f>VLOOKUP($A110,'Data shares'!$C:$FA,76)</f>
        <v>2691200</v>
      </c>
      <c r="G110" s="87">
        <f>VLOOKUP(A110,'Data shares'!$C$2:$CA$216,77,0)</f>
        <v>1.72E-2</v>
      </c>
      <c r="H110" s="86">
        <f>VLOOKUP($A110,'Data shares'!$C:$FA,90)</f>
        <v>38067200</v>
      </c>
      <c r="I110" s="86">
        <f>VLOOKUP($A110,'Data shares'!$C:$FA,92)</f>
        <v>-1968000</v>
      </c>
      <c r="J110" s="87">
        <f>VLOOKUP($A110,'Data shares'!$C:$FA,93)</f>
        <v>-4.9200000000000001E-2</v>
      </c>
      <c r="K110" s="86">
        <f>VLOOKUP($A110,'Data shares'!$C:$FA,94)</f>
        <v>34427200</v>
      </c>
      <c r="L110" s="86">
        <f>VLOOKUP($A110,'Data shares'!$C:$FA,96)</f>
        <v>1548800</v>
      </c>
      <c r="M110" s="87">
        <f>VLOOKUP($A110,'Data shares'!$C:$FA,97)</f>
        <v>4.7100000000000003E-2</v>
      </c>
      <c r="N110" s="86">
        <f>VLOOKUP($A110,'Data shares'!$C:$FA,78)</f>
        <v>25060800</v>
      </c>
      <c r="O110" s="87">
        <f>VLOOKUP($A110,'Data shares'!$C:$FA,81)</f>
        <v>-0.60699999999999998</v>
      </c>
    </row>
    <row r="111" spans="1:15" x14ac:dyDescent="0.25">
      <c r="A111" s="100" t="str">
        <f>'OI(Value)'!A111</f>
        <v>JINDALSTEL</v>
      </c>
      <c r="B111" s="82">
        <f>VLOOKUP(A111,'Data shares'!$C$2:$CV$216,98,0)</f>
        <v>24306875</v>
      </c>
      <c r="C111" s="82">
        <f>VLOOKUP(A111,'Data shares'!$C$2:$CX$216,100,0)</f>
        <v>-1605625</v>
      </c>
      <c r="D111" s="141">
        <f>VLOOKUP(A111,'Data shares'!$C$2:$CY$539,101,0)</f>
        <v>-6.2E-2</v>
      </c>
      <c r="E111" s="86">
        <f>VLOOKUP($A111,'Data shares'!$C:$FA,74)</f>
        <v>14076875</v>
      </c>
      <c r="F111" s="86">
        <f>VLOOKUP($A111,'Data shares'!$C:$FA,76)</f>
        <v>-269375</v>
      </c>
      <c r="G111" s="87">
        <f>VLOOKUP(A111,'Data shares'!$C$2:$CA$216,77,0)</f>
        <v>-1.8800000000000001E-2</v>
      </c>
      <c r="H111" s="86">
        <f>VLOOKUP($A111,'Data shares'!$C:$FA,90)</f>
        <v>6412500</v>
      </c>
      <c r="I111" s="86">
        <f>VLOOKUP($A111,'Data shares'!$C:$FA,92)</f>
        <v>-1365625</v>
      </c>
      <c r="J111" s="87">
        <f>VLOOKUP($A111,'Data shares'!$C:$FA,93)</f>
        <v>-0.17560000000000001</v>
      </c>
      <c r="K111" s="86">
        <f>VLOOKUP($A111,'Data shares'!$C:$FA,94)</f>
        <v>3817500</v>
      </c>
      <c r="L111" s="86">
        <f>VLOOKUP($A111,'Data shares'!$C:$FA,96)</f>
        <v>29375</v>
      </c>
      <c r="M111" s="87">
        <f>VLOOKUP($A111,'Data shares'!$C:$FA,97)</f>
        <v>7.7999999999999996E-3</v>
      </c>
      <c r="N111" s="86">
        <f>VLOOKUP($A111,'Data shares'!$C:$FA,78)</f>
        <v>1987500</v>
      </c>
      <c r="O111" s="87">
        <f>VLOOKUP($A111,'Data shares'!$C:$FA,81)</f>
        <v>-0.63890000000000002</v>
      </c>
    </row>
    <row r="112" spans="1:15" x14ac:dyDescent="0.25">
      <c r="A112" s="100" t="str">
        <f>'OI(Value)'!A112</f>
        <v>JIOFIN</v>
      </c>
      <c r="B112" s="82">
        <f>VLOOKUP(A112,'Data shares'!$C$2:$CV$216,98,0)</f>
        <v>273995900</v>
      </c>
      <c r="C112" s="82">
        <f>VLOOKUP(A112,'Data shares'!$C$2:$CX$216,100,0)</f>
        <v>3611950</v>
      </c>
      <c r="D112" s="141">
        <f>VLOOKUP(A112,'Data shares'!$C$2:$CY$539,101,0)</f>
        <v>1.34E-2</v>
      </c>
      <c r="E112" s="86">
        <f>VLOOKUP($A112,'Data shares'!$C:$FA,74)</f>
        <v>153339850</v>
      </c>
      <c r="F112" s="86">
        <f>VLOOKUP($A112,'Data shares'!$C:$FA,76)</f>
        <v>3510900</v>
      </c>
      <c r="G112" s="87">
        <f>VLOOKUP(A112,'Data shares'!$C$2:$CA$216,77,0)</f>
        <v>2.3400000000000001E-2</v>
      </c>
      <c r="H112" s="86">
        <f>VLOOKUP($A112,'Data shares'!$C:$FA,90)</f>
        <v>77745050</v>
      </c>
      <c r="I112" s="86">
        <f>VLOOKUP($A112,'Data shares'!$C:$FA,92)</f>
        <v>-340750</v>
      </c>
      <c r="J112" s="87">
        <f>VLOOKUP($A112,'Data shares'!$C:$FA,93)</f>
        <v>-4.4000000000000003E-3</v>
      </c>
      <c r="K112" s="86">
        <f>VLOOKUP($A112,'Data shares'!$C:$FA,94)</f>
        <v>42911000</v>
      </c>
      <c r="L112" s="86">
        <f>VLOOKUP($A112,'Data shares'!$C:$FA,96)</f>
        <v>441800</v>
      </c>
      <c r="M112" s="87">
        <f>VLOOKUP($A112,'Data shares'!$C:$FA,97)</f>
        <v>1.04E-2</v>
      </c>
      <c r="N112" s="86">
        <f>VLOOKUP($A112,'Data shares'!$C:$FA,78)</f>
        <v>30895450</v>
      </c>
      <c r="O112" s="87">
        <f>VLOOKUP($A112,'Data shares'!$C:$FA,81)</f>
        <v>-0.505</v>
      </c>
    </row>
    <row r="113" spans="1:15" x14ac:dyDescent="0.25">
      <c r="A113" s="100" t="str">
        <f>'OI(Value)'!A113</f>
        <v>JSWENERGY</v>
      </c>
      <c r="B113" s="82">
        <f>VLOOKUP(A113,'Data shares'!$C$2:$CV$216,98,0)</f>
        <v>57795000</v>
      </c>
      <c r="C113" s="82">
        <f>VLOOKUP(A113,'Data shares'!$C$2:$CX$216,100,0)</f>
        <v>1718000</v>
      </c>
      <c r="D113" s="141">
        <f>VLOOKUP(A113,'Data shares'!$C$2:$CY$539,101,0)</f>
        <v>3.0599999999999999E-2</v>
      </c>
      <c r="E113" s="86">
        <f>VLOOKUP($A113,'Data shares'!$C:$FA,74)</f>
        <v>39765000</v>
      </c>
      <c r="F113" s="86">
        <f>VLOOKUP($A113,'Data shares'!$C:$FA,76)</f>
        <v>2936000</v>
      </c>
      <c r="G113" s="87">
        <f>VLOOKUP(A113,'Data shares'!$C$2:$CA$216,77,0)</f>
        <v>7.9699999999999993E-2</v>
      </c>
      <c r="H113" s="86">
        <f>VLOOKUP($A113,'Data shares'!$C:$FA,90)</f>
        <v>13123000</v>
      </c>
      <c r="I113" s="86">
        <f>VLOOKUP($A113,'Data shares'!$C:$FA,92)</f>
        <v>-1257000</v>
      </c>
      <c r="J113" s="87">
        <f>VLOOKUP($A113,'Data shares'!$C:$FA,93)</f>
        <v>-8.7400000000000005E-2</v>
      </c>
      <c r="K113" s="86">
        <f>VLOOKUP($A113,'Data shares'!$C:$FA,94)</f>
        <v>4907000</v>
      </c>
      <c r="L113" s="86">
        <f>VLOOKUP($A113,'Data shares'!$C:$FA,96)</f>
        <v>39000</v>
      </c>
      <c r="M113" s="87">
        <f>VLOOKUP($A113,'Data shares'!$C:$FA,97)</f>
        <v>8.0000000000000002E-3</v>
      </c>
      <c r="N113" s="86">
        <f>VLOOKUP($A113,'Data shares'!$C:$FA,78)</f>
        <v>6251000</v>
      </c>
      <c r="O113" s="87">
        <f>VLOOKUP($A113,'Data shares'!$C:$FA,81)</f>
        <v>-0.54679999999999995</v>
      </c>
    </row>
    <row r="114" spans="1:15" x14ac:dyDescent="0.25">
      <c r="A114" s="100" t="str">
        <f>'OI(Value)'!A114</f>
        <v>JSWSTEEL</v>
      </c>
      <c r="B114" s="82">
        <f>VLOOKUP(A114,'Data shares'!$C$2:$CV$216,98,0)</f>
        <v>62569125</v>
      </c>
      <c r="C114" s="82">
        <f>VLOOKUP(A114,'Data shares'!$C$2:$CX$216,100,0)</f>
        <v>224775</v>
      </c>
      <c r="D114" s="141">
        <f>VLOOKUP(A114,'Data shares'!$C$2:$CY$539,101,0)</f>
        <v>3.5999999999999999E-3</v>
      </c>
      <c r="E114" s="86">
        <f>VLOOKUP($A114,'Data shares'!$C:$FA,74)</f>
        <v>47708325</v>
      </c>
      <c r="F114" s="86">
        <f>VLOOKUP($A114,'Data shares'!$C:$FA,76)</f>
        <v>383400</v>
      </c>
      <c r="G114" s="87">
        <f>VLOOKUP(A114,'Data shares'!$C$2:$CA$216,77,0)</f>
        <v>8.0999999999999996E-3</v>
      </c>
      <c r="H114" s="86">
        <f>VLOOKUP($A114,'Data shares'!$C:$FA,90)</f>
        <v>9357525</v>
      </c>
      <c r="I114" s="86">
        <f>VLOOKUP($A114,'Data shares'!$C:$FA,92)</f>
        <v>-261900</v>
      </c>
      <c r="J114" s="87">
        <f>VLOOKUP($A114,'Data shares'!$C:$FA,93)</f>
        <v>-2.7199999999999998E-2</v>
      </c>
      <c r="K114" s="86">
        <f>VLOOKUP($A114,'Data shares'!$C:$FA,94)</f>
        <v>5503275</v>
      </c>
      <c r="L114" s="86">
        <f>VLOOKUP($A114,'Data shares'!$C:$FA,96)</f>
        <v>103275</v>
      </c>
      <c r="M114" s="87">
        <f>VLOOKUP($A114,'Data shares'!$C:$FA,97)</f>
        <v>1.9099999999999999E-2</v>
      </c>
      <c r="N114" s="86">
        <f>VLOOKUP($A114,'Data shares'!$C:$FA,78)</f>
        <v>6421275</v>
      </c>
      <c r="O114" s="87">
        <f>VLOOKUP($A114,'Data shares'!$C:$FA,81)</f>
        <v>-0.57950000000000002</v>
      </c>
    </row>
    <row r="115" spans="1:15" x14ac:dyDescent="0.25">
      <c r="A115" s="100" t="str">
        <f>'OI(Value)'!A115</f>
        <v>JUBLFOOD</v>
      </c>
      <c r="B115" s="82">
        <f>VLOOKUP(A115,'Data shares'!$C$2:$CV$216,98,0)</f>
        <v>35867500</v>
      </c>
      <c r="C115" s="82">
        <f>VLOOKUP(A115,'Data shares'!$C$2:$CX$216,100,0)</f>
        <v>-2592500</v>
      </c>
      <c r="D115" s="141">
        <f>VLOOKUP(A115,'Data shares'!$C$2:$CY$539,101,0)</f>
        <v>-6.7400000000000002E-2</v>
      </c>
      <c r="E115" s="86">
        <f>VLOOKUP($A115,'Data shares'!$C:$FA,74)</f>
        <v>22552500</v>
      </c>
      <c r="F115" s="86">
        <f>VLOOKUP($A115,'Data shares'!$C:$FA,76)</f>
        <v>-666250</v>
      </c>
      <c r="G115" s="87">
        <f>VLOOKUP(A115,'Data shares'!$C$2:$CA$216,77,0)</f>
        <v>-2.87E-2</v>
      </c>
      <c r="H115" s="86">
        <f>VLOOKUP($A115,'Data shares'!$C:$FA,90)</f>
        <v>8368750</v>
      </c>
      <c r="I115" s="86">
        <f>VLOOKUP($A115,'Data shares'!$C:$FA,92)</f>
        <v>-1567500</v>
      </c>
      <c r="J115" s="87">
        <f>VLOOKUP($A115,'Data shares'!$C:$FA,93)</f>
        <v>-0.1578</v>
      </c>
      <c r="K115" s="86">
        <f>VLOOKUP($A115,'Data shares'!$C:$FA,94)</f>
        <v>4946250</v>
      </c>
      <c r="L115" s="86">
        <f>VLOOKUP($A115,'Data shares'!$C:$FA,96)</f>
        <v>-358750</v>
      </c>
      <c r="M115" s="87">
        <f>VLOOKUP($A115,'Data shares'!$C:$FA,97)</f>
        <v>-6.7599999999999993E-2</v>
      </c>
      <c r="N115" s="86">
        <f>VLOOKUP($A115,'Data shares'!$C:$FA,78)</f>
        <v>3621250</v>
      </c>
      <c r="O115" s="87">
        <f>VLOOKUP($A115,'Data shares'!$C:$FA,81)</f>
        <v>-0.64259999999999995</v>
      </c>
    </row>
    <row r="116" spans="1:15" x14ac:dyDescent="0.25">
      <c r="A116" s="100" t="str">
        <f>'OI(Value)'!A116</f>
        <v>KALYANKJIL</v>
      </c>
      <c r="B116" s="82">
        <f>VLOOKUP(A116,'Data shares'!$C$2:$CV$216,98,0)</f>
        <v>47905925</v>
      </c>
      <c r="C116" s="82">
        <f>VLOOKUP(A116,'Data shares'!$C$2:$CX$216,100,0)</f>
        <v>-2885800</v>
      </c>
      <c r="D116" s="141">
        <f>VLOOKUP(A116,'Data shares'!$C$2:$CY$539,101,0)</f>
        <v>-5.6800000000000003E-2</v>
      </c>
      <c r="E116" s="86">
        <f>VLOOKUP($A116,'Data shares'!$C:$FA,74)</f>
        <v>30605225</v>
      </c>
      <c r="F116" s="86">
        <f>VLOOKUP($A116,'Data shares'!$C:$FA,76)</f>
        <v>477050</v>
      </c>
      <c r="G116" s="87">
        <f>VLOOKUP(A116,'Data shares'!$C$2:$CA$216,77,0)</f>
        <v>1.5800000000000002E-2</v>
      </c>
      <c r="H116" s="86">
        <f>VLOOKUP($A116,'Data shares'!$C:$FA,90)</f>
        <v>9865300</v>
      </c>
      <c r="I116" s="86">
        <f>VLOOKUP($A116,'Data shares'!$C:$FA,92)</f>
        <v>-2949250</v>
      </c>
      <c r="J116" s="87">
        <f>VLOOKUP($A116,'Data shares'!$C:$FA,93)</f>
        <v>-0.2301</v>
      </c>
      <c r="K116" s="86">
        <f>VLOOKUP($A116,'Data shares'!$C:$FA,94)</f>
        <v>7435400</v>
      </c>
      <c r="L116" s="86">
        <f>VLOOKUP($A116,'Data shares'!$C:$FA,96)</f>
        <v>-413600</v>
      </c>
      <c r="M116" s="87">
        <f>VLOOKUP($A116,'Data shares'!$C:$FA,97)</f>
        <v>-5.2699999999999997E-2</v>
      </c>
      <c r="N116" s="86">
        <f>VLOOKUP($A116,'Data shares'!$C:$FA,78)</f>
        <v>4496725</v>
      </c>
      <c r="O116" s="87">
        <f>VLOOKUP($A116,'Data shares'!$C:$FA,81)</f>
        <v>-0.67549999999999999</v>
      </c>
    </row>
    <row r="117" spans="1:15" x14ac:dyDescent="0.25">
      <c r="A117" s="100" t="str">
        <f>'OI(Value)'!A117</f>
        <v>KAYNES</v>
      </c>
      <c r="B117" s="82">
        <f>VLOOKUP(A117,'Data shares'!$C$2:$CV$216,98,0)</f>
        <v>3647900</v>
      </c>
      <c r="C117" s="82">
        <f>VLOOKUP(A117,'Data shares'!$C$2:$CX$216,100,0)</f>
        <v>-451500</v>
      </c>
      <c r="D117" s="141">
        <f>VLOOKUP(A117,'Data shares'!$C$2:$CY$539,101,0)</f>
        <v>-0.1101</v>
      </c>
      <c r="E117" s="86">
        <f>VLOOKUP($A117,'Data shares'!$C:$FA,74)</f>
        <v>1239500</v>
      </c>
      <c r="F117" s="86">
        <f>VLOOKUP($A117,'Data shares'!$C:$FA,76)</f>
        <v>-81400</v>
      </c>
      <c r="G117" s="87">
        <f>VLOOKUP(A117,'Data shares'!$C$2:$CA$216,77,0)</f>
        <v>-6.1600000000000002E-2</v>
      </c>
      <c r="H117" s="86">
        <f>VLOOKUP($A117,'Data shares'!$C:$FA,90)</f>
        <v>1707600</v>
      </c>
      <c r="I117" s="86">
        <f>VLOOKUP($A117,'Data shares'!$C:$FA,92)</f>
        <v>-266000</v>
      </c>
      <c r="J117" s="87">
        <f>VLOOKUP($A117,'Data shares'!$C:$FA,93)</f>
        <v>-0.1348</v>
      </c>
      <c r="K117" s="86">
        <f>VLOOKUP($A117,'Data shares'!$C:$FA,94)</f>
        <v>700800</v>
      </c>
      <c r="L117" s="86">
        <f>VLOOKUP($A117,'Data shares'!$C:$FA,96)</f>
        <v>-104100</v>
      </c>
      <c r="M117" s="87">
        <f>VLOOKUP($A117,'Data shares'!$C:$FA,97)</f>
        <v>-0.1293</v>
      </c>
      <c r="N117" s="86">
        <f>VLOOKUP($A117,'Data shares'!$C:$FA,78)</f>
        <v>366900</v>
      </c>
      <c r="O117" s="87">
        <f>VLOOKUP($A117,'Data shares'!$C:$FA,81)</f>
        <v>-0.4395</v>
      </c>
    </row>
    <row r="118" spans="1:15" x14ac:dyDescent="0.25">
      <c r="A118" s="100" t="str">
        <f>'OI(Value)'!A118</f>
        <v>KEI</v>
      </c>
      <c r="B118" s="82">
        <f>VLOOKUP(A118,'Data shares'!$C$2:$CV$216,98,0)</f>
        <v>3070550</v>
      </c>
      <c r="C118" s="82">
        <f>VLOOKUP(A118,'Data shares'!$C$2:$CX$216,100,0)</f>
        <v>-486325</v>
      </c>
      <c r="D118" s="141">
        <f>VLOOKUP(A118,'Data shares'!$C$2:$CY$539,101,0)</f>
        <v>-0.13669999999999999</v>
      </c>
      <c r="E118" s="86">
        <f>VLOOKUP($A118,'Data shares'!$C:$FA,74)</f>
        <v>1336825</v>
      </c>
      <c r="F118" s="86">
        <f>VLOOKUP($A118,'Data shares'!$C:$FA,76)</f>
        <v>-127400</v>
      </c>
      <c r="G118" s="87">
        <f>VLOOKUP(A118,'Data shares'!$C$2:$CA$216,77,0)</f>
        <v>-8.6999999999999994E-2</v>
      </c>
      <c r="H118" s="86">
        <f>VLOOKUP($A118,'Data shares'!$C:$FA,90)</f>
        <v>1269800</v>
      </c>
      <c r="I118" s="86">
        <f>VLOOKUP($A118,'Data shares'!$C:$FA,92)</f>
        <v>-233625</v>
      </c>
      <c r="J118" s="87">
        <f>VLOOKUP($A118,'Data shares'!$C:$FA,93)</f>
        <v>-0.15540000000000001</v>
      </c>
      <c r="K118" s="86">
        <f>VLOOKUP($A118,'Data shares'!$C:$FA,94)</f>
        <v>463925</v>
      </c>
      <c r="L118" s="86">
        <f>VLOOKUP($A118,'Data shares'!$C:$FA,96)</f>
        <v>-125300</v>
      </c>
      <c r="M118" s="87">
        <f>VLOOKUP($A118,'Data shares'!$C:$FA,97)</f>
        <v>-0.2127</v>
      </c>
      <c r="N118" s="86">
        <f>VLOOKUP($A118,'Data shares'!$C:$FA,78)</f>
        <v>303100</v>
      </c>
      <c r="O118" s="87">
        <f>VLOOKUP($A118,'Data shares'!$C:$FA,81)</f>
        <v>-0.46429999999999999</v>
      </c>
    </row>
    <row r="119" spans="1:15" x14ac:dyDescent="0.25">
      <c r="A119" s="100" t="str">
        <f>'OI(Value)'!A119</f>
        <v>KFINTECH</v>
      </c>
      <c r="B119" s="82">
        <f>VLOOKUP(A119,'Data shares'!$C$2:$CV$216,98,0)</f>
        <v>7952400</v>
      </c>
      <c r="C119" s="82">
        <f>VLOOKUP(A119,'Data shares'!$C$2:$CX$216,100,0)</f>
        <v>802800</v>
      </c>
      <c r="D119" s="141">
        <f>VLOOKUP(A119,'Data shares'!$C$2:$CY$539,101,0)</f>
        <v>0.1123</v>
      </c>
      <c r="E119" s="86">
        <f>VLOOKUP($A119,'Data shares'!$C:$FA,74)</f>
        <v>2804850</v>
      </c>
      <c r="F119" s="86">
        <f>VLOOKUP($A119,'Data shares'!$C:$FA,76)</f>
        <v>-218700</v>
      </c>
      <c r="G119" s="87">
        <f>VLOOKUP(A119,'Data shares'!$C$2:$CA$216,77,0)</f>
        <v>-7.2300000000000003E-2</v>
      </c>
      <c r="H119" s="86">
        <f>VLOOKUP($A119,'Data shares'!$C:$FA,90)</f>
        <v>3150900</v>
      </c>
      <c r="I119" s="86">
        <f>VLOOKUP($A119,'Data shares'!$C:$FA,92)</f>
        <v>752850</v>
      </c>
      <c r="J119" s="87">
        <f>VLOOKUP($A119,'Data shares'!$C:$FA,93)</f>
        <v>0.31390000000000001</v>
      </c>
      <c r="K119" s="86">
        <f>VLOOKUP($A119,'Data shares'!$C:$FA,94)</f>
        <v>1996650</v>
      </c>
      <c r="L119" s="86">
        <f>VLOOKUP($A119,'Data shares'!$C:$FA,96)</f>
        <v>268650</v>
      </c>
      <c r="M119" s="87">
        <f>VLOOKUP($A119,'Data shares'!$C:$FA,97)</f>
        <v>0.1555</v>
      </c>
      <c r="N119" s="86">
        <f>VLOOKUP($A119,'Data shares'!$C:$FA,78)</f>
        <v>495450</v>
      </c>
      <c r="O119" s="87">
        <f>VLOOKUP($A119,'Data shares'!$C:$FA,81)</f>
        <v>-0.60070000000000001</v>
      </c>
    </row>
    <row r="120" spans="1:15" x14ac:dyDescent="0.25">
      <c r="A120" s="100" t="str">
        <f>'OI(Value)'!A120</f>
        <v>KOTAKBANK</v>
      </c>
      <c r="B120" s="82">
        <f>VLOOKUP(A120,'Data shares'!$C$2:$CV$216,98,0)</f>
        <v>52754800</v>
      </c>
      <c r="C120" s="82">
        <f>VLOOKUP(A120,'Data shares'!$C$2:$CX$216,100,0)</f>
        <v>-439200</v>
      </c>
      <c r="D120" s="141">
        <f>VLOOKUP(A120,'Data shares'!$C$2:$CY$539,101,0)</f>
        <v>-8.3000000000000001E-3</v>
      </c>
      <c r="E120" s="86">
        <f>VLOOKUP($A120,'Data shares'!$C:$FA,74)</f>
        <v>31713200</v>
      </c>
      <c r="F120" s="86">
        <f>VLOOKUP($A120,'Data shares'!$C:$FA,76)</f>
        <v>284000</v>
      </c>
      <c r="G120" s="87">
        <f>VLOOKUP(A120,'Data shares'!$C$2:$CA$216,77,0)</f>
        <v>8.9999999999999993E-3</v>
      </c>
      <c r="H120" s="86">
        <f>VLOOKUP($A120,'Data shares'!$C:$FA,90)</f>
        <v>11509200</v>
      </c>
      <c r="I120" s="86">
        <f>VLOOKUP($A120,'Data shares'!$C:$FA,92)</f>
        <v>862000</v>
      </c>
      <c r="J120" s="87">
        <f>VLOOKUP($A120,'Data shares'!$C:$FA,93)</f>
        <v>8.1000000000000003E-2</v>
      </c>
      <c r="K120" s="86">
        <f>VLOOKUP($A120,'Data shares'!$C:$FA,94)</f>
        <v>9532400</v>
      </c>
      <c r="L120" s="86">
        <f>VLOOKUP($A120,'Data shares'!$C:$FA,96)</f>
        <v>-1585200</v>
      </c>
      <c r="M120" s="87">
        <f>VLOOKUP($A120,'Data shares'!$C:$FA,97)</f>
        <v>-0.1426</v>
      </c>
      <c r="N120" s="86">
        <f>VLOOKUP($A120,'Data shares'!$C:$FA,78)</f>
        <v>5876800</v>
      </c>
      <c r="O120" s="87">
        <f>VLOOKUP($A120,'Data shares'!$C:$FA,81)</f>
        <v>-0.58240000000000003</v>
      </c>
    </row>
    <row r="121" spans="1:15" x14ac:dyDescent="0.25">
      <c r="A121" s="100" t="str">
        <f>'OI(Value)'!A121</f>
        <v>KPITTECH</v>
      </c>
      <c r="B121" s="82">
        <f>VLOOKUP(A121,'Data shares'!$C$2:$CV$216,98,0)</f>
        <v>7615200</v>
      </c>
      <c r="C121" s="82">
        <f>VLOOKUP(A121,'Data shares'!$C$2:$CX$216,100,0)</f>
        <v>-898000</v>
      </c>
      <c r="D121" s="141">
        <f>VLOOKUP(A121,'Data shares'!$C$2:$CY$539,101,0)</f>
        <v>-0.1055</v>
      </c>
      <c r="E121" s="86">
        <f>VLOOKUP($A121,'Data shares'!$C:$FA,74)</f>
        <v>4265200</v>
      </c>
      <c r="F121" s="86">
        <f>VLOOKUP($A121,'Data shares'!$C:$FA,76)</f>
        <v>-71200</v>
      </c>
      <c r="G121" s="87">
        <f>VLOOKUP(A121,'Data shares'!$C$2:$CA$216,77,0)</f>
        <v>-1.6400000000000001E-2</v>
      </c>
      <c r="H121" s="86">
        <f>VLOOKUP($A121,'Data shares'!$C:$FA,90)</f>
        <v>1878400</v>
      </c>
      <c r="I121" s="86">
        <f>VLOOKUP($A121,'Data shares'!$C:$FA,92)</f>
        <v>-852400</v>
      </c>
      <c r="J121" s="87">
        <f>VLOOKUP($A121,'Data shares'!$C:$FA,93)</f>
        <v>-0.31209999999999999</v>
      </c>
      <c r="K121" s="86">
        <f>VLOOKUP($A121,'Data shares'!$C:$FA,94)</f>
        <v>1471600</v>
      </c>
      <c r="L121" s="86">
        <f>VLOOKUP($A121,'Data shares'!$C:$FA,96)</f>
        <v>25600</v>
      </c>
      <c r="M121" s="87">
        <f>VLOOKUP($A121,'Data shares'!$C:$FA,97)</f>
        <v>1.77E-2</v>
      </c>
      <c r="N121" s="86">
        <f>VLOOKUP($A121,'Data shares'!$C:$FA,78)</f>
        <v>578000</v>
      </c>
      <c r="O121" s="87">
        <f>VLOOKUP($A121,'Data shares'!$C:$FA,81)</f>
        <v>-0.62539999999999996</v>
      </c>
    </row>
    <row r="122" spans="1:15" x14ac:dyDescent="0.25">
      <c r="A122" s="100" t="str">
        <f>'OI(Value)'!A122</f>
        <v>LAURUSLABS</v>
      </c>
      <c r="B122" s="82">
        <f>VLOOKUP(A122,'Data shares'!$C$2:$CV$216,98,0)</f>
        <v>55833100</v>
      </c>
      <c r="C122" s="82">
        <f>VLOOKUP(A122,'Data shares'!$C$2:$CX$216,100,0)</f>
        <v>-5616800</v>
      </c>
      <c r="D122" s="141">
        <f>VLOOKUP(A122,'Data shares'!$C$2:$CY$539,101,0)</f>
        <v>-9.1399999999999995E-2</v>
      </c>
      <c r="E122" s="86">
        <f>VLOOKUP($A122,'Data shares'!$C:$FA,74)</f>
        <v>23798300</v>
      </c>
      <c r="F122" s="86">
        <f>VLOOKUP($A122,'Data shares'!$C:$FA,76)</f>
        <v>-863600</v>
      </c>
      <c r="G122" s="87">
        <f>VLOOKUP(A122,'Data shares'!$C$2:$CA$216,77,0)</f>
        <v>-3.5000000000000003E-2</v>
      </c>
      <c r="H122" s="86">
        <f>VLOOKUP($A122,'Data shares'!$C:$FA,90)</f>
        <v>18778200</v>
      </c>
      <c r="I122" s="86">
        <f>VLOOKUP($A122,'Data shares'!$C:$FA,92)</f>
        <v>-3918500</v>
      </c>
      <c r="J122" s="87">
        <f>VLOOKUP($A122,'Data shares'!$C:$FA,93)</f>
        <v>-0.1726</v>
      </c>
      <c r="K122" s="86">
        <f>VLOOKUP($A122,'Data shares'!$C:$FA,94)</f>
        <v>13256600</v>
      </c>
      <c r="L122" s="86">
        <f>VLOOKUP($A122,'Data shares'!$C:$FA,96)</f>
        <v>-834700</v>
      </c>
      <c r="M122" s="87">
        <f>VLOOKUP($A122,'Data shares'!$C:$FA,97)</f>
        <v>-5.9200000000000003E-2</v>
      </c>
      <c r="N122" s="86">
        <f>VLOOKUP($A122,'Data shares'!$C:$FA,78)</f>
        <v>6308700</v>
      </c>
      <c r="O122" s="87">
        <f>VLOOKUP($A122,'Data shares'!$C:$FA,81)</f>
        <v>-0.44350000000000001</v>
      </c>
    </row>
    <row r="123" spans="1:15" x14ac:dyDescent="0.25">
      <c r="A123" s="100" t="str">
        <f>'OI(Value)'!A123</f>
        <v>LICHSGFIN</v>
      </c>
      <c r="B123" s="82">
        <f>VLOOKUP(A123,'Data shares'!$C$2:$CV$216,98,0)</f>
        <v>47886000</v>
      </c>
      <c r="C123" s="82">
        <f>VLOOKUP(A123,'Data shares'!$C$2:$CX$216,100,0)</f>
        <v>108000</v>
      </c>
      <c r="D123" s="141">
        <f>VLOOKUP(A123,'Data shares'!$C$2:$CY$539,101,0)</f>
        <v>2.3E-3</v>
      </c>
      <c r="E123" s="86">
        <f>VLOOKUP($A123,'Data shares'!$C:$FA,74)</f>
        <v>31707000</v>
      </c>
      <c r="F123" s="86">
        <f>VLOOKUP($A123,'Data shares'!$C:$FA,76)</f>
        <v>-4000</v>
      </c>
      <c r="G123" s="87">
        <f>VLOOKUP(A123,'Data shares'!$C$2:$CA$216,77,0)</f>
        <v>-1E-4</v>
      </c>
      <c r="H123" s="86">
        <f>VLOOKUP($A123,'Data shares'!$C:$FA,90)</f>
        <v>8998000</v>
      </c>
      <c r="I123" s="86">
        <f>VLOOKUP($A123,'Data shares'!$C:$FA,92)</f>
        <v>-420000</v>
      </c>
      <c r="J123" s="87">
        <f>VLOOKUP($A123,'Data shares'!$C:$FA,93)</f>
        <v>-4.4600000000000001E-2</v>
      </c>
      <c r="K123" s="86">
        <f>VLOOKUP($A123,'Data shares'!$C:$FA,94)</f>
        <v>7181000</v>
      </c>
      <c r="L123" s="86">
        <f>VLOOKUP($A123,'Data shares'!$C:$FA,96)</f>
        <v>532000</v>
      </c>
      <c r="M123" s="87">
        <f>VLOOKUP($A123,'Data shares'!$C:$FA,97)</f>
        <v>0.08</v>
      </c>
      <c r="N123" s="86">
        <f>VLOOKUP($A123,'Data shares'!$C:$FA,78)</f>
        <v>5202000</v>
      </c>
      <c r="O123" s="87">
        <f>VLOOKUP($A123,'Data shares'!$C:$FA,81)</f>
        <v>-0.69269999999999998</v>
      </c>
    </row>
    <row r="124" spans="1:15" x14ac:dyDescent="0.25">
      <c r="A124" s="100" t="str">
        <f>'OI(Value)'!A124</f>
        <v>LICI</v>
      </c>
      <c r="B124" s="82">
        <f>VLOOKUP(A124,'Data shares'!$C$2:$CV$216,98,0)</f>
        <v>14509600</v>
      </c>
      <c r="C124" s="82">
        <f>VLOOKUP(A124,'Data shares'!$C$2:$CX$216,100,0)</f>
        <v>-903000</v>
      </c>
      <c r="D124" s="141">
        <f>VLOOKUP(A124,'Data shares'!$C$2:$CY$539,101,0)</f>
        <v>-5.8599999999999999E-2</v>
      </c>
      <c r="E124" s="86">
        <f>VLOOKUP($A124,'Data shares'!$C:$FA,74)</f>
        <v>8228500</v>
      </c>
      <c r="F124" s="86">
        <f>VLOOKUP($A124,'Data shares'!$C:$FA,76)</f>
        <v>-596400</v>
      </c>
      <c r="G124" s="87">
        <f>VLOOKUP(A124,'Data shares'!$C$2:$CA$216,77,0)</f>
        <v>-6.7599999999999993E-2</v>
      </c>
      <c r="H124" s="86">
        <f>VLOOKUP($A124,'Data shares'!$C:$FA,90)</f>
        <v>4073300</v>
      </c>
      <c r="I124" s="86">
        <f>VLOOKUP($A124,'Data shares'!$C:$FA,92)</f>
        <v>-321300</v>
      </c>
      <c r="J124" s="87">
        <f>VLOOKUP($A124,'Data shares'!$C:$FA,93)</f>
        <v>-7.3099999999999998E-2</v>
      </c>
      <c r="K124" s="86">
        <f>VLOOKUP($A124,'Data shares'!$C:$FA,94)</f>
        <v>2207800</v>
      </c>
      <c r="L124" s="86">
        <f>VLOOKUP($A124,'Data shares'!$C:$FA,96)</f>
        <v>14700</v>
      </c>
      <c r="M124" s="87">
        <f>VLOOKUP($A124,'Data shares'!$C:$FA,97)</f>
        <v>6.7000000000000002E-3</v>
      </c>
      <c r="N124" s="86">
        <f>VLOOKUP($A124,'Data shares'!$C:$FA,78)</f>
        <v>1790600</v>
      </c>
      <c r="O124" s="87">
        <f>VLOOKUP($A124,'Data shares'!$C:$FA,81)</f>
        <v>-0.5383</v>
      </c>
    </row>
    <row r="125" spans="1:15" x14ac:dyDescent="0.25">
      <c r="A125" s="100" t="str">
        <f>'OI(Value)'!A125</f>
        <v>LODHA</v>
      </c>
      <c r="B125" s="82">
        <f>VLOOKUP(A125,'Data shares'!$C$2:$CV$216,98,0)</f>
        <v>16667550</v>
      </c>
      <c r="C125" s="82">
        <f>VLOOKUP(A125,'Data shares'!$C$2:$CX$216,100,0)</f>
        <v>-32400</v>
      </c>
      <c r="D125" s="141">
        <f>VLOOKUP(A125,'Data shares'!$C$2:$CY$539,101,0)</f>
        <v>-1.9E-3</v>
      </c>
      <c r="E125" s="86">
        <f>VLOOKUP($A125,'Data shares'!$C:$FA,74)</f>
        <v>11538900</v>
      </c>
      <c r="F125" s="86">
        <f>VLOOKUP($A125,'Data shares'!$C:$FA,76)</f>
        <v>-39150</v>
      </c>
      <c r="G125" s="87">
        <f>VLOOKUP(A125,'Data shares'!$C$2:$CA$216,77,0)</f>
        <v>-3.3999999999999998E-3</v>
      </c>
      <c r="H125" s="86">
        <f>VLOOKUP($A125,'Data shares'!$C:$FA,90)</f>
        <v>3246300</v>
      </c>
      <c r="I125" s="86">
        <f>VLOOKUP($A125,'Data shares'!$C:$FA,92)</f>
        <v>-47700</v>
      </c>
      <c r="J125" s="87">
        <f>VLOOKUP($A125,'Data shares'!$C:$FA,93)</f>
        <v>-1.4500000000000001E-2</v>
      </c>
      <c r="K125" s="86">
        <f>VLOOKUP($A125,'Data shares'!$C:$FA,94)</f>
        <v>1882350</v>
      </c>
      <c r="L125" s="86">
        <f>VLOOKUP($A125,'Data shares'!$C:$FA,96)</f>
        <v>54450</v>
      </c>
      <c r="M125" s="87">
        <f>VLOOKUP($A125,'Data shares'!$C:$FA,97)</f>
        <v>2.98E-2</v>
      </c>
      <c r="N125" s="86">
        <f>VLOOKUP($A125,'Data shares'!$C:$FA,78)</f>
        <v>2256750</v>
      </c>
      <c r="O125" s="87">
        <f>VLOOKUP($A125,'Data shares'!$C:$FA,81)</f>
        <v>-0.59330000000000005</v>
      </c>
    </row>
    <row r="126" spans="1:15" x14ac:dyDescent="0.25">
      <c r="A126" s="100" t="str">
        <f>'OI(Value)'!A126</f>
        <v>LT</v>
      </c>
      <c r="B126" s="82">
        <f>VLOOKUP(A126,'Data shares'!$C$2:$CV$216,98,0)</f>
        <v>31638775</v>
      </c>
      <c r="C126" s="82">
        <f>VLOOKUP(A126,'Data shares'!$C$2:$CX$216,100,0)</f>
        <v>325325</v>
      </c>
      <c r="D126" s="141">
        <f>VLOOKUP(A126,'Data shares'!$C$2:$CY$539,101,0)</f>
        <v>1.04E-2</v>
      </c>
      <c r="E126" s="86">
        <f>VLOOKUP($A126,'Data shares'!$C:$FA,74)</f>
        <v>17687950</v>
      </c>
      <c r="F126" s="86">
        <f>VLOOKUP($A126,'Data shares'!$C:$FA,76)</f>
        <v>640325</v>
      </c>
      <c r="G126" s="87">
        <f>VLOOKUP(A126,'Data shares'!$C$2:$CA$216,77,0)</f>
        <v>3.7600000000000001E-2</v>
      </c>
      <c r="H126" s="86">
        <f>VLOOKUP($A126,'Data shares'!$C:$FA,90)</f>
        <v>8454950</v>
      </c>
      <c r="I126" s="86">
        <f>VLOOKUP($A126,'Data shares'!$C:$FA,92)</f>
        <v>-211925</v>
      </c>
      <c r="J126" s="87">
        <f>VLOOKUP($A126,'Data shares'!$C:$FA,93)</f>
        <v>-2.4500000000000001E-2</v>
      </c>
      <c r="K126" s="86">
        <f>VLOOKUP($A126,'Data shares'!$C:$FA,94)</f>
        <v>5495875</v>
      </c>
      <c r="L126" s="86">
        <f>VLOOKUP($A126,'Data shares'!$C:$FA,96)</f>
        <v>-103075</v>
      </c>
      <c r="M126" s="87">
        <f>VLOOKUP($A126,'Data shares'!$C:$FA,97)</f>
        <v>-1.84E-2</v>
      </c>
      <c r="N126" s="86">
        <f>VLOOKUP($A126,'Data shares'!$C:$FA,78)</f>
        <v>5274675</v>
      </c>
      <c r="O126" s="87">
        <f>VLOOKUP($A126,'Data shares'!$C:$FA,81)</f>
        <v>-0.38329999999999997</v>
      </c>
    </row>
    <row r="127" spans="1:15" x14ac:dyDescent="0.25">
      <c r="A127" s="100" t="str">
        <f>'OI(Value)'!A127</f>
        <v>LTF</v>
      </c>
      <c r="B127" s="82">
        <f>VLOOKUP(A127,'Data shares'!$C$2:$CV$216,98,0)</f>
        <v>104883772</v>
      </c>
      <c r="C127" s="82">
        <f>VLOOKUP(A127,'Data shares'!$C$2:$CX$216,100,0)</f>
        <v>-3043084</v>
      </c>
      <c r="D127" s="141">
        <f>VLOOKUP(A127,'Data shares'!$C$2:$CY$539,101,0)</f>
        <v>-2.8199999999999999E-2</v>
      </c>
      <c r="E127" s="86">
        <f>VLOOKUP($A127,'Data shares'!$C:$FA,74)</f>
        <v>48194062</v>
      </c>
      <c r="F127" s="86">
        <f>VLOOKUP($A127,'Data shares'!$C:$FA,76)</f>
        <v>-1106576</v>
      </c>
      <c r="G127" s="87">
        <f>VLOOKUP(A127,'Data shares'!$C$2:$CA$216,77,0)</f>
        <v>-2.24E-2</v>
      </c>
      <c r="H127" s="86">
        <f>VLOOKUP($A127,'Data shares'!$C:$FA,90)</f>
        <v>29337650</v>
      </c>
      <c r="I127" s="86">
        <f>VLOOKUP($A127,'Data shares'!$C:$FA,92)</f>
        <v>-1334138</v>
      </c>
      <c r="J127" s="87">
        <f>VLOOKUP($A127,'Data shares'!$C:$FA,93)</f>
        <v>-4.3499999999999997E-2</v>
      </c>
      <c r="K127" s="86">
        <f>VLOOKUP($A127,'Data shares'!$C:$FA,94)</f>
        <v>27352060</v>
      </c>
      <c r="L127" s="86">
        <f>VLOOKUP($A127,'Data shares'!$C:$FA,96)</f>
        <v>-602370</v>
      </c>
      <c r="M127" s="87">
        <f>VLOOKUP($A127,'Data shares'!$C:$FA,97)</f>
        <v>-2.1499999999999998E-2</v>
      </c>
      <c r="N127" s="86">
        <f>VLOOKUP($A127,'Data shares'!$C:$FA,78)</f>
        <v>6304806</v>
      </c>
      <c r="O127" s="87">
        <f>VLOOKUP($A127,'Data shares'!$C:$FA,81)</f>
        <v>-0.59930000000000005</v>
      </c>
    </row>
    <row r="128" spans="1:15" x14ac:dyDescent="0.25">
      <c r="A128" s="100" t="str">
        <f>'OI(Value)'!A128</f>
        <v>LTIM</v>
      </c>
      <c r="B128" s="82">
        <f>VLOOKUP(A128,'Data shares'!$C$2:$CV$216,98,0)</f>
        <v>5024550</v>
      </c>
      <c r="C128" s="82">
        <f>VLOOKUP(A128,'Data shares'!$C$2:$CX$216,100,0)</f>
        <v>-646350</v>
      </c>
      <c r="D128" s="141">
        <f>VLOOKUP(A128,'Data shares'!$C$2:$CY$539,101,0)</f>
        <v>-0.114</v>
      </c>
      <c r="E128" s="86">
        <f>VLOOKUP($A128,'Data shares'!$C:$FA,74)</f>
        <v>2605800</v>
      </c>
      <c r="F128" s="86">
        <f>VLOOKUP($A128,'Data shares'!$C:$FA,76)</f>
        <v>-313500</v>
      </c>
      <c r="G128" s="87">
        <f>VLOOKUP(A128,'Data shares'!$C$2:$CA$216,77,0)</f>
        <v>-0.1074</v>
      </c>
      <c r="H128" s="86">
        <f>VLOOKUP($A128,'Data shares'!$C:$FA,90)</f>
        <v>1411050</v>
      </c>
      <c r="I128" s="86">
        <f>VLOOKUP($A128,'Data shares'!$C:$FA,92)</f>
        <v>-322050</v>
      </c>
      <c r="J128" s="87">
        <f>VLOOKUP($A128,'Data shares'!$C:$FA,93)</f>
        <v>-0.18579999999999999</v>
      </c>
      <c r="K128" s="86">
        <f>VLOOKUP($A128,'Data shares'!$C:$FA,94)</f>
        <v>1007700</v>
      </c>
      <c r="L128" s="86">
        <f>VLOOKUP($A128,'Data shares'!$C:$FA,96)</f>
        <v>-10800</v>
      </c>
      <c r="M128" s="87">
        <f>VLOOKUP($A128,'Data shares'!$C:$FA,97)</f>
        <v>-1.06E-2</v>
      </c>
      <c r="N128" s="86">
        <f>VLOOKUP($A128,'Data shares'!$C:$FA,78)</f>
        <v>620400</v>
      </c>
      <c r="O128" s="87">
        <f>VLOOKUP($A128,'Data shares'!$C:$FA,81)</f>
        <v>-0.46250000000000002</v>
      </c>
    </row>
    <row r="129" spans="1:15" x14ac:dyDescent="0.25">
      <c r="A129" s="100" t="str">
        <f>'OI(Value)'!A129</f>
        <v>LUPIN</v>
      </c>
      <c r="B129" s="82">
        <f>VLOOKUP(A129,'Data shares'!$C$2:$CV$216,98,0)</f>
        <v>17421175</v>
      </c>
      <c r="C129" s="82">
        <f>VLOOKUP(A129,'Data shares'!$C$2:$CX$216,100,0)</f>
        <v>-176800</v>
      </c>
      <c r="D129" s="141">
        <f>VLOOKUP(A129,'Data shares'!$C$2:$CY$539,101,0)</f>
        <v>-0.01</v>
      </c>
      <c r="E129" s="86">
        <f>VLOOKUP($A129,'Data shares'!$C:$FA,74)</f>
        <v>11883000</v>
      </c>
      <c r="F129" s="86">
        <f>VLOOKUP($A129,'Data shares'!$C:$FA,76)</f>
        <v>245650</v>
      </c>
      <c r="G129" s="87">
        <f>VLOOKUP(A129,'Data shares'!$C$2:$CA$216,77,0)</f>
        <v>2.1100000000000001E-2</v>
      </c>
      <c r="H129" s="86">
        <f>VLOOKUP($A129,'Data shares'!$C:$FA,90)</f>
        <v>3410625</v>
      </c>
      <c r="I129" s="86">
        <f>VLOOKUP($A129,'Data shares'!$C:$FA,92)</f>
        <v>-300475</v>
      </c>
      <c r="J129" s="87">
        <f>VLOOKUP($A129,'Data shares'!$C:$FA,93)</f>
        <v>-8.1000000000000003E-2</v>
      </c>
      <c r="K129" s="86">
        <f>VLOOKUP($A129,'Data shares'!$C:$FA,94)</f>
        <v>2127550</v>
      </c>
      <c r="L129" s="86">
        <f>VLOOKUP($A129,'Data shares'!$C:$FA,96)</f>
        <v>-121975</v>
      </c>
      <c r="M129" s="87">
        <f>VLOOKUP($A129,'Data shares'!$C:$FA,97)</f>
        <v>-5.4199999999999998E-2</v>
      </c>
      <c r="N129" s="86">
        <f>VLOOKUP($A129,'Data shares'!$C:$FA,78)</f>
        <v>2819025</v>
      </c>
      <c r="O129" s="87">
        <f>VLOOKUP($A129,'Data shares'!$C:$FA,81)</f>
        <v>-0.4093</v>
      </c>
    </row>
    <row r="130" spans="1:15" x14ac:dyDescent="0.25">
      <c r="A130" s="100" t="str">
        <f>'OI(Value)'!A130</f>
        <v>M&amp;M</v>
      </c>
      <c r="B130" s="82">
        <f>VLOOKUP(A130,'Data shares'!$C$2:$CV$216,98,0)</f>
        <v>27237800</v>
      </c>
      <c r="C130" s="82">
        <f>VLOOKUP(A130,'Data shares'!$C$2:$CX$216,100,0)</f>
        <v>-413000</v>
      </c>
      <c r="D130" s="141">
        <f>VLOOKUP(A130,'Data shares'!$C$2:$CY$539,101,0)</f>
        <v>-1.49E-2</v>
      </c>
      <c r="E130" s="86">
        <f>VLOOKUP($A130,'Data shares'!$C:$FA,74)</f>
        <v>19555800</v>
      </c>
      <c r="F130" s="86">
        <f>VLOOKUP($A130,'Data shares'!$C:$FA,76)</f>
        <v>107400</v>
      </c>
      <c r="G130" s="87">
        <f>VLOOKUP(A130,'Data shares'!$C$2:$CA$216,77,0)</f>
        <v>5.4999999999999997E-3</v>
      </c>
      <c r="H130" s="86">
        <f>VLOOKUP($A130,'Data shares'!$C:$FA,90)</f>
        <v>4376800</v>
      </c>
      <c r="I130" s="86">
        <f>VLOOKUP($A130,'Data shares'!$C:$FA,92)</f>
        <v>-345600</v>
      </c>
      <c r="J130" s="87">
        <f>VLOOKUP($A130,'Data shares'!$C:$FA,93)</f>
        <v>-7.3200000000000001E-2</v>
      </c>
      <c r="K130" s="86">
        <f>VLOOKUP($A130,'Data shares'!$C:$FA,94)</f>
        <v>3305200</v>
      </c>
      <c r="L130" s="86">
        <f>VLOOKUP($A130,'Data shares'!$C:$FA,96)</f>
        <v>-174800</v>
      </c>
      <c r="M130" s="87">
        <f>VLOOKUP($A130,'Data shares'!$C:$FA,97)</f>
        <v>-5.0200000000000002E-2</v>
      </c>
      <c r="N130" s="86">
        <f>VLOOKUP($A130,'Data shares'!$C:$FA,78)</f>
        <v>3740600</v>
      </c>
      <c r="O130" s="87">
        <f>VLOOKUP($A130,'Data shares'!$C:$FA,81)</f>
        <v>-0.5383</v>
      </c>
    </row>
    <row r="131" spans="1:15" x14ac:dyDescent="0.25">
      <c r="A131" s="100" t="str">
        <f>'OI(Value)'!A131</f>
        <v>MANAPPURAM</v>
      </c>
      <c r="B131" s="82">
        <f>VLOOKUP(A131,'Data shares'!$C$2:$CV$216,98,0)</f>
        <v>53889000</v>
      </c>
      <c r="C131" s="82">
        <f>VLOOKUP(A131,'Data shares'!$C$2:$CX$216,100,0)</f>
        <v>-873000</v>
      </c>
      <c r="D131" s="141">
        <f>VLOOKUP(A131,'Data shares'!$C$2:$CY$539,101,0)</f>
        <v>-1.5900000000000001E-2</v>
      </c>
      <c r="E131" s="86">
        <f>VLOOKUP($A131,'Data shares'!$C:$FA,74)</f>
        <v>30714000</v>
      </c>
      <c r="F131" s="86">
        <f>VLOOKUP($A131,'Data shares'!$C:$FA,76)</f>
        <v>-78000</v>
      </c>
      <c r="G131" s="87">
        <f>VLOOKUP(A131,'Data shares'!$C$2:$CA$216,77,0)</f>
        <v>-2.5000000000000001E-3</v>
      </c>
      <c r="H131" s="86">
        <f>VLOOKUP($A131,'Data shares'!$C:$FA,90)</f>
        <v>14952000</v>
      </c>
      <c r="I131" s="86">
        <f>VLOOKUP($A131,'Data shares'!$C:$FA,92)</f>
        <v>-231000</v>
      </c>
      <c r="J131" s="87">
        <f>VLOOKUP($A131,'Data shares'!$C:$FA,93)</f>
        <v>-1.52E-2</v>
      </c>
      <c r="K131" s="86">
        <f>VLOOKUP($A131,'Data shares'!$C:$FA,94)</f>
        <v>8223000</v>
      </c>
      <c r="L131" s="86">
        <f>VLOOKUP($A131,'Data shares'!$C:$FA,96)</f>
        <v>-564000</v>
      </c>
      <c r="M131" s="87">
        <f>VLOOKUP($A131,'Data shares'!$C:$FA,97)</f>
        <v>-6.4199999999999993E-2</v>
      </c>
      <c r="N131" s="86">
        <f>VLOOKUP($A131,'Data shares'!$C:$FA,78)</f>
        <v>5610000</v>
      </c>
      <c r="O131" s="87">
        <f>VLOOKUP($A131,'Data shares'!$C:$FA,81)</f>
        <v>-0.52190000000000003</v>
      </c>
    </row>
    <row r="132" spans="1:15" x14ac:dyDescent="0.25">
      <c r="A132" s="100" t="str">
        <f>'OI(Value)'!A132</f>
        <v>MANKIND</v>
      </c>
      <c r="B132" s="82">
        <f>VLOOKUP(A132,'Data shares'!$C$2:$CV$216,98,0)</f>
        <v>2885400</v>
      </c>
      <c r="C132" s="82">
        <f>VLOOKUP(A132,'Data shares'!$C$2:$CX$216,100,0)</f>
        <v>-220275</v>
      </c>
      <c r="D132" s="141">
        <f>VLOOKUP(A132,'Data shares'!$C$2:$CY$539,101,0)</f>
        <v>-7.0900000000000005E-2</v>
      </c>
      <c r="E132" s="86">
        <f>VLOOKUP($A132,'Data shares'!$C:$FA,74)</f>
        <v>1692450</v>
      </c>
      <c r="F132" s="86">
        <f>VLOOKUP($A132,'Data shares'!$C:$FA,76)</f>
        <v>-100575</v>
      </c>
      <c r="G132" s="87">
        <f>VLOOKUP(A132,'Data shares'!$C$2:$CA$216,77,0)</f>
        <v>-5.6099999999999997E-2</v>
      </c>
      <c r="H132" s="86">
        <f>VLOOKUP($A132,'Data shares'!$C:$FA,90)</f>
        <v>816525</v>
      </c>
      <c r="I132" s="86">
        <f>VLOOKUP($A132,'Data shares'!$C:$FA,92)</f>
        <v>-110025</v>
      </c>
      <c r="J132" s="87">
        <f>VLOOKUP($A132,'Data shares'!$C:$FA,93)</f>
        <v>-0.1187</v>
      </c>
      <c r="K132" s="86">
        <f>VLOOKUP($A132,'Data shares'!$C:$FA,94)</f>
        <v>376425</v>
      </c>
      <c r="L132" s="86">
        <f>VLOOKUP($A132,'Data shares'!$C:$FA,96)</f>
        <v>-9675</v>
      </c>
      <c r="M132" s="87">
        <f>VLOOKUP($A132,'Data shares'!$C:$FA,97)</f>
        <v>-2.5100000000000001E-2</v>
      </c>
      <c r="N132" s="86">
        <f>VLOOKUP($A132,'Data shares'!$C:$FA,78)</f>
        <v>250875</v>
      </c>
      <c r="O132" s="87">
        <f>VLOOKUP($A132,'Data shares'!$C:$FA,81)</f>
        <v>-0.58689999999999998</v>
      </c>
    </row>
    <row r="133" spans="1:15" x14ac:dyDescent="0.25">
      <c r="A133" s="100" t="str">
        <f>'OI(Value)'!A133</f>
        <v>MARICO</v>
      </c>
      <c r="B133" s="82">
        <f>VLOOKUP(A133,'Data shares'!$C$2:$CV$216,98,0)</f>
        <v>32876400</v>
      </c>
      <c r="C133" s="82">
        <f>VLOOKUP(A133,'Data shares'!$C$2:$CX$216,100,0)</f>
        <v>-380400</v>
      </c>
      <c r="D133" s="141">
        <f>VLOOKUP(A133,'Data shares'!$C$2:$CY$539,101,0)</f>
        <v>-1.14E-2</v>
      </c>
      <c r="E133" s="86">
        <f>VLOOKUP($A133,'Data shares'!$C:$FA,74)</f>
        <v>27607200</v>
      </c>
      <c r="F133" s="86">
        <f>VLOOKUP($A133,'Data shares'!$C:$FA,76)</f>
        <v>-79200</v>
      </c>
      <c r="G133" s="87">
        <f>VLOOKUP(A133,'Data shares'!$C$2:$CA$216,77,0)</f>
        <v>-2.8999999999999998E-3</v>
      </c>
      <c r="H133" s="86">
        <f>VLOOKUP($A133,'Data shares'!$C:$FA,90)</f>
        <v>2988000</v>
      </c>
      <c r="I133" s="86">
        <f>VLOOKUP($A133,'Data shares'!$C:$FA,92)</f>
        <v>-169200</v>
      </c>
      <c r="J133" s="87">
        <f>VLOOKUP($A133,'Data shares'!$C:$FA,93)</f>
        <v>-5.3600000000000002E-2</v>
      </c>
      <c r="K133" s="86">
        <f>VLOOKUP($A133,'Data shares'!$C:$FA,94)</f>
        <v>2281200</v>
      </c>
      <c r="L133" s="86">
        <f>VLOOKUP($A133,'Data shares'!$C:$FA,96)</f>
        <v>-132000</v>
      </c>
      <c r="M133" s="87">
        <f>VLOOKUP($A133,'Data shares'!$C:$FA,97)</f>
        <v>-5.4699999999999999E-2</v>
      </c>
      <c r="N133" s="86">
        <f>VLOOKUP($A133,'Data shares'!$C:$FA,78)</f>
        <v>3462000</v>
      </c>
      <c r="O133" s="87">
        <f>VLOOKUP($A133,'Data shares'!$C:$FA,81)</f>
        <v>-0.6</v>
      </c>
    </row>
    <row r="134" spans="1:15" x14ac:dyDescent="0.25">
      <c r="A134" s="100" t="str">
        <f>'OI(Value)'!A134</f>
        <v>MARUTI</v>
      </c>
      <c r="B134" s="82">
        <f>VLOOKUP(A134,'Data shares'!$C$2:$CV$216,98,0)</f>
        <v>6879000</v>
      </c>
      <c r="C134" s="82">
        <f>VLOOKUP(A134,'Data shares'!$C$2:$CX$216,100,0)</f>
        <v>-690800</v>
      </c>
      <c r="D134" s="141">
        <f>VLOOKUP(A134,'Data shares'!$C$2:$CY$539,101,0)</f>
        <v>-9.1300000000000006E-2</v>
      </c>
      <c r="E134" s="86">
        <f>VLOOKUP($A134,'Data shares'!$C:$FA,74)</f>
        <v>2958150</v>
      </c>
      <c r="F134" s="86">
        <f>VLOOKUP($A134,'Data shares'!$C:$FA,76)</f>
        <v>32500</v>
      </c>
      <c r="G134" s="87">
        <f>VLOOKUP(A134,'Data shares'!$C$2:$CA$216,77,0)</f>
        <v>1.11E-2</v>
      </c>
      <c r="H134" s="86">
        <f>VLOOKUP($A134,'Data shares'!$C:$FA,90)</f>
        <v>2309950</v>
      </c>
      <c r="I134" s="86">
        <f>VLOOKUP($A134,'Data shares'!$C:$FA,92)</f>
        <v>-645800</v>
      </c>
      <c r="J134" s="87">
        <f>VLOOKUP($A134,'Data shares'!$C:$FA,93)</f>
        <v>-0.2185</v>
      </c>
      <c r="K134" s="86">
        <f>VLOOKUP($A134,'Data shares'!$C:$FA,94)</f>
        <v>1610900</v>
      </c>
      <c r="L134" s="86">
        <f>VLOOKUP($A134,'Data shares'!$C:$FA,96)</f>
        <v>-77500</v>
      </c>
      <c r="M134" s="87">
        <f>VLOOKUP($A134,'Data shares'!$C:$FA,97)</f>
        <v>-4.5900000000000003E-2</v>
      </c>
      <c r="N134" s="86">
        <f>VLOOKUP($A134,'Data shares'!$C:$FA,78)</f>
        <v>686600</v>
      </c>
      <c r="O134" s="87">
        <f>VLOOKUP($A134,'Data shares'!$C:$FA,81)</f>
        <v>-0.51900000000000002</v>
      </c>
    </row>
    <row r="135" spans="1:15" x14ac:dyDescent="0.25">
      <c r="A135" s="100" t="str">
        <f>'OI(Value)'!A135</f>
        <v>MAXHEALTH</v>
      </c>
      <c r="B135" s="82">
        <f>VLOOKUP(A135,'Data shares'!$C$2:$CV$216,98,0)</f>
        <v>21515550</v>
      </c>
      <c r="C135" s="82">
        <f>VLOOKUP(A135,'Data shares'!$C$2:$CX$216,100,0)</f>
        <v>-348075</v>
      </c>
      <c r="D135" s="141">
        <f>VLOOKUP(A135,'Data shares'!$C$2:$CY$539,101,0)</f>
        <v>-1.5900000000000001E-2</v>
      </c>
      <c r="E135" s="86">
        <f>VLOOKUP($A135,'Data shares'!$C:$FA,74)</f>
        <v>16327500</v>
      </c>
      <c r="F135" s="86">
        <f>VLOOKUP($A135,'Data shares'!$C:$FA,76)</f>
        <v>39375</v>
      </c>
      <c r="G135" s="87">
        <f>VLOOKUP(A135,'Data shares'!$C$2:$CA$216,77,0)</f>
        <v>2.3999999999999998E-3</v>
      </c>
      <c r="H135" s="86">
        <f>VLOOKUP($A135,'Data shares'!$C:$FA,90)</f>
        <v>3089625</v>
      </c>
      <c r="I135" s="86">
        <f>VLOOKUP($A135,'Data shares'!$C:$FA,92)</f>
        <v>-64050</v>
      </c>
      <c r="J135" s="87">
        <f>VLOOKUP($A135,'Data shares'!$C:$FA,93)</f>
        <v>-2.0299999999999999E-2</v>
      </c>
      <c r="K135" s="86">
        <f>VLOOKUP($A135,'Data shares'!$C:$FA,94)</f>
        <v>2098425</v>
      </c>
      <c r="L135" s="86">
        <f>VLOOKUP($A135,'Data shares'!$C:$FA,96)</f>
        <v>-323400</v>
      </c>
      <c r="M135" s="87">
        <f>VLOOKUP($A135,'Data shares'!$C:$FA,97)</f>
        <v>-0.13350000000000001</v>
      </c>
      <c r="N135" s="86">
        <f>VLOOKUP($A135,'Data shares'!$C:$FA,78)</f>
        <v>2064825</v>
      </c>
      <c r="O135" s="87">
        <f>VLOOKUP($A135,'Data shares'!$C:$FA,81)</f>
        <v>-0.64870000000000005</v>
      </c>
    </row>
    <row r="136" spans="1:15" x14ac:dyDescent="0.25">
      <c r="A136" s="100" t="str">
        <f>'OI(Value)'!A136</f>
        <v>MAZDOCK</v>
      </c>
      <c r="B136" s="82">
        <f>VLOOKUP(A136,'Data shares'!$C$2:$CV$216,98,0)</f>
        <v>8843800</v>
      </c>
      <c r="C136" s="82">
        <f>VLOOKUP(A136,'Data shares'!$C$2:$CX$216,100,0)</f>
        <v>539000</v>
      </c>
      <c r="D136" s="141">
        <f>VLOOKUP(A136,'Data shares'!$C$2:$CY$539,101,0)</f>
        <v>6.4899999999999999E-2</v>
      </c>
      <c r="E136" s="86">
        <f>VLOOKUP($A136,'Data shares'!$C:$FA,74)</f>
        <v>3963750</v>
      </c>
      <c r="F136" s="86">
        <f>VLOOKUP($A136,'Data shares'!$C:$FA,76)</f>
        <v>117775</v>
      </c>
      <c r="G136" s="87">
        <f>VLOOKUP(A136,'Data shares'!$C$2:$CA$216,77,0)</f>
        <v>3.0599999999999999E-2</v>
      </c>
      <c r="H136" s="86">
        <f>VLOOKUP($A136,'Data shares'!$C:$FA,90)</f>
        <v>3117100</v>
      </c>
      <c r="I136" s="86">
        <f>VLOOKUP($A136,'Data shares'!$C:$FA,92)</f>
        <v>198450</v>
      </c>
      <c r="J136" s="87">
        <f>VLOOKUP($A136,'Data shares'!$C:$FA,93)</f>
        <v>6.8000000000000005E-2</v>
      </c>
      <c r="K136" s="86">
        <f>VLOOKUP($A136,'Data shares'!$C:$FA,94)</f>
        <v>1762950</v>
      </c>
      <c r="L136" s="86">
        <f>VLOOKUP($A136,'Data shares'!$C:$FA,96)</f>
        <v>222775</v>
      </c>
      <c r="M136" s="87">
        <f>VLOOKUP($A136,'Data shares'!$C:$FA,97)</f>
        <v>0.14460000000000001</v>
      </c>
      <c r="N136" s="86">
        <f>VLOOKUP($A136,'Data shares'!$C:$FA,78)</f>
        <v>886025</v>
      </c>
      <c r="O136" s="87">
        <f>VLOOKUP($A136,'Data shares'!$C:$FA,81)</f>
        <v>-0.4677</v>
      </c>
    </row>
    <row r="137" spans="1:15" x14ac:dyDescent="0.25">
      <c r="A137" s="100" t="str">
        <f>'OI(Value)'!A137</f>
        <v>MCX</v>
      </c>
      <c r="B137" s="82">
        <f>VLOOKUP(A137,'Data shares'!$C$2:$CV$216,98,0)</f>
        <v>9098125</v>
      </c>
      <c r="C137" s="82">
        <f>VLOOKUP(A137,'Data shares'!$C$2:$CX$216,100,0)</f>
        <v>-278375</v>
      </c>
      <c r="D137" s="141">
        <f>VLOOKUP(A137,'Data shares'!$C$2:$CY$539,101,0)</f>
        <v>-2.9700000000000001E-2</v>
      </c>
      <c r="E137" s="86">
        <f>VLOOKUP($A137,'Data shares'!$C:$FA,74)</f>
        <v>2914000</v>
      </c>
      <c r="F137" s="86">
        <f>VLOOKUP($A137,'Data shares'!$C:$FA,76)</f>
        <v>113500</v>
      </c>
      <c r="G137" s="87">
        <f>VLOOKUP(A137,'Data shares'!$C$2:$CA$216,77,0)</f>
        <v>4.0500000000000001E-2</v>
      </c>
      <c r="H137" s="86">
        <f>VLOOKUP($A137,'Data shares'!$C:$FA,90)</f>
        <v>3805000</v>
      </c>
      <c r="I137" s="86">
        <f>VLOOKUP($A137,'Data shares'!$C:$FA,92)</f>
        <v>-384625</v>
      </c>
      <c r="J137" s="87">
        <f>VLOOKUP($A137,'Data shares'!$C:$FA,93)</f>
        <v>-9.1800000000000007E-2</v>
      </c>
      <c r="K137" s="86">
        <f>VLOOKUP($A137,'Data shares'!$C:$FA,94)</f>
        <v>2379125</v>
      </c>
      <c r="L137" s="86">
        <f>VLOOKUP($A137,'Data shares'!$C:$FA,96)</f>
        <v>-7250</v>
      </c>
      <c r="M137" s="87">
        <f>VLOOKUP($A137,'Data shares'!$C:$FA,97)</f>
        <v>-3.0000000000000001E-3</v>
      </c>
      <c r="N137" s="86">
        <f>VLOOKUP($A137,'Data shares'!$C:$FA,78)</f>
        <v>604750</v>
      </c>
      <c r="O137" s="87">
        <f>VLOOKUP($A137,'Data shares'!$C:$FA,81)</f>
        <v>-0.45400000000000001</v>
      </c>
    </row>
    <row r="138" spans="1:15" x14ac:dyDescent="0.25">
      <c r="A138" s="100" t="str">
        <f>'OI(Value)'!A138</f>
        <v>MFSL</v>
      </c>
      <c r="B138" s="82">
        <f>VLOOKUP(A138,'Data shares'!$C$2:$CV$216,98,0)</f>
        <v>8850400</v>
      </c>
      <c r="C138" s="82">
        <f>VLOOKUP(A138,'Data shares'!$C$2:$CX$216,100,0)</f>
        <v>-38400</v>
      </c>
      <c r="D138" s="141">
        <f>VLOOKUP(A138,'Data shares'!$C$2:$CY$539,101,0)</f>
        <v>-4.3E-3</v>
      </c>
      <c r="E138" s="86">
        <f>VLOOKUP($A138,'Data shares'!$C:$FA,74)</f>
        <v>5976800</v>
      </c>
      <c r="F138" s="86">
        <f>VLOOKUP($A138,'Data shares'!$C:$FA,76)</f>
        <v>112800</v>
      </c>
      <c r="G138" s="87">
        <f>VLOOKUP(A138,'Data shares'!$C$2:$CA$216,77,0)</f>
        <v>1.9199999999999998E-2</v>
      </c>
      <c r="H138" s="86">
        <f>VLOOKUP($A138,'Data shares'!$C:$FA,90)</f>
        <v>1679200</v>
      </c>
      <c r="I138" s="86">
        <f>VLOOKUP($A138,'Data shares'!$C:$FA,92)</f>
        <v>-43200</v>
      </c>
      <c r="J138" s="87">
        <f>VLOOKUP($A138,'Data shares'!$C:$FA,93)</f>
        <v>-2.5100000000000001E-2</v>
      </c>
      <c r="K138" s="86">
        <f>VLOOKUP($A138,'Data shares'!$C:$FA,94)</f>
        <v>1194400</v>
      </c>
      <c r="L138" s="86">
        <f>VLOOKUP($A138,'Data shares'!$C:$FA,96)</f>
        <v>-108000</v>
      </c>
      <c r="M138" s="87">
        <f>VLOOKUP($A138,'Data shares'!$C:$FA,97)</f>
        <v>-8.2900000000000001E-2</v>
      </c>
      <c r="N138" s="86">
        <f>VLOOKUP($A138,'Data shares'!$C:$FA,78)</f>
        <v>881600</v>
      </c>
      <c r="O138" s="87">
        <f>VLOOKUP($A138,'Data shares'!$C:$FA,81)</f>
        <v>-0.59189999999999998</v>
      </c>
    </row>
    <row r="139" spans="1:15" x14ac:dyDescent="0.25">
      <c r="A139" s="100" t="str">
        <f>'OI(Value)'!A139</f>
        <v>MIDCPNIFTY</v>
      </c>
      <c r="B139" s="82">
        <f>VLOOKUP(A139,'Data shares'!$C$2:$CV$216,98,0)</f>
        <v>31021760</v>
      </c>
      <c r="C139" s="82">
        <f>VLOOKUP(A139,'Data shares'!$C$2:$CX$216,100,0)</f>
        <v>2689680</v>
      </c>
      <c r="D139" s="141">
        <f>VLOOKUP(A139,'Data shares'!$C$2:$CY$539,101,0)</f>
        <v>9.4899999999999998E-2</v>
      </c>
      <c r="E139" s="86">
        <f>VLOOKUP($A139,'Data shares'!$C:$FA,74)</f>
        <v>2538060</v>
      </c>
      <c r="F139" s="86">
        <f>VLOOKUP($A139,'Data shares'!$C:$FA,76)</f>
        <v>151060</v>
      </c>
      <c r="G139" s="87">
        <f>VLOOKUP(A139,'Data shares'!$C$2:$CA$216,77,0)</f>
        <v>6.3299999999999995E-2</v>
      </c>
      <c r="H139" s="86">
        <f>VLOOKUP($A139,'Data shares'!$C:$FA,90)</f>
        <v>12992840</v>
      </c>
      <c r="I139" s="86">
        <f>VLOOKUP($A139,'Data shares'!$C:$FA,92)</f>
        <v>-768040</v>
      </c>
      <c r="J139" s="87">
        <f>VLOOKUP($A139,'Data shares'!$C:$FA,93)</f>
        <v>-5.5800000000000002E-2</v>
      </c>
      <c r="K139" s="86">
        <f>VLOOKUP($A139,'Data shares'!$C:$FA,94)</f>
        <v>15490860</v>
      </c>
      <c r="L139" s="86">
        <f>VLOOKUP($A139,'Data shares'!$C:$FA,96)</f>
        <v>3306660</v>
      </c>
      <c r="M139" s="87">
        <f>VLOOKUP($A139,'Data shares'!$C:$FA,97)</f>
        <v>0.27139999999999997</v>
      </c>
      <c r="N139" s="86">
        <f>VLOOKUP($A139,'Data shares'!$C:$FA,78)</f>
        <v>839440</v>
      </c>
      <c r="O139" s="87">
        <f>VLOOKUP($A139,'Data shares'!$C:$FA,81)</f>
        <v>-0.34360000000000002</v>
      </c>
    </row>
    <row r="140" spans="1:15" x14ac:dyDescent="0.25">
      <c r="A140" s="100" t="str">
        <f>'OI(Value)'!A140</f>
        <v>MOTHERSON</v>
      </c>
      <c r="B140" s="82">
        <f>VLOOKUP(A140,'Data shares'!$C$2:$CV$216,98,0)</f>
        <v>305144550</v>
      </c>
      <c r="C140" s="82">
        <f>VLOOKUP(A140,'Data shares'!$C$2:$CX$216,100,0)</f>
        <v>-5934750</v>
      </c>
      <c r="D140" s="141">
        <f>VLOOKUP(A140,'Data shares'!$C$2:$CY$539,101,0)</f>
        <v>-1.9099999999999999E-2</v>
      </c>
      <c r="E140" s="86">
        <f>VLOOKUP($A140,'Data shares'!$C:$FA,74)</f>
        <v>166984800</v>
      </c>
      <c r="F140" s="86">
        <f>VLOOKUP($A140,'Data shares'!$C:$FA,76)</f>
        <v>-2619900</v>
      </c>
      <c r="G140" s="87">
        <f>VLOOKUP(A140,'Data shares'!$C$2:$CA$216,77,0)</f>
        <v>-1.54E-2</v>
      </c>
      <c r="H140" s="86">
        <f>VLOOKUP($A140,'Data shares'!$C:$FA,90)</f>
        <v>91143000</v>
      </c>
      <c r="I140" s="86">
        <f>VLOOKUP($A140,'Data shares'!$C:$FA,92)</f>
        <v>-3972900</v>
      </c>
      <c r="J140" s="87">
        <f>VLOOKUP($A140,'Data shares'!$C:$FA,93)</f>
        <v>-4.1799999999999997E-2</v>
      </c>
      <c r="K140" s="86">
        <f>VLOOKUP($A140,'Data shares'!$C:$FA,94)</f>
        <v>47016750</v>
      </c>
      <c r="L140" s="86">
        <f>VLOOKUP($A140,'Data shares'!$C:$FA,96)</f>
        <v>658050</v>
      </c>
      <c r="M140" s="87">
        <f>VLOOKUP($A140,'Data shares'!$C:$FA,97)</f>
        <v>1.4200000000000001E-2</v>
      </c>
      <c r="N140" s="86">
        <f>VLOOKUP($A140,'Data shares'!$C:$FA,78)</f>
        <v>30055050</v>
      </c>
      <c r="O140" s="87">
        <f>VLOOKUP($A140,'Data shares'!$C:$FA,81)</f>
        <v>-0.5806</v>
      </c>
    </row>
    <row r="141" spans="1:15" x14ac:dyDescent="0.25">
      <c r="A141" s="100" t="str">
        <f>'OI(Value)'!A141</f>
        <v>MPHASIS</v>
      </c>
      <c r="B141" s="82">
        <f>VLOOKUP(A141,'Data shares'!$C$2:$CV$216,98,0)</f>
        <v>5913050</v>
      </c>
      <c r="C141" s="82">
        <f>VLOOKUP(A141,'Data shares'!$C$2:$CX$216,100,0)</f>
        <v>-175175</v>
      </c>
      <c r="D141" s="141">
        <f>VLOOKUP(A141,'Data shares'!$C$2:$CY$539,101,0)</f>
        <v>-2.8799999999999999E-2</v>
      </c>
      <c r="E141" s="86">
        <f>VLOOKUP($A141,'Data shares'!$C:$FA,74)</f>
        <v>4261950</v>
      </c>
      <c r="F141" s="86">
        <f>VLOOKUP($A141,'Data shares'!$C:$FA,76)</f>
        <v>137225</v>
      </c>
      <c r="G141" s="87">
        <f>VLOOKUP(A141,'Data shares'!$C$2:$CA$216,77,0)</f>
        <v>3.3300000000000003E-2</v>
      </c>
      <c r="H141" s="86">
        <f>VLOOKUP($A141,'Data shares'!$C:$FA,90)</f>
        <v>866800</v>
      </c>
      <c r="I141" s="86">
        <f>VLOOKUP($A141,'Data shares'!$C:$FA,92)</f>
        <v>-326700</v>
      </c>
      <c r="J141" s="87">
        <f>VLOOKUP($A141,'Data shares'!$C:$FA,93)</f>
        <v>-0.2737</v>
      </c>
      <c r="K141" s="86">
        <f>VLOOKUP($A141,'Data shares'!$C:$FA,94)</f>
        <v>784300</v>
      </c>
      <c r="L141" s="86">
        <f>VLOOKUP($A141,'Data shares'!$C:$FA,96)</f>
        <v>14300</v>
      </c>
      <c r="M141" s="87">
        <f>VLOOKUP($A141,'Data shares'!$C:$FA,97)</f>
        <v>1.8599999999999998E-2</v>
      </c>
      <c r="N141" s="86">
        <f>VLOOKUP($A141,'Data shares'!$C:$FA,78)</f>
        <v>908325</v>
      </c>
      <c r="O141" s="87">
        <f>VLOOKUP($A141,'Data shares'!$C:$FA,81)</f>
        <v>-0.49490000000000001</v>
      </c>
    </row>
    <row r="142" spans="1:15" x14ac:dyDescent="0.25">
      <c r="A142" s="100" t="str">
        <f>'OI(Value)'!A142</f>
        <v>MUTHOOTFIN</v>
      </c>
      <c r="B142" s="82">
        <f>VLOOKUP(A142,'Data shares'!$C$2:$CV$216,98,0)</f>
        <v>7855375</v>
      </c>
      <c r="C142" s="82">
        <f>VLOOKUP(A142,'Data shares'!$C$2:$CX$216,100,0)</f>
        <v>-738650</v>
      </c>
      <c r="D142" s="141">
        <f>VLOOKUP(A142,'Data shares'!$C$2:$CY$539,101,0)</f>
        <v>-8.5900000000000004E-2</v>
      </c>
      <c r="E142" s="86">
        <f>VLOOKUP($A142,'Data shares'!$C:$FA,74)</f>
        <v>3219975</v>
      </c>
      <c r="F142" s="86">
        <f>VLOOKUP($A142,'Data shares'!$C:$FA,76)</f>
        <v>30800</v>
      </c>
      <c r="G142" s="87">
        <f>VLOOKUP(A142,'Data shares'!$C$2:$CA$216,77,0)</f>
        <v>9.7000000000000003E-3</v>
      </c>
      <c r="H142" s="86">
        <f>VLOOKUP($A142,'Data shares'!$C:$FA,90)</f>
        <v>2841025</v>
      </c>
      <c r="I142" s="86">
        <f>VLOOKUP($A142,'Data shares'!$C:$FA,92)</f>
        <v>-467225</v>
      </c>
      <c r="J142" s="87">
        <f>VLOOKUP($A142,'Data shares'!$C:$FA,93)</f>
        <v>-0.14119999999999999</v>
      </c>
      <c r="K142" s="86">
        <f>VLOOKUP($A142,'Data shares'!$C:$FA,94)</f>
        <v>1794375</v>
      </c>
      <c r="L142" s="86">
        <f>VLOOKUP($A142,'Data shares'!$C:$FA,96)</f>
        <v>-302225</v>
      </c>
      <c r="M142" s="87">
        <f>VLOOKUP($A142,'Data shares'!$C:$FA,97)</f>
        <v>-0.14419999999999999</v>
      </c>
      <c r="N142" s="86">
        <f>VLOOKUP($A142,'Data shares'!$C:$FA,78)</f>
        <v>586025</v>
      </c>
      <c r="O142" s="87">
        <f>VLOOKUP($A142,'Data shares'!$C:$FA,81)</f>
        <v>-0.49059999999999998</v>
      </c>
    </row>
    <row r="143" spans="1:15" x14ac:dyDescent="0.25">
      <c r="A143" s="100" t="str">
        <f>'OI(Value)'!A143</f>
        <v>NATIONALUM</v>
      </c>
      <c r="B143" s="82">
        <f>VLOOKUP(A143,'Data shares'!$C$2:$CV$216,98,0)</f>
        <v>146460000</v>
      </c>
      <c r="C143" s="82">
        <f>VLOOKUP(A143,'Data shares'!$C$2:$CX$216,100,0)</f>
        <v>-1132500</v>
      </c>
      <c r="D143" s="141">
        <f>VLOOKUP(A143,'Data shares'!$C$2:$CY$539,101,0)</f>
        <v>-7.7000000000000002E-3</v>
      </c>
      <c r="E143" s="86">
        <f>VLOOKUP($A143,'Data shares'!$C:$FA,74)</f>
        <v>81615000</v>
      </c>
      <c r="F143" s="86">
        <f>VLOOKUP($A143,'Data shares'!$C:$FA,76)</f>
        <v>2036250</v>
      </c>
      <c r="G143" s="87">
        <f>VLOOKUP(A143,'Data shares'!$C$2:$CA$216,77,0)</f>
        <v>2.5600000000000001E-2</v>
      </c>
      <c r="H143" s="86">
        <f>VLOOKUP($A143,'Data shares'!$C:$FA,90)</f>
        <v>34087500</v>
      </c>
      <c r="I143" s="86">
        <f>VLOOKUP($A143,'Data shares'!$C:$FA,92)</f>
        <v>-3153750</v>
      </c>
      <c r="J143" s="87">
        <f>VLOOKUP($A143,'Data shares'!$C:$FA,93)</f>
        <v>-8.4699999999999998E-2</v>
      </c>
      <c r="K143" s="86">
        <f>VLOOKUP($A143,'Data shares'!$C:$FA,94)</f>
        <v>30757500</v>
      </c>
      <c r="L143" s="86">
        <f>VLOOKUP($A143,'Data shares'!$C:$FA,96)</f>
        <v>-15000</v>
      </c>
      <c r="M143" s="87">
        <f>VLOOKUP($A143,'Data shares'!$C:$FA,97)</f>
        <v>-5.0000000000000001E-4</v>
      </c>
      <c r="N143" s="86">
        <f>VLOOKUP($A143,'Data shares'!$C:$FA,78)</f>
        <v>22256250</v>
      </c>
      <c r="O143" s="87">
        <f>VLOOKUP($A143,'Data shares'!$C:$FA,81)</f>
        <v>-0.54510000000000003</v>
      </c>
    </row>
    <row r="144" spans="1:15" x14ac:dyDescent="0.25">
      <c r="A144" s="100" t="str">
        <f>'OI(Value)'!A144</f>
        <v>NAUKRI</v>
      </c>
      <c r="B144" s="82">
        <f>VLOOKUP(A144,'Data shares'!$C$2:$CV$216,98,0)</f>
        <v>12603750</v>
      </c>
      <c r="C144" s="82">
        <f>VLOOKUP(A144,'Data shares'!$C$2:$CX$216,100,0)</f>
        <v>-362250</v>
      </c>
      <c r="D144" s="141">
        <f>VLOOKUP(A144,'Data shares'!$C$2:$CY$539,101,0)</f>
        <v>-2.7900000000000001E-2</v>
      </c>
      <c r="E144" s="86">
        <f>VLOOKUP($A144,'Data shares'!$C:$FA,74)</f>
        <v>9439875</v>
      </c>
      <c r="F144" s="86">
        <f>VLOOKUP($A144,'Data shares'!$C:$FA,76)</f>
        <v>-18375</v>
      </c>
      <c r="G144" s="87">
        <f>VLOOKUP(A144,'Data shares'!$C$2:$CA$216,77,0)</f>
        <v>-1.9E-3</v>
      </c>
      <c r="H144" s="86">
        <f>VLOOKUP($A144,'Data shares'!$C:$FA,90)</f>
        <v>1945500</v>
      </c>
      <c r="I144" s="86">
        <f>VLOOKUP($A144,'Data shares'!$C:$FA,92)</f>
        <v>-230625</v>
      </c>
      <c r="J144" s="87">
        <f>VLOOKUP($A144,'Data shares'!$C:$FA,93)</f>
        <v>-0.106</v>
      </c>
      <c r="K144" s="86">
        <f>VLOOKUP($A144,'Data shares'!$C:$FA,94)</f>
        <v>1218375</v>
      </c>
      <c r="L144" s="86">
        <f>VLOOKUP($A144,'Data shares'!$C:$FA,96)</f>
        <v>-113250</v>
      </c>
      <c r="M144" s="87">
        <f>VLOOKUP($A144,'Data shares'!$C:$FA,97)</f>
        <v>-8.5000000000000006E-2</v>
      </c>
      <c r="N144" s="86">
        <f>VLOOKUP($A144,'Data shares'!$C:$FA,78)</f>
        <v>1269375</v>
      </c>
      <c r="O144" s="87">
        <f>VLOOKUP($A144,'Data shares'!$C:$FA,81)</f>
        <v>-0.64090000000000003</v>
      </c>
    </row>
    <row r="145" spans="1:15" x14ac:dyDescent="0.25">
      <c r="A145" s="100" t="str">
        <f>'OI(Value)'!A145</f>
        <v>NBCC</v>
      </c>
      <c r="B145" s="82">
        <f>VLOOKUP(A145,'Data shares'!$C$2:$CV$216,98,0)</f>
        <v>107880500</v>
      </c>
      <c r="C145" s="82">
        <f>VLOOKUP(A145,'Data shares'!$C$2:$CX$216,100,0)</f>
        <v>-175500</v>
      </c>
      <c r="D145" s="141">
        <f>VLOOKUP(A145,'Data shares'!$C$2:$CY$539,101,0)</f>
        <v>-1.6000000000000001E-3</v>
      </c>
      <c r="E145" s="86">
        <f>VLOOKUP($A145,'Data shares'!$C:$FA,74)</f>
        <v>61665500</v>
      </c>
      <c r="F145" s="86">
        <f>VLOOKUP($A145,'Data shares'!$C:$FA,76)</f>
        <v>494000</v>
      </c>
      <c r="G145" s="87">
        <f>VLOOKUP(A145,'Data shares'!$C$2:$CA$216,77,0)</f>
        <v>8.0999999999999996E-3</v>
      </c>
      <c r="H145" s="86">
        <f>VLOOKUP($A145,'Data shares'!$C:$FA,90)</f>
        <v>29354000</v>
      </c>
      <c r="I145" s="86">
        <f>VLOOKUP($A145,'Data shares'!$C:$FA,92)</f>
        <v>-1007500</v>
      </c>
      <c r="J145" s="87">
        <f>VLOOKUP($A145,'Data shares'!$C:$FA,93)</f>
        <v>-3.32E-2</v>
      </c>
      <c r="K145" s="86">
        <f>VLOOKUP($A145,'Data shares'!$C:$FA,94)</f>
        <v>16861000</v>
      </c>
      <c r="L145" s="86">
        <f>VLOOKUP($A145,'Data shares'!$C:$FA,96)</f>
        <v>338000</v>
      </c>
      <c r="M145" s="87">
        <f>VLOOKUP($A145,'Data shares'!$C:$FA,97)</f>
        <v>2.0500000000000001E-2</v>
      </c>
      <c r="N145" s="86">
        <f>VLOOKUP($A145,'Data shares'!$C:$FA,78)</f>
        <v>19643000</v>
      </c>
      <c r="O145" s="87">
        <f>VLOOKUP($A145,'Data shares'!$C:$FA,81)</f>
        <v>-0.37409999999999999</v>
      </c>
    </row>
    <row r="146" spans="1:15" x14ac:dyDescent="0.25">
      <c r="A146" s="100" t="str">
        <f>'OI(Value)'!A146</f>
        <v>NCC</v>
      </c>
      <c r="B146" s="82">
        <f>VLOOKUP(A146,'Data shares'!$C$2:$CV$216,98,0)</f>
        <v>31498200</v>
      </c>
      <c r="C146" s="82">
        <f>VLOOKUP(A146,'Data shares'!$C$2:$CX$216,100,0)</f>
        <v>-1922400</v>
      </c>
      <c r="D146" s="141">
        <f>VLOOKUP(A146,'Data shares'!$C$2:$CY$539,101,0)</f>
        <v>-5.7500000000000002E-2</v>
      </c>
      <c r="E146" s="86">
        <f>VLOOKUP($A146,'Data shares'!$C:$FA,74)</f>
        <v>19453500</v>
      </c>
      <c r="F146" s="86">
        <f>VLOOKUP($A146,'Data shares'!$C:$FA,76)</f>
        <v>-48600</v>
      </c>
      <c r="G146" s="87">
        <f>VLOOKUP(A146,'Data shares'!$C$2:$CA$216,77,0)</f>
        <v>-2.5000000000000001E-3</v>
      </c>
      <c r="H146" s="86">
        <f>VLOOKUP($A146,'Data shares'!$C:$FA,90)</f>
        <v>7584300</v>
      </c>
      <c r="I146" s="86">
        <f>VLOOKUP($A146,'Data shares'!$C:$FA,92)</f>
        <v>-1849500</v>
      </c>
      <c r="J146" s="87">
        <f>VLOOKUP($A146,'Data shares'!$C:$FA,93)</f>
        <v>-0.1961</v>
      </c>
      <c r="K146" s="86">
        <f>VLOOKUP($A146,'Data shares'!$C:$FA,94)</f>
        <v>4460400</v>
      </c>
      <c r="L146" s="86">
        <f>VLOOKUP($A146,'Data shares'!$C:$FA,96)</f>
        <v>-24300</v>
      </c>
      <c r="M146" s="87">
        <f>VLOOKUP($A146,'Data shares'!$C:$FA,97)</f>
        <v>-5.4000000000000003E-3</v>
      </c>
      <c r="N146" s="86">
        <f>VLOOKUP($A146,'Data shares'!$C:$FA,78)</f>
        <v>5165100</v>
      </c>
      <c r="O146" s="87">
        <f>VLOOKUP($A146,'Data shares'!$C:$FA,81)</f>
        <v>-0.45090000000000002</v>
      </c>
    </row>
    <row r="147" spans="1:15" x14ac:dyDescent="0.25">
      <c r="A147" s="100" t="str">
        <f>'OI(Value)'!A147</f>
        <v>NESTLEIND</v>
      </c>
      <c r="B147" s="82">
        <f>VLOOKUP(A147,'Data shares'!$C$2:$CV$216,98,0)</f>
        <v>34714500</v>
      </c>
      <c r="C147" s="82">
        <f>VLOOKUP(A147,'Data shares'!$C$2:$CX$216,100,0)</f>
        <v>-836500</v>
      </c>
      <c r="D147" s="141">
        <f>VLOOKUP(A147,'Data shares'!$C$2:$CY$539,101,0)</f>
        <v>-2.35E-2</v>
      </c>
      <c r="E147" s="86">
        <f>VLOOKUP($A147,'Data shares'!$C:$FA,74)</f>
        <v>19904000</v>
      </c>
      <c r="F147" s="86">
        <f>VLOOKUP($A147,'Data shares'!$C:$FA,76)</f>
        <v>-135500</v>
      </c>
      <c r="G147" s="87">
        <f>VLOOKUP(A147,'Data shares'!$C$2:$CA$216,77,0)</f>
        <v>-6.7999999999999996E-3</v>
      </c>
      <c r="H147" s="86">
        <f>VLOOKUP($A147,'Data shares'!$C:$FA,90)</f>
        <v>8064500</v>
      </c>
      <c r="I147" s="86">
        <f>VLOOKUP($A147,'Data shares'!$C:$FA,92)</f>
        <v>171500</v>
      </c>
      <c r="J147" s="87">
        <f>VLOOKUP($A147,'Data shares'!$C:$FA,93)</f>
        <v>2.1700000000000001E-2</v>
      </c>
      <c r="K147" s="86">
        <f>VLOOKUP($A147,'Data shares'!$C:$FA,94)</f>
        <v>6746000</v>
      </c>
      <c r="L147" s="86">
        <f>VLOOKUP($A147,'Data shares'!$C:$FA,96)</f>
        <v>-872500</v>
      </c>
      <c r="M147" s="87">
        <f>VLOOKUP($A147,'Data shares'!$C:$FA,97)</f>
        <v>-0.1145</v>
      </c>
      <c r="N147" s="86">
        <f>VLOOKUP($A147,'Data shares'!$C:$FA,78)</f>
        <v>3348500</v>
      </c>
      <c r="O147" s="87">
        <f>VLOOKUP($A147,'Data shares'!$C:$FA,81)</f>
        <v>-0.57789999999999997</v>
      </c>
    </row>
    <row r="148" spans="1:15" x14ac:dyDescent="0.25">
      <c r="A148" s="100" t="str">
        <f>'OI(Value)'!A148</f>
        <v>NHPC</v>
      </c>
      <c r="B148" s="82">
        <f>VLOOKUP(A148,'Data shares'!$C$2:$CV$216,98,0)</f>
        <v>93964800</v>
      </c>
      <c r="C148" s="82">
        <f>VLOOKUP(A148,'Data shares'!$C$2:$CX$216,100,0)</f>
        <v>51200</v>
      </c>
      <c r="D148" s="141">
        <f>VLOOKUP(A148,'Data shares'!$C$2:$CY$539,101,0)</f>
        <v>5.0000000000000001E-4</v>
      </c>
      <c r="E148" s="86">
        <f>VLOOKUP($A148,'Data shares'!$C:$FA,74)</f>
        <v>55136000</v>
      </c>
      <c r="F148" s="86">
        <f>VLOOKUP($A148,'Data shares'!$C:$FA,76)</f>
        <v>-396800</v>
      </c>
      <c r="G148" s="87">
        <f>VLOOKUP(A148,'Data shares'!$C$2:$CA$216,77,0)</f>
        <v>-7.1000000000000004E-3</v>
      </c>
      <c r="H148" s="86">
        <f>VLOOKUP($A148,'Data shares'!$C:$FA,90)</f>
        <v>27481600</v>
      </c>
      <c r="I148" s="86">
        <f>VLOOKUP($A148,'Data shares'!$C:$FA,92)</f>
        <v>192000</v>
      </c>
      <c r="J148" s="87">
        <f>VLOOKUP($A148,'Data shares'!$C:$FA,93)</f>
        <v>7.0000000000000001E-3</v>
      </c>
      <c r="K148" s="86">
        <f>VLOOKUP($A148,'Data shares'!$C:$FA,94)</f>
        <v>11347200</v>
      </c>
      <c r="L148" s="86">
        <f>VLOOKUP($A148,'Data shares'!$C:$FA,96)</f>
        <v>256000</v>
      </c>
      <c r="M148" s="87">
        <f>VLOOKUP($A148,'Data shares'!$C:$FA,97)</f>
        <v>2.3099999999999999E-2</v>
      </c>
      <c r="N148" s="86">
        <f>VLOOKUP($A148,'Data shares'!$C:$FA,78)</f>
        <v>7468800</v>
      </c>
      <c r="O148" s="87">
        <f>VLOOKUP($A148,'Data shares'!$C:$FA,81)</f>
        <v>-0.63129999999999997</v>
      </c>
    </row>
    <row r="149" spans="1:15" x14ac:dyDescent="0.25">
      <c r="A149" s="100" t="str">
        <f>'OI(Value)'!A149</f>
        <v>NIFTY</v>
      </c>
      <c r="B149" s="82">
        <f>VLOOKUP(A149,'Data shares'!$C$2:$CV$216,98,0)</f>
        <v>624042625</v>
      </c>
      <c r="C149" s="82">
        <f>VLOOKUP(A149,'Data shares'!$C$2:$CX$216,100,0)</f>
        <v>25545800</v>
      </c>
      <c r="D149" s="141">
        <f>VLOOKUP(A149,'Data shares'!$C$2:$CY$539,101,0)</f>
        <v>4.2700000000000002E-2</v>
      </c>
      <c r="E149" s="86">
        <f>VLOOKUP($A149,'Data shares'!$C:$FA,74)</f>
        <v>19267725</v>
      </c>
      <c r="F149" s="86">
        <f>VLOOKUP($A149,'Data shares'!$C:$FA,76)</f>
        <v>51375</v>
      </c>
      <c r="G149" s="87">
        <f>VLOOKUP(A149,'Data shares'!$C$2:$CA$216,77,0)</f>
        <v>2.7000000000000001E-3</v>
      </c>
      <c r="H149" s="86">
        <f>VLOOKUP($A149,'Data shares'!$C:$FA,90)</f>
        <v>291926750</v>
      </c>
      <c r="I149" s="86">
        <f>VLOOKUP($A149,'Data shares'!$C:$FA,92)</f>
        <v>-38083350</v>
      </c>
      <c r="J149" s="87">
        <f>VLOOKUP($A149,'Data shares'!$C:$FA,93)</f>
        <v>-0.1154</v>
      </c>
      <c r="K149" s="86">
        <f>VLOOKUP($A149,'Data shares'!$C:$FA,94)</f>
        <v>312848150</v>
      </c>
      <c r="L149" s="86">
        <f>VLOOKUP($A149,'Data shares'!$C:$FA,96)</f>
        <v>63577775</v>
      </c>
      <c r="M149" s="87">
        <f>VLOOKUP($A149,'Data shares'!$C:$FA,97)</f>
        <v>0.25509999999999999</v>
      </c>
      <c r="N149" s="86">
        <f>VLOOKUP($A149,'Data shares'!$C:$FA,78)</f>
        <v>8375850</v>
      </c>
      <c r="O149" s="87">
        <f>VLOOKUP($A149,'Data shares'!$C:$FA,81)</f>
        <v>-0.34789999999999999</v>
      </c>
    </row>
    <row r="150" spans="1:15" x14ac:dyDescent="0.25">
      <c r="A150" s="100" t="str">
        <f>'OI(Value)'!A150</f>
        <v>NIFTYNXT50</v>
      </c>
      <c r="B150" s="82">
        <f>VLOOKUP(A150,'Data shares'!$C$2:$CV$216,98,0)</f>
        <v>63025</v>
      </c>
      <c r="C150" s="82">
        <f>VLOOKUP(A150,'Data shares'!$C$2:$CX$216,100,0)</f>
        <v>14250</v>
      </c>
      <c r="D150" s="141">
        <f>VLOOKUP(A150,'Data shares'!$C$2:$CY$539,101,0)</f>
        <v>0.29220000000000002</v>
      </c>
      <c r="E150" s="86">
        <f>VLOOKUP($A150,'Data shares'!$C:$FA,74)</f>
        <v>22075</v>
      </c>
      <c r="F150" s="86">
        <f>VLOOKUP($A150,'Data shares'!$C:$FA,76)</f>
        <v>600</v>
      </c>
      <c r="G150" s="87">
        <f>VLOOKUP(A150,'Data shares'!$C$2:$CA$216,77,0)</f>
        <v>2.7900000000000001E-2</v>
      </c>
      <c r="H150" s="86">
        <f>VLOOKUP($A150,'Data shares'!$C:$FA,90)</f>
        <v>15525</v>
      </c>
      <c r="I150" s="86">
        <f>VLOOKUP($A150,'Data shares'!$C:$FA,92)</f>
        <v>4250</v>
      </c>
      <c r="J150" s="87">
        <f>VLOOKUP($A150,'Data shares'!$C:$FA,93)</f>
        <v>0.37690000000000001</v>
      </c>
      <c r="K150" s="86">
        <f>VLOOKUP($A150,'Data shares'!$C:$FA,94)</f>
        <v>25425</v>
      </c>
      <c r="L150" s="86">
        <f>VLOOKUP($A150,'Data shares'!$C:$FA,96)</f>
        <v>9400</v>
      </c>
      <c r="M150" s="87">
        <f>VLOOKUP($A150,'Data shares'!$C:$FA,97)</f>
        <v>0.58660000000000001</v>
      </c>
      <c r="N150" s="86">
        <f>VLOOKUP($A150,'Data shares'!$C:$FA,78)</f>
        <v>10000</v>
      </c>
      <c r="O150" s="87">
        <f>VLOOKUP($A150,'Data shares'!$C:$FA,81)</f>
        <v>-0.25790000000000002</v>
      </c>
    </row>
    <row r="151" spans="1:15" x14ac:dyDescent="0.25">
      <c r="A151" s="100" t="str">
        <f>'OI(Value)'!A151</f>
        <v>NMDC</v>
      </c>
      <c r="B151" s="82">
        <f>VLOOKUP(A151,'Data shares'!$C$2:$CV$216,98,0)</f>
        <v>566298000</v>
      </c>
      <c r="C151" s="82">
        <f>VLOOKUP(A151,'Data shares'!$C$2:$CX$216,100,0)</f>
        <v>7425000</v>
      </c>
      <c r="D151" s="141">
        <f>VLOOKUP(A151,'Data shares'!$C$2:$CY$539,101,0)</f>
        <v>1.3299999999999999E-2</v>
      </c>
      <c r="E151" s="86">
        <f>VLOOKUP($A151,'Data shares'!$C:$FA,74)</f>
        <v>303871500</v>
      </c>
      <c r="F151" s="86">
        <f>VLOOKUP($A151,'Data shares'!$C:$FA,76)</f>
        <v>1701000</v>
      </c>
      <c r="G151" s="87">
        <f>VLOOKUP(A151,'Data shares'!$C$2:$CA$216,77,0)</f>
        <v>5.5999999999999999E-3</v>
      </c>
      <c r="H151" s="86">
        <f>VLOOKUP($A151,'Data shares'!$C:$FA,90)</f>
        <v>161392500</v>
      </c>
      <c r="I151" s="86">
        <f>VLOOKUP($A151,'Data shares'!$C:$FA,92)</f>
        <v>1026000</v>
      </c>
      <c r="J151" s="87">
        <f>VLOOKUP($A151,'Data shares'!$C:$FA,93)</f>
        <v>6.4000000000000003E-3</v>
      </c>
      <c r="K151" s="86">
        <f>VLOOKUP($A151,'Data shares'!$C:$FA,94)</f>
        <v>101034000</v>
      </c>
      <c r="L151" s="86">
        <f>VLOOKUP($A151,'Data shares'!$C:$FA,96)</f>
        <v>4698000</v>
      </c>
      <c r="M151" s="87">
        <f>VLOOKUP($A151,'Data shares'!$C:$FA,97)</f>
        <v>4.8800000000000003E-2</v>
      </c>
      <c r="N151" s="86">
        <f>VLOOKUP($A151,'Data shares'!$C:$FA,78)</f>
        <v>49045500</v>
      </c>
      <c r="O151" s="87">
        <f>VLOOKUP($A151,'Data shares'!$C:$FA,81)</f>
        <v>-0.67569999999999997</v>
      </c>
    </row>
    <row r="152" spans="1:15" x14ac:dyDescent="0.25">
      <c r="A152" s="100" t="str">
        <f>'OI(Value)'!A152</f>
        <v>NTPC</v>
      </c>
      <c r="B152" s="82">
        <f>VLOOKUP(A152,'Data shares'!$C$2:$CV$216,98,0)</f>
        <v>172006500</v>
      </c>
      <c r="C152" s="82">
        <f>VLOOKUP(A152,'Data shares'!$C$2:$CX$216,100,0)</f>
        <v>1575000</v>
      </c>
      <c r="D152" s="141">
        <f>VLOOKUP(A152,'Data shares'!$C$2:$CY$539,101,0)</f>
        <v>9.1999999999999998E-3</v>
      </c>
      <c r="E152" s="86">
        <f>VLOOKUP($A152,'Data shares'!$C:$FA,74)</f>
        <v>104055000</v>
      </c>
      <c r="F152" s="86">
        <f>VLOOKUP($A152,'Data shares'!$C:$FA,76)</f>
        <v>541500</v>
      </c>
      <c r="G152" s="87">
        <f>VLOOKUP(A152,'Data shares'!$C$2:$CA$216,77,0)</f>
        <v>5.1999999999999998E-3</v>
      </c>
      <c r="H152" s="86">
        <f>VLOOKUP($A152,'Data shares'!$C:$FA,90)</f>
        <v>47178000</v>
      </c>
      <c r="I152" s="86">
        <f>VLOOKUP($A152,'Data shares'!$C:$FA,92)</f>
        <v>-952500</v>
      </c>
      <c r="J152" s="87">
        <f>VLOOKUP($A152,'Data shares'!$C:$FA,93)</f>
        <v>-1.9800000000000002E-2</v>
      </c>
      <c r="K152" s="86">
        <f>VLOOKUP($A152,'Data shares'!$C:$FA,94)</f>
        <v>20773500</v>
      </c>
      <c r="L152" s="86">
        <f>VLOOKUP($A152,'Data shares'!$C:$FA,96)</f>
        <v>1986000</v>
      </c>
      <c r="M152" s="87">
        <f>VLOOKUP($A152,'Data shares'!$C:$FA,97)</f>
        <v>0.1057</v>
      </c>
      <c r="N152" s="86">
        <f>VLOOKUP($A152,'Data shares'!$C:$FA,78)</f>
        <v>23490000</v>
      </c>
      <c r="O152" s="87">
        <f>VLOOKUP($A152,'Data shares'!$C:$FA,81)</f>
        <v>-0.5484</v>
      </c>
    </row>
    <row r="153" spans="1:15" x14ac:dyDescent="0.25">
      <c r="A153" s="100" t="str">
        <f>'OI(Value)'!A153</f>
        <v>NUVAMA</v>
      </c>
      <c r="B153" s="82">
        <f>VLOOKUP(A153,'Data shares'!$C$2:$CV$216,98,0)</f>
        <v>1108800</v>
      </c>
      <c r="C153" s="82">
        <f>VLOOKUP(A153,'Data shares'!$C$2:$CX$216,100,0)</f>
        <v>-56625</v>
      </c>
      <c r="D153" s="141">
        <f>VLOOKUP(A153,'Data shares'!$C$2:$CY$539,101,0)</f>
        <v>-4.8599999999999997E-2</v>
      </c>
      <c r="E153" s="86">
        <f>VLOOKUP($A153,'Data shares'!$C:$FA,74)</f>
        <v>523200</v>
      </c>
      <c r="F153" s="86">
        <f>VLOOKUP($A153,'Data shares'!$C:$FA,76)</f>
        <v>42225</v>
      </c>
      <c r="G153" s="87">
        <f>VLOOKUP(A153,'Data shares'!$C$2:$CA$216,77,0)</f>
        <v>8.7800000000000003E-2</v>
      </c>
      <c r="H153" s="86">
        <f>VLOOKUP($A153,'Data shares'!$C:$FA,90)</f>
        <v>332400</v>
      </c>
      <c r="I153" s="86">
        <f>VLOOKUP($A153,'Data shares'!$C:$FA,92)</f>
        <v>-70125</v>
      </c>
      <c r="J153" s="87">
        <f>VLOOKUP($A153,'Data shares'!$C:$FA,93)</f>
        <v>-0.17419999999999999</v>
      </c>
      <c r="K153" s="86">
        <f>VLOOKUP($A153,'Data shares'!$C:$FA,94)</f>
        <v>253200</v>
      </c>
      <c r="L153" s="86">
        <f>VLOOKUP($A153,'Data shares'!$C:$FA,96)</f>
        <v>-28725</v>
      </c>
      <c r="M153" s="87">
        <f>VLOOKUP($A153,'Data shares'!$C:$FA,97)</f>
        <v>-0.1019</v>
      </c>
      <c r="N153" s="86">
        <f>VLOOKUP($A153,'Data shares'!$C:$FA,78)</f>
        <v>179100</v>
      </c>
      <c r="O153" s="87">
        <f>VLOOKUP($A153,'Data shares'!$C:$FA,81)</f>
        <v>-0.28520000000000001</v>
      </c>
    </row>
    <row r="154" spans="1:15" x14ac:dyDescent="0.25">
      <c r="A154" s="100" t="str">
        <f>'OI(Value)'!A154</f>
        <v>NYKAA</v>
      </c>
      <c r="B154" s="82">
        <f>VLOOKUP(A154,'Data shares'!$C$2:$CV$216,98,0)</f>
        <v>90043750</v>
      </c>
      <c r="C154" s="82">
        <f>VLOOKUP(A154,'Data shares'!$C$2:$CX$216,100,0)</f>
        <v>-4628125</v>
      </c>
      <c r="D154" s="141">
        <f>VLOOKUP(A154,'Data shares'!$C$2:$CY$539,101,0)</f>
        <v>-4.8899999999999999E-2</v>
      </c>
      <c r="E154" s="86">
        <f>VLOOKUP($A154,'Data shares'!$C:$FA,74)</f>
        <v>65921875</v>
      </c>
      <c r="F154" s="86">
        <f>VLOOKUP($A154,'Data shares'!$C:$FA,76)</f>
        <v>-4225000</v>
      </c>
      <c r="G154" s="87">
        <f>VLOOKUP(A154,'Data shares'!$C$2:$CA$216,77,0)</f>
        <v>-6.0199999999999997E-2</v>
      </c>
      <c r="H154" s="86">
        <f>VLOOKUP($A154,'Data shares'!$C:$FA,90)</f>
        <v>13587500</v>
      </c>
      <c r="I154" s="86">
        <f>VLOOKUP($A154,'Data shares'!$C:$FA,92)</f>
        <v>-537500</v>
      </c>
      <c r="J154" s="87">
        <f>VLOOKUP($A154,'Data shares'!$C:$FA,93)</f>
        <v>-3.8100000000000002E-2</v>
      </c>
      <c r="K154" s="86">
        <f>VLOOKUP($A154,'Data shares'!$C:$FA,94)</f>
        <v>10534375</v>
      </c>
      <c r="L154" s="86">
        <f>VLOOKUP($A154,'Data shares'!$C:$FA,96)</f>
        <v>134375</v>
      </c>
      <c r="M154" s="87">
        <f>VLOOKUP($A154,'Data shares'!$C:$FA,97)</f>
        <v>1.29E-2</v>
      </c>
      <c r="N154" s="86">
        <f>VLOOKUP($A154,'Data shares'!$C:$FA,78)</f>
        <v>9525000</v>
      </c>
      <c r="O154" s="87">
        <f>VLOOKUP($A154,'Data shares'!$C:$FA,81)</f>
        <v>-0.60550000000000004</v>
      </c>
    </row>
    <row r="155" spans="1:15" x14ac:dyDescent="0.25">
      <c r="A155" s="100" t="str">
        <f>'OI(Value)'!A155</f>
        <v>OBEROIRLTY</v>
      </c>
      <c r="B155" s="82">
        <f>VLOOKUP(A155,'Data shares'!$C$2:$CV$216,98,0)</f>
        <v>8438150</v>
      </c>
      <c r="C155" s="82">
        <f>VLOOKUP(A155,'Data shares'!$C$2:$CX$216,100,0)</f>
        <v>-211050</v>
      </c>
      <c r="D155" s="141">
        <f>VLOOKUP(A155,'Data shares'!$C$2:$CY$539,101,0)</f>
        <v>-2.4400000000000002E-2</v>
      </c>
      <c r="E155" s="86">
        <f>VLOOKUP($A155,'Data shares'!$C:$FA,74)</f>
        <v>5020050</v>
      </c>
      <c r="F155" s="86">
        <f>VLOOKUP($A155,'Data shares'!$C:$FA,76)</f>
        <v>-80500</v>
      </c>
      <c r="G155" s="87">
        <f>VLOOKUP(A155,'Data shares'!$C$2:$CA$216,77,0)</f>
        <v>-1.5800000000000002E-2</v>
      </c>
      <c r="H155" s="86">
        <f>VLOOKUP($A155,'Data shares'!$C:$FA,90)</f>
        <v>2016000</v>
      </c>
      <c r="I155" s="86">
        <f>VLOOKUP($A155,'Data shares'!$C:$FA,92)</f>
        <v>-136150</v>
      </c>
      <c r="J155" s="87">
        <f>VLOOKUP($A155,'Data shares'!$C:$FA,93)</f>
        <v>-6.3299999999999995E-2</v>
      </c>
      <c r="K155" s="86">
        <f>VLOOKUP($A155,'Data shares'!$C:$FA,94)</f>
        <v>1402100</v>
      </c>
      <c r="L155" s="86">
        <f>VLOOKUP($A155,'Data shares'!$C:$FA,96)</f>
        <v>5600</v>
      </c>
      <c r="M155" s="87">
        <f>VLOOKUP($A155,'Data shares'!$C:$FA,97)</f>
        <v>4.0000000000000001E-3</v>
      </c>
      <c r="N155" s="86">
        <f>VLOOKUP($A155,'Data shares'!$C:$FA,78)</f>
        <v>905450</v>
      </c>
      <c r="O155" s="87">
        <f>VLOOKUP($A155,'Data shares'!$C:$FA,81)</f>
        <v>-0.56820000000000004</v>
      </c>
    </row>
    <row r="156" spans="1:15" x14ac:dyDescent="0.25">
      <c r="A156" s="100" t="str">
        <f>'OI(Value)'!A156</f>
        <v>OFSS</v>
      </c>
      <c r="B156" s="82">
        <f>VLOOKUP(A156,'Data shares'!$C$2:$CV$216,98,0)</f>
        <v>2650650</v>
      </c>
      <c r="C156" s="82">
        <f>VLOOKUP(A156,'Data shares'!$C$2:$CX$216,100,0)</f>
        <v>-355650</v>
      </c>
      <c r="D156" s="141">
        <f>VLOOKUP(A156,'Data shares'!$C$2:$CY$539,101,0)</f>
        <v>-0.1183</v>
      </c>
      <c r="E156" s="86">
        <f>VLOOKUP($A156,'Data shares'!$C:$FA,74)</f>
        <v>1353600</v>
      </c>
      <c r="F156" s="86">
        <f>VLOOKUP($A156,'Data shares'!$C:$FA,76)</f>
        <v>-154575</v>
      </c>
      <c r="G156" s="87">
        <f>VLOOKUP(A156,'Data shares'!$C$2:$CA$216,77,0)</f>
        <v>-0.10249999999999999</v>
      </c>
      <c r="H156" s="86">
        <f>VLOOKUP($A156,'Data shares'!$C:$FA,90)</f>
        <v>850050</v>
      </c>
      <c r="I156" s="86">
        <f>VLOOKUP($A156,'Data shares'!$C:$FA,92)</f>
        <v>-161100</v>
      </c>
      <c r="J156" s="87">
        <f>VLOOKUP($A156,'Data shares'!$C:$FA,93)</f>
        <v>-0.1593</v>
      </c>
      <c r="K156" s="86">
        <f>VLOOKUP($A156,'Data shares'!$C:$FA,94)</f>
        <v>447000</v>
      </c>
      <c r="L156" s="86">
        <f>VLOOKUP($A156,'Data shares'!$C:$FA,96)</f>
        <v>-39975</v>
      </c>
      <c r="M156" s="87">
        <f>VLOOKUP($A156,'Data shares'!$C:$FA,97)</f>
        <v>-8.2100000000000006E-2</v>
      </c>
      <c r="N156" s="86">
        <f>VLOOKUP($A156,'Data shares'!$C:$FA,78)</f>
        <v>358650</v>
      </c>
      <c r="O156" s="87">
        <f>VLOOKUP($A156,'Data shares'!$C:$FA,81)</f>
        <v>-0.50539999999999996</v>
      </c>
    </row>
    <row r="157" spans="1:15" x14ac:dyDescent="0.25">
      <c r="A157" s="100" t="str">
        <f>'OI(Value)'!A157</f>
        <v>OIL</v>
      </c>
      <c r="B157" s="82">
        <f>VLOOKUP(A157,'Data shares'!$C$2:$CV$216,98,0)</f>
        <v>19383000</v>
      </c>
      <c r="C157" s="82">
        <f>VLOOKUP(A157,'Data shares'!$C$2:$CX$216,100,0)</f>
        <v>-1703800</v>
      </c>
      <c r="D157" s="141">
        <f>VLOOKUP(A157,'Data shares'!$C$2:$CY$539,101,0)</f>
        <v>-8.0799999999999997E-2</v>
      </c>
      <c r="E157" s="86">
        <f>VLOOKUP($A157,'Data shares'!$C:$FA,74)</f>
        <v>10941000</v>
      </c>
      <c r="F157" s="86">
        <f>VLOOKUP($A157,'Data shares'!$C:$FA,76)</f>
        <v>-197400</v>
      </c>
      <c r="G157" s="87">
        <f>VLOOKUP(A157,'Data shares'!$C$2:$CA$216,77,0)</f>
        <v>-1.77E-2</v>
      </c>
      <c r="H157" s="86">
        <f>VLOOKUP($A157,'Data shares'!$C:$FA,90)</f>
        <v>5118400</v>
      </c>
      <c r="I157" s="86">
        <f>VLOOKUP($A157,'Data shares'!$C:$FA,92)</f>
        <v>-1457400</v>
      </c>
      <c r="J157" s="87">
        <f>VLOOKUP($A157,'Data shares'!$C:$FA,93)</f>
        <v>-0.22159999999999999</v>
      </c>
      <c r="K157" s="86">
        <f>VLOOKUP($A157,'Data shares'!$C:$FA,94)</f>
        <v>3323600</v>
      </c>
      <c r="L157" s="86">
        <f>VLOOKUP($A157,'Data shares'!$C:$FA,96)</f>
        <v>-49000</v>
      </c>
      <c r="M157" s="87">
        <f>VLOOKUP($A157,'Data shares'!$C:$FA,97)</f>
        <v>-1.4500000000000001E-2</v>
      </c>
      <c r="N157" s="86">
        <f>VLOOKUP($A157,'Data shares'!$C:$FA,78)</f>
        <v>2567600</v>
      </c>
      <c r="O157" s="87">
        <f>VLOOKUP($A157,'Data shares'!$C:$FA,81)</f>
        <v>-0.43030000000000002</v>
      </c>
    </row>
    <row r="158" spans="1:15" x14ac:dyDescent="0.25">
      <c r="A158" s="100" t="str">
        <f>'OI(Value)'!A158</f>
        <v>ONGC</v>
      </c>
      <c r="B158" s="82">
        <f>VLOOKUP(A158,'Data shares'!$C$2:$CV$216,98,0)</f>
        <v>214229250</v>
      </c>
      <c r="C158" s="82">
        <f>VLOOKUP(A158,'Data shares'!$C$2:$CX$216,100,0)</f>
        <v>-4898250</v>
      </c>
      <c r="D158" s="141">
        <f>VLOOKUP(A158,'Data shares'!$C$2:$CY$539,101,0)</f>
        <v>-2.24E-2</v>
      </c>
      <c r="E158" s="86">
        <f>VLOOKUP($A158,'Data shares'!$C:$FA,74)</f>
        <v>115418250</v>
      </c>
      <c r="F158" s="86">
        <f>VLOOKUP($A158,'Data shares'!$C:$FA,76)</f>
        <v>848250</v>
      </c>
      <c r="G158" s="87">
        <f>VLOOKUP(A158,'Data shares'!$C$2:$CA$216,77,0)</f>
        <v>7.4000000000000003E-3</v>
      </c>
      <c r="H158" s="86">
        <f>VLOOKUP($A158,'Data shares'!$C:$FA,90)</f>
        <v>58428000</v>
      </c>
      <c r="I158" s="86">
        <f>VLOOKUP($A158,'Data shares'!$C:$FA,92)</f>
        <v>-4178250</v>
      </c>
      <c r="J158" s="87">
        <f>VLOOKUP($A158,'Data shares'!$C:$FA,93)</f>
        <v>-6.6699999999999995E-2</v>
      </c>
      <c r="K158" s="86">
        <f>VLOOKUP($A158,'Data shares'!$C:$FA,94)</f>
        <v>40383000</v>
      </c>
      <c r="L158" s="86">
        <f>VLOOKUP($A158,'Data shares'!$C:$FA,96)</f>
        <v>-1568250</v>
      </c>
      <c r="M158" s="87">
        <f>VLOOKUP($A158,'Data shares'!$C:$FA,97)</f>
        <v>-3.7400000000000003E-2</v>
      </c>
      <c r="N158" s="86">
        <f>VLOOKUP($A158,'Data shares'!$C:$FA,78)</f>
        <v>35946000</v>
      </c>
      <c r="O158" s="87">
        <f>VLOOKUP($A158,'Data shares'!$C:$FA,81)</f>
        <v>-0.43869999999999998</v>
      </c>
    </row>
    <row r="159" spans="1:15" x14ac:dyDescent="0.25">
      <c r="A159" s="100" t="str">
        <f>'OI(Value)'!A159</f>
        <v>PAGEIND</v>
      </c>
      <c r="B159" s="82">
        <f>VLOOKUP(A159,'Data shares'!$C$2:$CV$216,98,0)</f>
        <v>357885</v>
      </c>
      <c r="C159" s="82">
        <f>VLOOKUP(A159,'Data shares'!$C$2:$CX$216,100,0)</f>
        <v>-25275</v>
      </c>
      <c r="D159" s="141">
        <f>VLOOKUP(A159,'Data shares'!$C$2:$CY$539,101,0)</f>
        <v>-6.6000000000000003E-2</v>
      </c>
      <c r="E159" s="86">
        <f>VLOOKUP($A159,'Data shares'!$C:$FA,74)</f>
        <v>227010</v>
      </c>
      <c r="F159" s="86">
        <f>VLOOKUP($A159,'Data shares'!$C:$FA,76)</f>
        <v>-6150</v>
      </c>
      <c r="G159" s="87">
        <f>VLOOKUP(A159,'Data shares'!$C$2:$CA$216,77,0)</f>
        <v>-2.64E-2</v>
      </c>
      <c r="H159" s="86">
        <f>VLOOKUP($A159,'Data shares'!$C:$FA,90)</f>
        <v>89430</v>
      </c>
      <c r="I159" s="86">
        <f>VLOOKUP($A159,'Data shares'!$C:$FA,92)</f>
        <v>-18075</v>
      </c>
      <c r="J159" s="87">
        <f>VLOOKUP($A159,'Data shares'!$C:$FA,93)</f>
        <v>-0.1681</v>
      </c>
      <c r="K159" s="86">
        <f>VLOOKUP($A159,'Data shares'!$C:$FA,94)</f>
        <v>41445</v>
      </c>
      <c r="L159" s="86">
        <f>VLOOKUP($A159,'Data shares'!$C:$FA,96)</f>
        <v>-1050</v>
      </c>
      <c r="M159" s="87">
        <f>VLOOKUP($A159,'Data shares'!$C:$FA,97)</f>
        <v>-2.47E-2</v>
      </c>
      <c r="N159" s="86">
        <f>VLOOKUP($A159,'Data shares'!$C:$FA,78)</f>
        <v>28380</v>
      </c>
      <c r="O159" s="87">
        <f>VLOOKUP($A159,'Data shares'!$C:$FA,81)</f>
        <v>-0.65820000000000001</v>
      </c>
    </row>
    <row r="160" spans="1:15" x14ac:dyDescent="0.25">
      <c r="A160" s="100" t="str">
        <f>'OI(Value)'!A160</f>
        <v>PATANJALI</v>
      </c>
      <c r="B160" s="82">
        <f>VLOOKUP(A160,'Data shares'!$C$2:$CV$216,98,0)</f>
        <v>41664600</v>
      </c>
      <c r="C160" s="82">
        <f>VLOOKUP(A160,'Data shares'!$C$2:$CX$216,100,0)</f>
        <v>-536400</v>
      </c>
      <c r="D160" s="141">
        <f>VLOOKUP(A160,'Data shares'!$C$2:$CY$539,101,0)</f>
        <v>-1.2699999999999999E-2</v>
      </c>
      <c r="E160" s="86">
        <f>VLOOKUP($A160,'Data shares'!$C:$FA,74)</f>
        <v>33718500</v>
      </c>
      <c r="F160" s="86">
        <f>VLOOKUP($A160,'Data shares'!$C:$FA,76)</f>
        <v>268200</v>
      </c>
      <c r="G160" s="87">
        <f>VLOOKUP(A160,'Data shares'!$C$2:$CA$216,77,0)</f>
        <v>8.0000000000000002E-3</v>
      </c>
      <c r="H160" s="86">
        <f>VLOOKUP($A160,'Data shares'!$C:$FA,90)</f>
        <v>5058900</v>
      </c>
      <c r="I160" s="86">
        <f>VLOOKUP($A160,'Data shares'!$C:$FA,92)</f>
        <v>-816300</v>
      </c>
      <c r="J160" s="87">
        <f>VLOOKUP($A160,'Data shares'!$C:$FA,93)</f>
        <v>-0.1389</v>
      </c>
      <c r="K160" s="86">
        <f>VLOOKUP($A160,'Data shares'!$C:$FA,94)</f>
        <v>2887200</v>
      </c>
      <c r="L160" s="86">
        <f>VLOOKUP($A160,'Data shares'!$C:$FA,96)</f>
        <v>11700</v>
      </c>
      <c r="M160" s="87">
        <f>VLOOKUP($A160,'Data shares'!$C:$FA,97)</f>
        <v>4.1000000000000003E-3</v>
      </c>
      <c r="N160" s="86">
        <f>VLOOKUP($A160,'Data shares'!$C:$FA,78)</f>
        <v>9384300</v>
      </c>
      <c r="O160" s="87">
        <f>VLOOKUP($A160,'Data shares'!$C:$FA,81)</f>
        <v>-0.52829999999999999</v>
      </c>
    </row>
    <row r="161" spans="1:15" x14ac:dyDescent="0.25">
      <c r="A161" s="100" t="str">
        <f>'OI(Value)'!A161</f>
        <v>PAYTM</v>
      </c>
      <c r="B161" s="82">
        <f>VLOOKUP(A161,'Data shares'!$C$2:$CV$216,98,0)</f>
        <v>36784325</v>
      </c>
      <c r="C161" s="82">
        <f>VLOOKUP(A161,'Data shares'!$C$2:$CX$216,100,0)</f>
        <v>-411075</v>
      </c>
      <c r="D161" s="141">
        <f>VLOOKUP(A161,'Data shares'!$C$2:$CY$539,101,0)</f>
        <v>-1.11E-2</v>
      </c>
      <c r="E161" s="86">
        <f>VLOOKUP($A161,'Data shares'!$C:$FA,74)</f>
        <v>23125325</v>
      </c>
      <c r="F161" s="86">
        <f>VLOOKUP($A161,'Data shares'!$C:$FA,76)</f>
        <v>56550</v>
      </c>
      <c r="G161" s="87">
        <f>VLOOKUP(A161,'Data shares'!$C$2:$CA$216,77,0)</f>
        <v>2.5000000000000001E-3</v>
      </c>
      <c r="H161" s="86">
        <f>VLOOKUP($A161,'Data shares'!$C:$FA,90)</f>
        <v>7414575</v>
      </c>
      <c r="I161" s="86">
        <f>VLOOKUP($A161,'Data shares'!$C:$FA,92)</f>
        <v>-94250</v>
      </c>
      <c r="J161" s="87">
        <f>VLOOKUP($A161,'Data shares'!$C:$FA,93)</f>
        <v>-1.26E-2</v>
      </c>
      <c r="K161" s="86">
        <f>VLOOKUP($A161,'Data shares'!$C:$FA,94)</f>
        <v>6244425</v>
      </c>
      <c r="L161" s="86">
        <f>VLOOKUP($A161,'Data shares'!$C:$FA,96)</f>
        <v>-373375</v>
      </c>
      <c r="M161" s="87">
        <f>VLOOKUP($A161,'Data shares'!$C:$FA,97)</f>
        <v>-5.6399999999999999E-2</v>
      </c>
      <c r="N161" s="86">
        <f>VLOOKUP($A161,'Data shares'!$C:$FA,78)</f>
        <v>3008750</v>
      </c>
      <c r="O161" s="87">
        <f>VLOOKUP($A161,'Data shares'!$C:$FA,81)</f>
        <v>-0.6704</v>
      </c>
    </row>
    <row r="162" spans="1:15" x14ac:dyDescent="0.25">
      <c r="A162" s="100" t="str">
        <f>'OI(Value)'!A162</f>
        <v>PERSISTENT</v>
      </c>
      <c r="B162" s="82">
        <f>VLOOKUP(A162,'Data shares'!$C$2:$CV$216,98,0)</f>
        <v>5535200</v>
      </c>
      <c r="C162" s="82">
        <f>VLOOKUP(A162,'Data shares'!$C$2:$CX$216,100,0)</f>
        <v>-608400</v>
      </c>
      <c r="D162" s="141">
        <f>VLOOKUP(A162,'Data shares'!$C$2:$CY$539,101,0)</f>
        <v>-9.9000000000000005E-2</v>
      </c>
      <c r="E162" s="86">
        <f>VLOOKUP($A162,'Data shares'!$C:$FA,74)</f>
        <v>3000200</v>
      </c>
      <c r="F162" s="86">
        <f>VLOOKUP($A162,'Data shares'!$C:$FA,76)</f>
        <v>-65400</v>
      </c>
      <c r="G162" s="87">
        <f>VLOOKUP(A162,'Data shares'!$C$2:$CA$216,77,0)</f>
        <v>-2.1299999999999999E-2</v>
      </c>
      <c r="H162" s="86">
        <f>VLOOKUP($A162,'Data shares'!$C:$FA,90)</f>
        <v>1308600</v>
      </c>
      <c r="I162" s="86">
        <f>VLOOKUP($A162,'Data shares'!$C:$FA,92)</f>
        <v>-213700</v>
      </c>
      <c r="J162" s="87">
        <f>VLOOKUP($A162,'Data shares'!$C:$FA,93)</f>
        <v>-0.1404</v>
      </c>
      <c r="K162" s="86">
        <f>VLOOKUP($A162,'Data shares'!$C:$FA,94)</f>
        <v>1226400</v>
      </c>
      <c r="L162" s="86">
        <f>VLOOKUP($A162,'Data shares'!$C:$FA,96)</f>
        <v>-329300</v>
      </c>
      <c r="M162" s="87">
        <f>VLOOKUP($A162,'Data shares'!$C:$FA,97)</f>
        <v>-0.2117</v>
      </c>
      <c r="N162" s="86">
        <f>VLOOKUP($A162,'Data shares'!$C:$FA,78)</f>
        <v>677300</v>
      </c>
      <c r="O162" s="87">
        <f>VLOOKUP($A162,'Data shares'!$C:$FA,81)</f>
        <v>-0.51329999999999998</v>
      </c>
    </row>
    <row r="163" spans="1:15" x14ac:dyDescent="0.25">
      <c r="A163" s="100" t="str">
        <f>'OI(Value)'!A163</f>
        <v>PETRONET</v>
      </c>
      <c r="B163" s="82">
        <f>VLOOKUP(A163,'Data shares'!$C$2:$CV$216,98,0)</f>
        <v>76120200</v>
      </c>
      <c r="C163" s="82">
        <f>VLOOKUP(A163,'Data shares'!$C$2:$CX$216,100,0)</f>
        <v>2023200</v>
      </c>
      <c r="D163" s="141">
        <f>VLOOKUP(A163,'Data shares'!$C$2:$CY$539,101,0)</f>
        <v>2.7300000000000001E-2</v>
      </c>
      <c r="E163" s="86">
        <f>VLOOKUP($A163,'Data shares'!$C:$FA,74)</f>
        <v>43747200</v>
      </c>
      <c r="F163" s="86">
        <f>VLOOKUP($A163,'Data shares'!$C:$FA,76)</f>
        <v>525600</v>
      </c>
      <c r="G163" s="87">
        <f>VLOOKUP(A163,'Data shares'!$C$2:$CA$216,77,0)</f>
        <v>1.2200000000000001E-2</v>
      </c>
      <c r="H163" s="86">
        <f>VLOOKUP($A163,'Data shares'!$C:$FA,90)</f>
        <v>15465600</v>
      </c>
      <c r="I163" s="86">
        <f>VLOOKUP($A163,'Data shares'!$C:$FA,92)</f>
        <v>687600</v>
      </c>
      <c r="J163" s="87">
        <f>VLOOKUP($A163,'Data shares'!$C:$FA,93)</f>
        <v>4.65E-2</v>
      </c>
      <c r="K163" s="86">
        <f>VLOOKUP($A163,'Data shares'!$C:$FA,94)</f>
        <v>16907400</v>
      </c>
      <c r="L163" s="86">
        <f>VLOOKUP($A163,'Data shares'!$C:$FA,96)</f>
        <v>810000</v>
      </c>
      <c r="M163" s="87">
        <f>VLOOKUP($A163,'Data shares'!$C:$FA,97)</f>
        <v>5.0299999999999997E-2</v>
      </c>
      <c r="N163" s="86">
        <f>VLOOKUP($A163,'Data shares'!$C:$FA,78)</f>
        <v>4750200</v>
      </c>
      <c r="O163" s="87">
        <f>VLOOKUP($A163,'Data shares'!$C:$FA,81)</f>
        <v>-0.68159999999999998</v>
      </c>
    </row>
    <row r="164" spans="1:15" x14ac:dyDescent="0.25">
      <c r="A164" s="100" t="str">
        <f>'OI(Value)'!A164</f>
        <v>PFC</v>
      </c>
      <c r="B164" s="82">
        <f>VLOOKUP(A164,'Data shares'!$C$2:$CV$216,98,0)</f>
        <v>112448700</v>
      </c>
      <c r="C164" s="82">
        <f>VLOOKUP(A164,'Data shares'!$C$2:$CX$216,100,0)</f>
        <v>-899600</v>
      </c>
      <c r="D164" s="141">
        <f>VLOOKUP(A164,'Data shares'!$C$2:$CY$539,101,0)</f>
        <v>-7.9000000000000008E-3</v>
      </c>
      <c r="E164" s="86">
        <f>VLOOKUP($A164,'Data shares'!$C:$FA,74)</f>
        <v>62792600</v>
      </c>
      <c r="F164" s="86">
        <f>VLOOKUP($A164,'Data shares'!$C:$FA,76)</f>
        <v>171600</v>
      </c>
      <c r="G164" s="87">
        <f>VLOOKUP(A164,'Data shares'!$C$2:$CA$216,77,0)</f>
        <v>2.7000000000000001E-3</v>
      </c>
      <c r="H164" s="86">
        <f>VLOOKUP($A164,'Data shares'!$C:$FA,90)</f>
        <v>27072500</v>
      </c>
      <c r="I164" s="86">
        <f>VLOOKUP($A164,'Data shares'!$C:$FA,92)</f>
        <v>-959400</v>
      </c>
      <c r="J164" s="87">
        <f>VLOOKUP($A164,'Data shares'!$C:$FA,93)</f>
        <v>-3.4200000000000001E-2</v>
      </c>
      <c r="K164" s="86">
        <f>VLOOKUP($A164,'Data shares'!$C:$FA,94)</f>
        <v>22583600</v>
      </c>
      <c r="L164" s="86">
        <f>VLOOKUP($A164,'Data shares'!$C:$FA,96)</f>
        <v>-111800</v>
      </c>
      <c r="M164" s="87">
        <f>VLOOKUP($A164,'Data shares'!$C:$FA,97)</f>
        <v>-4.8999999999999998E-3</v>
      </c>
      <c r="N164" s="86">
        <f>VLOOKUP($A164,'Data shares'!$C:$FA,78)</f>
        <v>18584800</v>
      </c>
      <c r="O164" s="87">
        <f>VLOOKUP($A164,'Data shares'!$C:$FA,81)</f>
        <v>-0.37859999999999999</v>
      </c>
    </row>
    <row r="165" spans="1:15" x14ac:dyDescent="0.25">
      <c r="A165" s="100" t="str">
        <f>'OI(Value)'!A165</f>
        <v>PGEL</v>
      </c>
      <c r="B165" s="82">
        <f>VLOOKUP(A165,'Data shares'!$C$2:$CV$216,98,0)</f>
        <v>17961300</v>
      </c>
      <c r="C165" s="82">
        <f>VLOOKUP(A165,'Data shares'!$C$2:$CX$216,100,0)</f>
        <v>-1271900</v>
      </c>
      <c r="D165" s="141">
        <f>VLOOKUP(A165,'Data shares'!$C$2:$CY$539,101,0)</f>
        <v>-6.6100000000000006E-2</v>
      </c>
      <c r="E165" s="86">
        <f>VLOOKUP($A165,'Data shares'!$C:$FA,74)</f>
        <v>8120700</v>
      </c>
      <c r="F165" s="86">
        <f>VLOOKUP($A165,'Data shares'!$C:$FA,76)</f>
        <v>-188300</v>
      </c>
      <c r="G165" s="87">
        <f>VLOOKUP(A165,'Data shares'!$C$2:$CA$216,77,0)</f>
        <v>-2.2700000000000001E-2</v>
      </c>
      <c r="H165" s="86">
        <f>VLOOKUP($A165,'Data shares'!$C:$FA,90)</f>
        <v>5841500</v>
      </c>
      <c r="I165" s="86">
        <f>VLOOKUP($A165,'Data shares'!$C:$FA,92)</f>
        <v>-651700</v>
      </c>
      <c r="J165" s="87">
        <f>VLOOKUP($A165,'Data shares'!$C:$FA,93)</f>
        <v>-0.1004</v>
      </c>
      <c r="K165" s="86">
        <f>VLOOKUP($A165,'Data shares'!$C:$FA,94)</f>
        <v>3999100</v>
      </c>
      <c r="L165" s="86">
        <f>VLOOKUP($A165,'Data shares'!$C:$FA,96)</f>
        <v>-431900</v>
      </c>
      <c r="M165" s="87">
        <f>VLOOKUP($A165,'Data shares'!$C:$FA,97)</f>
        <v>-9.7500000000000003E-2</v>
      </c>
      <c r="N165" s="86">
        <f>VLOOKUP($A165,'Data shares'!$C:$FA,78)</f>
        <v>2193800</v>
      </c>
      <c r="O165" s="87">
        <f>VLOOKUP($A165,'Data shares'!$C:$FA,81)</f>
        <v>-0.51139999999999997</v>
      </c>
    </row>
    <row r="166" spans="1:15" x14ac:dyDescent="0.25">
      <c r="A166" s="100" t="str">
        <f>'OI(Value)'!A166</f>
        <v>PHOENIXLTD</v>
      </c>
      <c r="B166" s="82">
        <f>VLOOKUP(A166,'Data shares'!$C$2:$CV$216,98,0)</f>
        <v>6290200</v>
      </c>
      <c r="C166" s="82">
        <f>VLOOKUP(A166,'Data shares'!$C$2:$CX$216,100,0)</f>
        <v>-10850</v>
      </c>
      <c r="D166" s="141">
        <f>VLOOKUP(A166,'Data shares'!$C$2:$CY$539,101,0)</f>
        <v>-1.6999999999999999E-3</v>
      </c>
      <c r="E166" s="86">
        <f>VLOOKUP($A166,'Data shares'!$C:$FA,74)</f>
        <v>4307100</v>
      </c>
      <c r="F166" s="86">
        <f>VLOOKUP($A166,'Data shares'!$C:$FA,76)</f>
        <v>244300</v>
      </c>
      <c r="G166" s="87">
        <f>VLOOKUP(A166,'Data shares'!$C$2:$CA$216,77,0)</f>
        <v>6.0100000000000001E-2</v>
      </c>
      <c r="H166" s="86">
        <f>VLOOKUP($A166,'Data shares'!$C:$FA,90)</f>
        <v>1208200</v>
      </c>
      <c r="I166" s="86">
        <f>VLOOKUP($A166,'Data shares'!$C:$FA,92)</f>
        <v>-156100</v>
      </c>
      <c r="J166" s="87">
        <f>VLOOKUP($A166,'Data shares'!$C:$FA,93)</f>
        <v>-0.1144</v>
      </c>
      <c r="K166" s="86">
        <f>VLOOKUP($A166,'Data shares'!$C:$FA,94)</f>
        <v>774900</v>
      </c>
      <c r="L166" s="86">
        <f>VLOOKUP($A166,'Data shares'!$C:$FA,96)</f>
        <v>-99050</v>
      </c>
      <c r="M166" s="87">
        <f>VLOOKUP($A166,'Data shares'!$C:$FA,97)</f>
        <v>-0.1133</v>
      </c>
      <c r="N166" s="86">
        <f>VLOOKUP($A166,'Data shares'!$C:$FA,78)</f>
        <v>449050</v>
      </c>
      <c r="O166" s="87">
        <f>VLOOKUP($A166,'Data shares'!$C:$FA,81)</f>
        <v>-0.73350000000000004</v>
      </c>
    </row>
    <row r="167" spans="1:15" x14ac:dyDescent="0.25">
      <c r="A167" s="100" t="str">
        <f>'OI(Value)'!A167</f>
        <v>PIDILITIND</v>
      </c>
      <c r="B167" s="82">
        <f>VLOOKUP(A167,'Data shares'!$C$2:$CV$216,98,0)</f>
        <v>11900000</v>
      </c>
      <c r="C167" s="82">
        <f>VLOOKUP(A167,'Data shares'!$C$2:$CX$216,100,0)</f>
        <v>-621500</v>
      </c>
      <c r="D167" s="141">
        <f>VLOOKUP(A167,'Data shares'!$C$2:$CY$539,101,0)</f>
        <v>-4.9599999999999998E-2</v>
      </c>
      <c r="E167" s="86">
        <f>VLOOKUP($A167,'Data shares'!$C:$FA,74)</f>
        <v>9610500</v>
      </c>
      <c r="F167" s="86">
        <f>VLOOKUP($A167,'Data shares'!$C:$FA,76)</f>
        <v>-167500</v>
      </c>
      <c r="G167" s="87">
        <f>VLOOKUP(A167,'Data shares'!$C$2:$CA$216,77,0)</f>
        <v>-1.7100000000000001E-2</v>
      </c>
      <c r="H167" s="86">
        <f>VLOOKUP($A167,'Data shares'!$C:$FA,90)</f>
        <v>1203500</v>
      </c>
      <c r="I167" s="86">
        <f>VLOOKUP($A167,'Data shares'!$C:$FA,92)</f>
        <v>-146000</v>
      </c>
      <c r="J167" s="87">
        <f>VLOOKUP($A167,'Data shares'!$C:$FA,93)</f>
        <v>-0.1082</v>
      </c>
      <c r="K167" s="86">
        <f>VLOOKUP($A167,'Data shares'!$C:$FA,94)</f>
        <v>1086000</v>
      </c>
      <c r="L167" s="86">
        <f>VLOOKUP($A167,'Data shares'!$C:$FA,96)</f>
        <v>-308000</v>
      </c>
      <c r="M167" s="87">
        <f>VLOOKUP($A167,'Data shares'!$C:$FA,97)</f>
        <v>-0.22090000000000001</v>
      </c>
      <c r="N167" s="86">
        <f>VLOOKUP($A167,'Data shares'!$C:$FA,78)</f>
        <v>1696500</v>
      </c>
      <c r="O167" s="87">
        <f>VLOOKUP($A167,'Data shares'!$C:$FA,81)</f>
        <v>-0.61929999999999996</v>
      </c>
    </row>
    <row r="168" spans="1:15" x14ac:dyDescent="0.25">
      <c r="A168" s="100" t="str">
        <f>'OI(Value)'!A168</f>
        <v>PIIND</v>
      </c>
      <c r="B168" s="82">
        <f>VLOOKUP(A168,'Data shares'!$C$2:$CV$216,98,0)</f>
        <v>2711975</v>
      </c>
      <c r="C168" s="82">
        <f>VLOOKUP(A168,'Data shares'!$C$2:$CX$216,100,0)</f>
        <v>-52675</v>
      </c>
      <c r="D168" s="141">
        <f>VLOOKUP(A168,'Data shares'!$C$2:$CY$539,101,0)</f>
        <v>-1.9099999999999999E-2</v>
      </c>
      <c r="E168" s="86">
        <f>VLOOKUP($A168,'Data shares'!$C:$FA,74)</f>
        <v>1748950</v>
      </c>
      <c r="F168" s="86">
        <f>VLOOKUP($A168,'Data shares'!$C:$FA,76)</f>
        <v>-37975</v>
      </c>
      <c r="G168" s="87">
        <f>VLOOKUP(A168,'Data shares'!$C$2:$CA$216,77,0)</f>
        <v>-2.1299999999999999E-2</v>
      </c>
      <c r="H168" s="86">
        <f>VLOOKUP($A168,'Data shares'!$C:$FA,90)</f>
        <v>583800</v>
      </c>
      <c r="I168" s="86">
        <f>VLOOKUP($A168,'Data shares'!$C:$FA,92)</f>
        <v>-17325</v>
      </c>
      <c r="J168" s="87">
        <f>VLOOKUP($A168,'Data shares'!$C:$FA,93)</f>
        <v>-2.8799999999999999E-2</v>
      </c>
      <c r="K168" s="86">
        <f>VLOOKUP($A168,'Data shares'!$C:$FA,94)</f>
        <v>379225</v>
      </c>
      <c r="L168" s="86">
        <f>VLOOKUP($A168,'Data shares'!$C:$FA,96)</f>
        <v>2625</v>
      </c>
      <c r="M168" s="87">
        <f>VLOOKUP($A168,'Data shares'!$C:$FA,97)</f>
        <v>7.0000000000000001E-3</v>
      </c>
      <c r="N168" s="86">
        <f>VLOOKUP($A168,'Data shares'!$C:$FA,78)</f>
        <v>167125</v>
      </c>
      <c r="O168" s="87">
        <f>VLOOKUP($A168,'Data shares'!$C:$FA,81)</f>
        <v>-0.68600000000000005</v>
      </c>
    </row>
    <row r="169" spans="1:15" x14ac:dyDescent="0.25">
      <c r="A169" s="100" t="str">
        <f>'OI(Value)'!A169</f>
        <v>PNB</v>
      </c>
      <c r="B169" s="82">
        <f>VLOOKUP(A169,'Data shares'!$C$2:$CV$216,98,0)</f>
        <v>518120000</v>
      </c>
      <c r="C169" s="82">
        <f>VLOOKUP(A169,'Data shares'!$C$2:$CX$216,100,0)</f>
        <v>-16032000</v>
      </c>
      <c r="D169" s="141">
        <f>VLOOKUP(A169,'Data shares'!$C$2:$CY$539,101,0)</f>
        <v>-0.03</v>
      </c>
      <c r="E169" s="86">
        <f>VLOOKUP($A169,'Data shares'!$C:$FA,74)</f>
        <v>230872000</v>
      </c>
      <c r="F169" s="86">
        <f>VLOOKUP($A169,'Data shares'!$C:$FA,76)</f>
        <v>-8288000</v>
      </c>
      <c r="G169" s="87">
        <f>VLOOKUP(A169,'Data shares'!$C$2:$CA$216,77,0)</f>
        <v>-3.4700000000000002E-2</v>
      </c>
      <c r="H169" s="86">
        <f>VLOOKUP($A169,'Data shares'!$C:$FA,90)</f>
        <v>154352000</v>
      </c>
      <c r="I169" s="86">
        <f>VLOOKUP($A169,'Data shares'!$C:$FA,92)</f>
        <v>-13272000</v>
      </c>
      <c r="J169" s="87">
        <f>VLOOKUP($A169,'Data shares'!$C:$FA,93)</f>
        <v>-7.9200000000000007E-2</v>
      </c>
      <c r="K169" s="86">
        <f>VLOOKUP($A169,'Data shares'!$C:$FA,94)</f>
        <v>132896000</v>
      </c>
      <c r="L169" s="86">
        <f>VLOOKUP($A169,'Data shares'!$C:$FA,96)</f>
        <v>5528000</v>
      </c>
      <c r="M169" s="87">
        <f>VLOOKUP($A169,'Data shares'!$C:$FA,97)</f>
        <v>4.3400000000000001E-2</v>
      </c>
      <c r="N169" s="86">
        <f>VLOOKUP($A169,'Data shares'!$C:$FA,78)</f>
        <v>37864000</v>
      </c>
      <c r="O169" s="87">
        <f>VLOOKUP($A169,'Data shares'!$C:$FA,81)</f>
        <v>-0.65880000000000005</v>
      </c>
    </row>
    <row r="170" spans="1:15" x14ac:dyDescent="0.25">
      <c r="A170" s="100" t="str">
        <f>'OI(Value)'!A170</f>
        <v>PNBHOUSING</v>
      </c>
      <c r="B170" s="82">
        <f>VLOOKUP(A170,'Data shares'!$C$2:$CV$216,98,0)</f>
        <v>29216200</v>
      </c>
      <c r="C170" s="82">
        <f>VLOOKUP(A170,'Data shares'!$C$2:$CX$216,100,0)</f>
        <v>2791750</v>
      </c>
      <c r="D170" s="141">
        <f>VLOOKUP(A170,'Data shares'!$C$2:$CY$539,101,0)</f>
        <v>0.1057</v>
      </c>
      <c r="E170" s="86">
        <f>VLOOKUP($A170,'Data shares'!$C:$FA,74)</f>
        <v>16807700</v>
      </c>
      <c r="F170" s="86">
        <f>VLOOKUP($A170,'Data shares'!$C:$FA,76)</f>
        <v>447200</v>
      </c>
      <c r="G170" s="87">
        <f>VLOOKUP(A170,'Data shares'!$C$2:$CA$216,77,0)</f>
        <v>2.7300000000000001E-2</v>
      </c>
      <c r="H170" s="86">
        <f>VLOOKUP($A170,'Data shares'!$C:$FA,90)</f>
        <v>6634550</v>
      </c>
      <c r="I170" s="86">
        <f>VLOOKUP($A170,'Data shares'!$C:$FA,92)</f>
        <v>1628900</v>
      </c>
      <c r="J170" s="87">
        <f>VLOOKUP($A170,'Data shares'!$C:$FA,93)</f>
        <v>0.32540000000000002</v>
      </c>
      <c r="K170" s="86">
        <f>VLOOKUP($A170,'Data shares'!$C:$FA,94)</f>
        <v>5773950</v>
      </c>
      <c r="L170" s="86">
        <f>VLOOKUP($A170,'Data shares'!$C:$FA,96)</f>
        <v>715650</v>
      </c>
      <c r="M170" s="87">
        <f>VLOOKUP($A170,'Data shares'!$C:$FA,97)</f>
        <v>0.14149999999999999</v>
      </c>
      <c r="N170" s="86">
        <f>VLOOKUP($A170,'Data shares'!$C:$FA,78)</f>
        <v>2838550</v>
      </c>
      <c r="O170" s="87">
        <f>VLOOKUP($A170,'Data shares'!$C:$FA,81)</f>
        <v>-0.60970000000000002</v>
      </c>
    </row>
    <row r="171" spans="1:15" x14ac:dyDescent="0.25">
      <c r="A171" s="100" t="str">
        <f>'OI(Value)'!A171</f>
        <v>POLICYBZR</v>
      </c>
      <c r="B171" s="82">
        <f>VLOOKUP(A171,'Data shares'!$C$2:$CV$216,98,0)</f>
        <v>11090800</v>
      </c>
      <c r="C171" s="82">
        <f>VLOOKUP(A171,'Data shares'!$C$2:$CX$216,100,0)</f>
        <v>-29400</v>
      </c>
      <c r="D171" s="141">
        <f>VLOOKUP(A171,'Data shares'!$C$2:$CY$539,101,0)</f>
        <v>-2.5999999999999999E-3</v>
      </c>
      <c r="E171" s="86">
        <f>VLOOKUP($A171,'Data shares'!$C:$FA,74)</f>
        <v>8793050</v>
      </c>
      <c r="F171" s="86">
        <f>VLOOKUP($A171,'Data shares'!$C:$FA,76)</f>
        <v>-95900</v>
      </c>
      <c r="G171" s="87">
        <f>VLOOKUP(A171,'Data shares'!$C$2:$CA$216,77,0)</f>
        <v>-1.0800000000000001E-2</v>
      </c>
      <c r="H171" s="86">
        <f>VLOOKUP($A171,'Data shares'!$C:$FA,90)</f>
        <v>1340150</v>
      </c>
      <c r="I171" s="86">
        <f>VLOOKUP($A171,'Data shares'!$C:$FA,92)</f>
        <v>120400</v>
      </c>
      <c r="J171" s="87">
        <f>VLOOKUP($A171,'Data shares'!$C:$FA,93)</f>
        <v>9.8699999999999996E-2</v>
      </c>
      <c r="K171" s="86">
        <f>VLOOKUP($A171,'Data shares'!$C:$FA,94)</f>
        <v>957600</v>
      </c>
      <c r="L171" s="86">
        <f>VLOOKUP($A171,'Data shares'!$C:$FA,96)</f>
        <v>-53900</v>
      </c>
      <c r="M171" s="87">
        <f>VLOOKUP($A171,'Data shares'!$C:$FA,97)</f>
        <v>-5.33E-2</v>
      </c>
      <c r="N171" s="86">
        <f>VLOOKUP($A171,'Data shares'!$C:$FA,78)</f>
        <v>1109500</v>
      </c>
      <c r="O171" s="87">
        <f>VLOOKUP($A171,'Data shares'!$C:$FA,81)</f>
        <v>-0.7248</v>
      </c>
    </row>
    <row r="172" spans="1:15" x14ac:dyDescent="0.25">
      <c r="A172" s="100" t="str">
        <f>'OI(Value)'!A172</f>
        <v>POLYCAB</v>
      </c>
      <c r="B172" s="82">
        <f>VLOOKUP(A172,'Data shares'!$C$2:$CV$216,98,0)</f>
        <v>3523000</v>
      </c>
      <c r="C172" s="82">
        <f>VLOOKUP(A172,'Data shares'!$C$2:$CX$216,100,0)</f>
        <v>-276875</v>
      </c>
      <c r="D172" s="141">
        <f>VLOOKUP(A172,'Data shares'!$C$2:$CY$539,101,0)</f>
        <v>-7.2900000000000006E-2</v>
      </c>
      <c r="E172" s="86">
        <f>VLOOKUP($A172,'Data shares'!$C:$FA,74)</f>
        <v>1826500</v>
      </c>
      <c r="F172" s="86">
        <f>VLOOKUP($A172,'Data shares'!$C:$FA,76)</f>
        <v>28000</v>
      </c>
      <c r="G172" s="87">
        <f>VLOOKUP(A172,'Data shares'!$C$2:$CA$216,77,0)</f>
        <v>1.5599999999999999E-2</v>
      </c>
      <c r="H172" s="86">
        <f>VLOOKUP($A172,'Data shares'!$C:$FA,90)</f>
        <v>960875</v>
      </c>
      <c r="I172" s="86">
        <f>VLOOKUP($A172,'Data shares'!$C:$FA,92)</f>
        <v>-280500</v>
      </c>
      <c r="J172" s="87">
        <f>VLOOKUP($A172,'Data shares'!$C:$FA,93)</f>
        <v>-0.22600000000000001</v>
      </c>
      <c r="K172" s="86">
        <f>VLOOKUP($A172,'Data shares'!$C:$FA,94)</f>
        <v>735625</v>
      </c>
      <c r="L172" s="86">
        <f>VLOOKUP($A172,'Data shares'!$C:$FA,96)</f>
        <v>-24375</v>
      </c>
      <c r="M172" s="87">
        <f>VLOOKUP($A172,'Data shares'!$C:$FA,97)</f>
        <v>-3.2099999999999997E-2</v>
      </c>
      <c r="N172" s="86">
        <f>VLOOKUP($A172,'Data shares'!$C:$FA,78)</f>
        <v>457500</v>
      </c>
      <c r="O172" s="87">
        <f>VLOOKUP($A172,'Data shares'!$C:$FA,81)</f>
        <v>-0.37090000000000001</v>
      </c>
    </row>
    <row r="173" spans="1:15" x14ac:dyDescent="0.25">
      <c r="A173" s="100" t="str">
        <f>'OI(Value)'!A173</f>
        <v>POWERGRID</v>
      </c>
      <c r="B173" s="82">
        <f>VLOOKUP(A173,'Data shares'!$C$2:$CV$216,98,0)</f>
        <v>125529200</v>
      </c>
      <c r="C173" s="82">
        <f>VLOOKUP(A173,'Data shares'!$C$2:$CX$216,100,0)</f>
        <v>1394600</v>
      </c>
      <c r="D173" s="141">
        <f>VLOOKUP(A173,'Data shares'!$C$2:$CY$539,101,0)</f>
        <v>1.12E-2</v>
      </c>
      <c r="E173" s="86">
        <f>VLOOKUP($A173,'Data shares'!$C:$FA,74)</f>
        <v>83142100</v>
      </c>
      <c r="F173" s="86">
        <f>VLOOKUP($A173,'Data shares'!$C:$FA,76)</f>
        <v>2538400</v>
      </c>
      <c r="G173" s="87">
        <f>VLOOKUP(A173,'Data shares'!$C$2:$CA$216,77,0)</f>
        <v>3.15E-2</v>
      </c>
      <c r="H173" s="86">
        <f>VLOOKUP($A173,'Data shares'!$C:$FA,90)</f>
        <v>27152900</v>
      </c>
      <c r="I173" s="86">
        <f>VLOOKUP($A173,'Data shares'!$C:$FA,92)</f>
        <v>-1273000</v>
      </c>
      <c r="J173" s="87">
        <f>VLOOKUP($A173,'Data shares'!$C:$FA,93)</f>
        <v>-4.48E-2</v>
      </c>
      <c r="K173" s="86">
        <f>VLOOKUP($A173,'Data shares'!$C:$FA,94)</f>
        <v>15234200</v>
      </c>
      <c r="L173" s="86">
        <f>VLOOKUP($A173,'Data shares'!$C:$FA,96)</f>
        <v>129200</v>
      </c>
      <c r="M173" s="87">
        <f>VLOOKUP($A173,'Data shares'!$C:$FA,97)</f>
        <v>8.6E-3</v>
      </c>
      <c r="N173" s="86">
        <f>VLOOKUP($A173,'Data shares'!$C:$FA,78)</f>
        <v>25703200</v>
      </c>
      <c r="O173" s="87">
        <f>VLOOKUP($A173,'Data shares'!$C:$FA,81)</f>
        <v>-0.41599999999999998</v>
      </c>
    </row>
    <row r="174" spans="1:15" x14ac:dyDescent="0.25">
      <c r="A174" s="100" t="str">
        <f>'OI(Value)'!A174</f>
        <v>POWERINDIA</v>
      </c>
      <c r="B174" s="82">
        <f>VLOOKUP(A174,'Data shares'!$C$2:$CV$216,98,0)</f>
        <v>255050</v>
      </c>
      <c r="C174" s="82">
        <f>VLOOKUP(A174,'Data shares'!$C$2:$CX$216,100,0)</f>
        <v>17150</v>
      </c>
      <c r="D174" s="141">
        <f>VLOOKUP(A174,'Data shares'!$C$2:$CY$539,101,0)</f>
        <v>7.2099999999999997E-2</v>
      </c>
      <c r="E174" s="86">
        <f>VLOOKUP($A174,'Data shares'!$C:$FA,74)</f>
        <v>150550</v>
      </c>
      <c r="F174" s="86">
        <f>VLOOKUP($A174,'Data shares'!$C:$FA,76)</f>
        <v>26050</v>
      </c>
      <c r="G174" s="87">
        <f>VLOOKUP(A174,'Data shares'!$C$2:$CA$216,77,0)</f>
        <v>0.2092</v>
      </c>
      <c r="H174" s="86">
        <f>VLOOKUP($A174,'Data shares'!$C:$FA,90)</f>
        <v>83700</v>
      </c>
      <c r="I174" s="86">
        <f>VLOOKUP($A174,'Data shares'!$C:$FA,92)</f>
        <v>-10400</v>
      </c>
      <c r="J174" s="87">
        <f>VLOOKUP($A174,'Data shares'!$C:$FA,93)</f>
        <v>-0.1105</v>
      </c>
      <c r="K174" s="86">
        <f>VLOOKUP($A174,'Data shares'!$C:$FA,94)</f>
        <v>20800</v>
      </c>
      <c r="L174" s="86">
        <f>VLOOKUP($A174,'Data shares'!$C:$FA,96)</f>
        <v>1500</v>
      </c>
      <c r="M174" s="87">
        <f>VLOOKUP($A174,'Data shares'!$C:$FA,97)</f>
        <v>7.7700000000000005E-2</v>
      </c>
      <c r="N174" s="86">
        <f>VLOOKUP($A174,'Data shares'!$C:$FA,78)</f>
        <v>22750</v>
      </c>
      <c r="O174" s="87">
        <f>VLOOKUP($A174,'Data shares'!$C:$FA,81)</f>
        <v>-0.5756</v>
      </c>
    </row>
    <row r="175" spans="1:15" x14ac:dyDescent="0.25">
      <c r="A175" s="100" t="str">
        <f>'OI(Value)'!A175</f>
        <v>PPLPHARMA</v>
      </c>
      <c r="B175" s="82">
        <f>VLOOKUP(A175,'Data shares'!$C$2:$CV$216,98,0)</f>
        <v>43377500</v>
      </c>
      <c r="C175" s="82">
        <f>VLOOKUP(A175,'Data shares'!$C$2:$CX$216,100,0)</f>
        <v>-3225000</v>
      </c>
      <c r="D175" s="141">
        <f>VLOOKUP(A175,'Data shares'!$C$2:$CY$539,101,0)</f>
        <v>-6.9199999999999998E-2</v>
      </c>
      <c r="E175" s="86">
        <f>VLOOKUP($A175,'Data shares'!$C:$FA,74)</f>
        <v>22352500</v>
      </c>
      <c r="F175" s="86">
        <f>VLOOKUP($A175,'Data shares'!$C:$FA,76)</f>
        <v>-1085000</v>
      </c>
      <c r="G175" s="87">
        <f>VLOOKUP(A175,'Data shares'!$C$2:$CA$216,77,0)</f>
        <v>-4.6300000000000001E-2</v>
      </c>
      <c r="H175" s="86">
        <f>VLOOKUP($A175,'Data shares'!$C:$FA,90)</f>
        <v>11457500</v>
      </c>
      <c r="I175" s="86">
        <f>VLOOKUP($A175,'Data shares'!$C:$FA,92)</f>
        <v>-1855000</v>
      </c>
      <c r="J175" s="87">
        <f>VLOOKUP($A175,'Data shares'!$C:$FA,93)</f>
        <v>-0.13930000000000001</v>
      </c>
      <c r="K175" s="86">
        <f>VLOOKUP($A175,'Data shares'!$C:$FA,94)</f>
        <v>9567500</v>
      </c>
      <c r="L175" s="86">
        <f>VLOOKUP($A175,'Data shares'!$C:$FA,96)</f>
        <v>-285000</v>
      </c>
      <c r="M175" s="87">
        <f>VLOOKUP($A175,'Data shares'!$C:$FA,97)</f>
        <v>-2.8899999999999999E-2</v>
      </c>
      <c r="N175" s="86">
        <f>VLOOKUP($A175,'Data shares'!$C:$FA,78)</f>
        <v>3990000</v>
      </c>
      <c r="O175" s="87">
        <f>VLOOKUP($A175,'Data shares'!$C:$FA,81)</f>
        <v>-0.55469999999999997</v>
      </c>
    </row>
    <row r="176" spans="1:15" x14ac:dyDescent="0.25">
      <c r="A176" s="100" t="str">
        <f>'OI(Value)'!A176</f>
        <v>PRESTIGE</v>
      </c>
      <c r="B176" s="82">
        <f>VLOOKUP(A176,'Data shares'!$C$2:$CV$216,98,0)</f>
        <v>7175700</v>
      </c>
      <c r="C176" s="82">
        <f>VLOOKUP(A176,'Data shares'!$C$2:$CX$216,100,0)</f>
        <v>-165600</v>
      </c>
      <c r="D176" s="141">
        <f>VLOOKUP(A176,'Data shares'!$C$2:$CY$539,101,0)</f>
        <v>-2.2599999999999999E-2</v>
      </c>
      <c r="E176" s="86">
        <f>VLOOKUP($A176,'Data shares'!$C:$FA,74)</f>
        <v>4327200</v>
      </c>
      <c r="F176" s="86">
        <f>VLOOKUP($A176,'Data shares'!$C:$FA,76)</f>
        <v>-31050</v>
      </c>
      <c r="G176" s="87">
        <f>VLOOKUP(A176,'Data shares'!$C$2:$CA$216,77,0)</f>
        <v>-7.1000000000000004E-3</v>
      </c>
      <c r="H176" s="86">
        <f>VLOOKUP($A176,'Data shares'!$C:$FA,90)</f>
        <v>1522800</v>
      </c>
      <c r="I176" s="86">
        <f>VLOOKUP($A176,'Data shares'!$C:$FA,92)</f>
        <v>-30150</v>
      </c>
      <c r="J176" s="87">
        <f>VLOOKUP($A176,'Data shares'!$C:$FA,93)</f>
        <v>-1.9400000000000001E-2</v>
      </c>
      <c r="K176" s="86">
        <f>VLOOKUP($A176,'Data shares'!$C:$FA,94)</f>
        <v>1325700</v>
      </c>
      <c r="L176" s="86">
        <f>VLOOKUP($A176,'Data shares'!$C:$FA,96)</f>
        <v>-104400</v>
      </c>
      <c r="M176" s="87">
        <f>VLOOKUP($A176,'Data shares'!$C:$FA,97)</f>
        <v>-7.2999999999999995E-2</v>
      </c>
      <c r="N176" s="86">
        <f>VLOOKUP($A176,'Data shares'!$C:$FA,78)</f>
        <v>1008000</v>
      </c>
      <c r="O176" s="87">
        <f>VLOOKUP($A176,'Data shares'!$C:$FA,81)</f>
        <v>-0.56989999999999996</v>
      </c>
    </row>
    <row r="177" spans="1:15" x14ac:dyDescent="0.25">
      <c r="A177" s="100" t="str">
        <f>'OI(Value)'!A177</f>
        <v>RBLBANK</v>
      </c>
      <c r="B177" s="82">
        <f>VLOOKUP(A177,'Data shares'!$C$2:$CV$216,98,0)</f>
        <v>114560350</v>
      </c>
      <c r="C177" s="82">
        <f>VLOOKUP(A177,'Data shares'!$C$2:$CX$216,100,0)</f>
        <v>7204075</v>
      </c>
      <c r="D177" s="141">
        <f>VLOOKUP(A177,'Data shares'!$C$2:$CY$539,101,0)</f>
        <v>6.7100000000000007E-2</v>
      </c>
      <c r="E177" s="86">
        <f>VLOOKUP($A177,'Data shares'!$C:$FA,74)</f>
        <v>70650100</v>
      </c>
      <c r="F177" s="86">
        <f>VLOOKUP($A177,'Data shares'!$C:$FA,76)</f>
        <v>2622550</v>
      </c>
      <c r="G177" s="87">
        <f>VLOOKUP(A177,'Data shares'!$C$2:$CA$216,77,0)</f>
        <v>3.8600000000000002E-2</v>
      </c>
      <c r="H177" s="86">
        <f>VLOOKUP($A177,'Data shares'!$C:$FA,90)</f>
        <v>24352250</v>
      </c>
      <c r="I177" s="86">
        <f>VLOOKUP($A177,'Data shares'!$C:$FA,92)</f>
        <v>2371725</v>
      </c>
      <c r="J177" s="87">
        <f>VLOOKUP($A177,'Data shares'!$C:$FA,93)</f>
        <v>0.1079</v>
      </c>
      <c r="K177" s="86">
        <f>VLOOKUP($A177,'Data shares'!$C:$FA,94)</f>
        <v>19558000</v>
      </c>
      <c r="L177" s="86">
        <f>VLOOKUP($A177,'Data shares'!$C:$FA,96)</f>
        <v>2209800</v>
      </c>
      <c r="M177" s="87">
        <f>VLOOKUP($A177,'Data shares'!$C:$FA,97)</f>
        <v>0.12740000000000001</v>
      </c>
      <c r="N177" s="86">
        <f>VLOOKUP($A177,'Data shares'!$C:$FA,78)</f>
        <v>8591550</v>
      </c>
      <c r="O177" s="87">
        <f>VLOOKUP($A177,'Data shares'!$C:$FA,81)</f>
        <v>-0.52829999999999999</v>
      </c>
    </row>
    <row r="178" spans="1:15" x14ac:dyDescent="0.25">
      <c r="A178" s="100" t="str">
        <f>'OI(Value)'!A178</f>
        <v>RECLTD</v>
      </c>
      <c r="B178" s="82">
        <f>VLOOKUP(A178,'Data shares'!$C$2:$CV$216,98,0)</f>
        <v>148541325</v>
      </c>
      <c r="C178" s="82">
        <f>VLOOKUP(A178,'Data shares'!$C$2:$CX$216,100,0)</f>
        <v>-1224000</v>
      </c>
      <c r="D178" s="141">
        <f>VLOOKUP(A178,'Data shares'!$C$2:$CY$539,101,0)</f>
        <v>-8.2000000000000007E-3</v>
      </c>
      <c r="E178" s="86">
        <f>VLOOKUP($A178,'Data shares'!$C:$FA,74)</f>
        <v>87054450</v>
      </c>
      <c r="F178" s="86">
        <f>VLOOKUP($A178,'Data shares'!$C:$FA,76)</f>
        <v>168300</v>
      </c>
      <c r="G178" s="87">
        <f>VLOOKUP(A178,'Data shares'!$C$2:$CA$216,77,0)</f>
        <v>1.9E-3</v>
      </c>
      <c r="H178" s="86">
        <f>VLOOKUP($A178,'Data shares'!$C:$FA,90)</f>
        <v>33362925</v>
      </c>
      <c r="I178" s="86">
        <f>VLOOKUP($A178,'Data shares'!$C:$FA,92)</f>
        <v>-471750</v>
      </c>
      <c r="J178" s="87">
        <f>VLOOKUP($A178,'Data shares'!$C:$FA,93)</f>
        <v>-1.3899999999999999E-2</v>
      </c>
      <c r="K178" s="86">
        <f>VLOOKUP($A178,'Data shares'!$C:$FA,94)</f>
        <v>28123950</v>
      </c>
      <c r="L178" s="86">
        <f>VLOOKUP($A178,'Data shares'!$C:$FA,96)</f>
        <v>-920550</v>
      </c>
      <c r="M178" s="87">
        <f>VLOOKUP($A178,'Data shares'!$C:$FA,97)</f>
        <v>-3.1699999999999999E-2</v>
      </c>
      <c r="N178" s="86">
        <f>VLOOKUP($A178,'Data shares'!$C:$FA,78)</f>
        <v>16274100</v>
      </c>
      <c r="O178" s="87">
        <f>VLOOKUP($A178,'Data shares'!$C:$FA,81)</f>
        <v>-0.56379999999999997</v>
      </c>
    </row>
    <row r="179" spans="1:15" x14ac:dyDescent="0.25">
      <c r="A179" s="100" t="str">
        <f>'OI(Value)'!A179</f>
        <v>RELIANCE</v>
      </c>
      <c r="B179" s="82">
        <f>VLOOKUP(A179,'Data shares'!$C$2:$CV$216,98,0)</f>
        <v>211198000</v>
      </c>
      <c r="C179" s="82">
        <f>VLOOKUP(A179,'Data shares'!$C$2:$CX$216,100,0)</f>
        <v>185000</v>
      </c>
      <c r="D179" s="141">
        <f>VLOOKUP(A179,'Data shares'!$C$2:$CY$539,101,0)</f>
        <v>8.9999999999999998E-4</v>
      </c>
      <c r="E179" s="86">
        <f>VLOOKUP($A179,'Data shares'!$C:$FA,74)</f>
        <v>126326500</v>
      </c>
      <c r="F179" s="86">
        <f>VLOOKUP($A179,'Data shares'!$C:$FA,76)</f>
        <v>577000</v>
      </c>
      <c r="G179" s="87">
        <f>VLOOKUP(A179,'Data shares'!$C$2:$CA$216,77,0)</f>
        <v>4.5999999999999999E-3</v>
      </c>
      <c r="H179" s="86">
        <f>VLOOKUP($A179,'Data shares'!$C:$FA,90)</f>
        <v>46793500</v>
      </c>
      <c r="I179" s="86">
        <f>VLOOKUP($A179,'Data shares'!$C:$FA,92)</f>
        <v>-2508500</v>
      </c>
      <c r="J179" s="87">
        <f>VLOOKUP($A179,'Data shares'!$C:$FA,93)</f>
        <v>-5.0900000000000001E-2</v>
      </c>
      <c r="K179" s="86">
        <f>VLOOKUP($A179,'Data shares'!$C:$FA,94)</f>
        <v>38078000</v>
      </c>
      <c r="L179" s="86">
        <f>VLOOKUP($A179,'Data shares'!$C:$FA,96)</f>
        <v>2116500</v>
      </c>
      <c r="M179" s="87">
        <f>VLOOKUP($A179,'Data shares'!$C:$FA,97)</f>
        <v>5.8900000000000001E-2</v>
      </c>
      <c r="N179" s="86">
        <f>VLOOKUP($A179,'Data shares'!$C:$FA,78)</f>
        <v>24736500</v>
      </c>
      <c r="O179" s="87">
        <f>VLOOKUP($A179,'Data shares'!$C:$FA,81)</f>
        <v>-0.52949999999999997</v>
      </c>
    </row>
    <row r="180" spans="1:15" x14ac:dyDescent="0.25">
      <c r="A180" s="100" t="str">
        <f>'OI(Value)'!A180</f>
        <v>RVNL</v>
      </c>
      <c r="B180" s="82">
        <f>VLOOKUP(A180,'Data shares'!$C$2:$CV$216,98,0)</f>
        <v>65855625</v>
      </c>
      <c r="C180" s="82">
        <f>VLOOKUP(A180,'Data shares'!$C$2:$CX$216,100,0)</f>
        <v>710875</v>
      </c>
      <c r="D180" s="141">
        <f>VLOOKUP(A180,'Data shares'!$C$2:$CY$539,101,0)</f>
        <v>1.09E-2</v>
      </c>
      <c r="E180" s="86">
        <f>VLOOKUP($A180,'Data shares'!$C:$FA,74)</f>
        <v>39381375</v>
      </c>
      <c r="F180" s="86">
        <f>VLOOKUP($A180,'Data shares'!$C:$FA,76)</f>
        <v>1601875</v>
      </c>
      <c r="G180" s="87">
        <f>VLOOKUP(A180,'Data shares'!$C$2:$CA$216,77,0)</f>
        <v>4.24E-2</v>
      </c>
      <c r="H180" s="86">
        <f>VLOOKUP($A180,'Data shares'!$C:$FA,90)</f>
        <v>18621625</v>
      </c>
      <c r="I180" s="86">
        <f>VLOOKUP($A180,'Data shares'!$C:$FA,92)</f>
        <v>-625625</v>
      </c>
      <c r="J180" s="87">
        <f>VLOOKUP($A180,'Data shares'!$C:$FA,93)</f>
        <v>-3.2500000000000001E-2</v>
      </c>
      <c r="K180" s="86">
        <f>VLOOKUP($A180,'Data shares'!$C:$FA,94)</f>
        <v>7852625</v>
      </c>
      <c r="L180" s="86">
        <f>VLOOKUP($A180,'Data shares'!$C:$FA,96)</f>
        <v>-265375</v>
      </c>
      <c r="M180" s="87">
        <f>VLOOKUP($A180,'Data shares'!$C:$FA,97)</f>
        <v>-3.27E-2</v>
      </c>
      <c r="N180" s="86">
        <f>VLOOKUP($A180,'Data shares'!$C:$FA,78)</f>
        <v>6378625</v>
      </c>
      <c r="O180" s="87">
        <f>VLOOKUP($A180,'Data shares'!$C:$FA,81)</f>
        <v>-0.4783</v>
      </c>
    </row>
    <row r="181" spans="1:15" x14ac:dyDescent="0.25">
      <c r="A181" s="100" t="str">
        <f>'OI(Value)'!A181</f>
        <v>SAIL</v>
      </c>
      <c r="B181" s="82">
        <f>VLOOKUP(A181,'Data shares'!$C$2:$CV$216,98,0)</f>
        <v>294003800</v>
      </c>
      <c r="C181" s="82">
        <f>VLOOKUP(A181,'Data shares'!$C$2:$CX$216,100,0)</f>
        <v>-20990200</v>
      </c>
      <c r="D181" s="141">
        <f>VLOOKUP(A181,'Data shares'!$C$2:$CY$539,101,0)</f>
        <v>-6.6600000000000006E-2</v>
      </c>
      <c r="E181" s="86">
        <f>VLOOKUP($A181,'Data shares'!$C:$FA,74)</f>
        <v>201047200</v>
      </c>
      <c r="F181" s="86">
        <f>VLOOKUP($A181,'Data shares'!$C:$FA,76)</f>
        <v>-11341100</v>
      </c>
      <c r="G181" s="87">
        <f>VLOOKUP(A181,'Data shares'!$C$2:$CA$216,77,0)</f>
        <v>-5.3400000000000003E-2</v>
      </c>
      <c r="H181" s="86">
        <f>VLOOKUP($A181,'Data shares'!$C:$FA,90)</f>
        <v>57100300</v>
      </c>
      <c r="I181" s="86">
        <f>VLOOKUP($A181,'Data shares'!$C:$FA,92)</f>
        <v>-7693900</v>
      </c>
      <c r="J181" s="87">
        <f>VLOOKUP($A181,'Data shares'!$C:$FA,93)</f>
        <v>-0.1187</v>
      </c>
      <c r="K181" s="86">
        <f>VLOOKUP($A181,'Data shares'!$C:$FA,94)</f>
        <v>35856300</v>
      </c>
      <c r="L181" s="86">
        <f>VLOOKUP($A181,'Data shares'!$C:$FA,96)</f>
        <v>-1955200</v>
      </c>
      <c r="M181" s="87">
        <f>VLOOKUP($A181,'Data shares'!$C:$FA,97)</f>
        <v>-5.1700000000000003E-2</v>
      </c>
      <c r="N181" s="86">
        <f>VLOOKUP($A181,'Data shares'!$C:$FA,78)</f>
        <v>74490300</v>
      </c>
      <c r="O181" s="87">
        <f>VLOOKUP($A181,'Data shares'!$C:$FA,81)</f>
        <v>-0.1318</v>
      </c>
    </row>
    <row r="182" spans="1:15" x14ac:dyDescent="0.25">
      <c r="A182" s="100" t="str">
        <f>'OI(Value)'!A182</f>
        <v>SAMMAANCAP</v>
      </c>
      <c r="B182" s="82">
        <f>VLOOKUP(A182,'Data shares'!$C$2:$CV$216,98,0)</f>
        <v>179662600</v>
      </c>
      <c r="C182" s="82">
        <f>VLOOKUP(A182,'Data shares'!$C$2:$CX$216,100,0)</f>
        <v>-14869400</v>
      </c>
      <c r="D182" s="141">
        <f>VLOOKUP(A182,'Data shares'!$C$2:$CY$539,101,0)</f>
        <v>-7.6399999999999996E-2</v>
      </c>
      <c r="E182" s="86">
        <f>VLOOKUP($A182,'Data shares'!$C:$FA,74)</f>
        <v>110901300</v>
      </c>
      <c r="F182" s="86">
        <f>VLOOKUP($A182,'Data shares'!$C:$FA,76)</f>
        <v>-7064900</v>
      </c>
      <c r="G182" s="87">
        <f>VLOOKUP(A182,'Data shares'!$C$2:$CA$216,77,0)</f>
        <v>-5.9900000000000002E-2</v>
      </c>
      <c r="H182" s="86">
        <f>VLOOKUP($A182,'Data shares'!$C:$FA,90)</f>
        <v>31712500</v>
      </c>
      <c r="I182" s="86">
        <f>VLOOKUP($A182,'Data shares'!$C:$FA,92)</f>
        <v>-4760100</v>
      </c>
      <c r="J182" s="87">
        <f>VLOOKUP($A182,'Data shares'!$C:$FA,93)</f>
        <v>-0.1305</v>
      </c>
      <c r="K182" s="86">
        <f>VLOOKUP($A182,'Data shares'!$C:$FA,94)</f>
        <v>37048800</v>
      </c>
      <c r="L182" s="86">
        <f>VLOOKUP($A182,'Data shares'!$C:$FA,96)</f>
        <v>-3044400</v>
      </c>
      <c r="M182" s="87">
        <f>VLOOKUP($A182,'Data shares'!$C:$FA,97)</f>
        <v>-7.5899999999999995E-2</v>
      </c>
      <c r="N182" s="86">
        <f>VLOOKUP($A182,'Data shares'!$C:$FA,78)</f>
        <v>15583200</v>
      </c>
      <c r="O182" s="87">
        <f>VLOOKUP($A182,'Data shares'!$C:$FA,81)</f>
        <v>-0.23710000000000001</v>
      </c>
    </row>
    <row r="183" spans="1:15" x14ac:dyDescent="0.25">
      <c r="A183" s="100" t="str">
        <f>'OI(Value)'!A183</f>
        <v>SBICARD</v>
      </c>
      <c r="B183" s="82">
        <f>VLOOKUP(A183,'Data shares'!$C$2:$CV$216,98,0)</f>
        <v>37791200</v>
      </c>
      <c r="C183" s="82">
        <f>VLOOKUP(A183,'Data shares'!$C$2:$CX$216,100,0)</f>
        <v>-192000</v>
      </c>
      <c r="D183" s="141">
        <f>VLOOKUP(A183,'Data shares'!$C$2:$CY$539,101,0)</f>
        <v>-5.1000000000000004E-3</v>
      </c>
      <c r="E183" s="86">
        <f>VLOOKUP($A183,'Data shares'!$C:$FA,74)</f>
        <v>21226400</v>
      </c>
      <c r="F183" s="86">
        <f>VLOOKUP($A183,'Data shares'!$C:$FA,76)</f>
        <v>-185600</v>
      </c>
      <c r="G183" s="87">
        <f>VLOOKUP(A183,'Data shares'!$C$2:$CA$216,77,0)</f>
        <v>-8.6999999999999994E-3</v>
      </c>
      <c r="H183" s="86">
        <f>VLOOKUP($A183,'Data shares'!$C:$FA,90)</f>
        <v>10960800</v>
      </c>
      <c r="I183" s="86">
        <f>VLOOKUP($A183,'Data shares'!$C:$FA,92)</f>
        <v>1404000</v>
      </c>
      <c r="J183" s="87">
        <f>VLOOKUP($A183,'Data shares'!$C:$FA,93)</f>
        <v>0.1469</v>
      </c>
      <c r="K183" s="86">
        <f>VLOOKUP($A183,'Data shares'!$C:$FA,94)</f>
        <v>5604000</v>
      </c>
      <c r="L183" s="86">
        <f>VLOOKUP($A183,'Data shares'!$C:$FA,96)</f>
        <v>-1410400</v>
      </c>
      <c r="M183" s="87">
        <f>VLOOKUP($A183,'Data shares'!$C:$FA,97)</f>
        <v>-0.2011</v>
      </c>
      <c r="N183" s="86">
        <f>VLOOKUP($A183,'Data shares'!$C:$FA,78)</f>
        <v>2303200</v>
      </c>
      <c r="O183" s="87">
        <f>VLOOKUP($A183,'Data shares'!$C:$FA,81)</f>
        <v>-0.72889999999999999</v>
      </c>
    </row>
    <row r="184" spans="1:15" x14ac:dyDescent="0.25">
      <c r="A184" s="100" t="str">
        <f>'OI(Value)'!A184</f>
        <v>SBILIFE</v>
      </c>
      <c r="B184" s="82">
        <f>VLOOKUP(A184,'Data shares'!$C$2:$CV$216,98,0)</f>
        <v>14403750</v>
      </c>
      <c r="C184" s="82">
        <f>VLOOKUP(A184,'Data shares'!$C$2:$CX$216,100,0)</f>
        <v>1517250</v>
      </c>
      <c r="D184" s="141">
        <f>VLOOKUP(A184,'Data shares'!$C$2:$CY$539,101,0)</f>
        <v>0.1177</v>
      </c>
      <c r="E184" s="86">
        <f>VLOOKUP($A184,'Data shares'!$C:$FA,74)</f>
        <v>7510125</v>
      </c>
      <c r="F184" s="86">
        <f>VLOOKUP($A184,'Data shares'!$C:$FA,76)</f>
        <v>242625</v>
      </c>
      <c r="G184" s="87">
        <f>VLOOKUP(A184,'Data shares'!$C$2:$CA$216,77,0)</f>
        <v>3.3399999999999999E-2</v>
      </c>
      <c r="H184" s="86">
        <f>VLOOKUP($A184,'Data shares'!$C:$FA,90)</f>
        <v>4043625</v>
      </c>
      <c r="I184" s="86">
        <f>VLOOKUP($A184,'Data shares'!$C:$FA,92)</f>
        <v>441000</v>
      </c>
      <c r="J184" s="87">
        <f>VLOOKUP($A184,'Data shares'!$C:$FA,93)</f>
        <v>0.12239999999999999</v>
      </c>
      <c r="K184" s="86">
        <f>VLOOKUP($A184,'Data shares'!$C:$FA,94)</f>
        <v>2850000</v>
      </c>
      <c r="L184" s="86">
        <f>VLOOKUP($A184,'Data shares'!$C:$FA,96)</f>
        <v>833625</v>
      </c>
      <c r="M184" s="87">
        <f>VLOOKUP($A184,'Data shares'!$C:$FA,97)</f>
        <v>0.41339999999999999</v>
      </c>
      <c r="N184" s="86">
        <f>VLOOKUP($A184,'Data shares'!$C:$FA,78)</f>
        <v>1035000</v>
      </c>
      <c r="O184" s="87">
        <f>VLOOKUP($A184,'Data shares'!$C:$FA,81)</f>
        <v>-0.61080000000000001</v>
      </c>
    </row>
    <row r="185" spans="1:15" x14ac:dyDescent="0.25">
      <c r="A185" s="100" t="str">
        <f>'OI(Value)'!A185</f>
        <v>SBIN</v>
      </c>
      <c r="B185" s="82">
        <f>VLOOKUP(A185,'Data shares'!$C$2:$CV$216,98,0)</f>
        <v>189942000</v>
      </c>
      <c r="C185" s="82">
        <f>VLOOKUP(A185,'Data shares'!$C$2:$CX$216,100,0)</f>
        <v>2346000</v>
      </c>
      <c r="D185" s="141">
        <f>VLOOKUP(A185,'Data shares'!$C$2:$CY$539,101,0)</f>
        <v>1.2500000000000001E-2</v>
      </c>
      <c r="E185" s="86">
        <f>VLOOKUP($A185,'Data shares'!$C:$FA,74)</f>
        <v>92676750</v>
      </c>
      <c r="F185" s="86">
        <f>VLOOKUP($A185,'Data shares'!$C:$FA,76)</f>
        <v>1459500</v>
      </c>
      <c r="G185" s="87">
        <f>VLOOKUP(A185,'Data shares'!$C$2:$CA$216,77,0)</f>
        <v>1.6E-2</v>
      </c>
      <c r="H185" s="86">
        <f>VLOOKUP($A185,'Data shares'!$C:$FA,90)</f>
        <v>52255500</v>
      </c>
      <c r="I185" s="86">
        <f>VLOOKUP($A185,'Data shares'!$C:$FA,92)</f>
        <v>-1863000</v>
      </c>
      <c r="J185" s="87">
        <f>VLOOKUP($A185,'Data shares'!$C:$FA,93)</f>
        <v>-3.44E-2</v>
      </c>
      <c r="K185" s="86">
        <f>VLOOKUP($A185,'Data shares'!$C:$FA,94)</f>
        <v>45009750</v>
      </c>
      <c r="L185" s="86">
        <f>VLOOKUP($A185,'Data shares'!$C:$FA,96)</f>
        <v>2749500</v>
      </c>
      <c r="M185" s="87">
        <f>VLOOKUP($A185,'Data shares'!$C:$FA,97)</f>
        <v>6.5100000000000005E-2</v>
      </c>
      <c r="N185" s="86">
        <f>VLOOKUP($A185,'Data shares'!$C:$FA,78)</f>
        <v>20087250</v>
      </c>
      <c r="O185" s="87">
        <f>VLOOKUP($A185,'Data shares'!$C:$FA,81)</f>
        <v>-0.46010000000000001</v>
      </c>
    </row>
    <row r="186" spans="1:15" x14ac:dyDescent="0.25">
      <c r="A186" s="100" t="str">
        <f>'OI(Value)'!A186</f>
        <v>SHREECEM</v>
      </c>
      <c r="B186" s="82">
        <f>VLOOKUP(A186,'Data shares'!$C$2:$CV$216,98,0)</f>
        <v>389375</v>
      </c>
      <c r="C186" s="82">
        <f>VLOOKUP(A186,'Data shares'!$C$2:$CX$216,100,0)</f>
        <v>13775</v>
      </c>
      <c r="D186" s="141">
        <f>VLOOKUP(A186,'Data shares'!$C$2:$CY$539,101,0)</f>
        <v>3.6700000000000003E-2</v>
      </c>
      <c r="E186" s="86">
        <f>VLOOKUP($A186,'Data shares'!$C:$FA,74)</f>
        <v>294325</v>
      </c>
      <c r="F186" s="86">
        <f>VLOOKUP($A186,'Data shares'!$C:$FA,76)</f>
        <v>12575</v>
      </c>
      <c r="G186" s="87">
        <f>VLOOKUP(A186,'Data shares'!$C$2:$CA$216,77,0)</f>
        <v>4.4600000000000001E-2</v>
      </c>
      <c r="H186" s="86">
        <f>VLOOKUP($A186,'Data shares'!$C:$FA,90)</f>
        <v>59325</v>
      </c>
      <c r="I186" s="86">
        <f>VLOOKUP($A186,'Data shares'!$C:$FA,92)</f>
        <v>-1225</v>
      </c>
      <c r="J186" s="87">
        <f>VLOOKUP($A186,'Data shares'!$C:$FA,93)</f>
        <v>-2.0199999999999999E-2</v>
      </c>
      <c r="K186" s="86">
        <f>VLOOKUP($A186,'Data shares'!$C:$FA,94)</f>
        <v>35725</v>
      </c>
      <c r="L186" s="86">
        <f>VLOOKUP($A186,'Data shares'!$C:$FA,96)</f>
        <v>2425</v>
      </c>
      <c r="M186" s="87">
        <f>VLOOKUP($A186,'Data shares'!$C:$FA,97)</f>
        <v>7.2800000000000004E-2</v>
      </c>
      <c r="N186" s="86">
        <f>VLOOKUP($A186,'Data shares'!$C:$FA,78)</f>
        <v>43550</v>
      </c>
      <c r="O186" s="87">
        <f>VLOOKUP($A186,'Data shares'!$C:$FA,81)</f>
        <v>-0.54610000000000003</v>
      </c>
    </row>
    <row r="187" spans="1:15" x14ac:dyDescent="0.25">
      <c r="A187" s="100" t="str">
        <f>'OI(Value)'!A187</f>
        <v>SHRIRAMFIN</v>
      </c>
      <c r="B187" s="82">
        <f>VLOOKUP(A187,'Data shares'!$C$2:$CV$216,98,0)</f>
        <v>71237100</v>
      </c>
      <c r="C187" s="82">
        <f>VLOOKUP(A187,'Data shares'!$C$2:$CX$216,100,0)</f>
        <v>410025</v>
      </c>
      <c r="D187" s="141">
        <f>VLOOKUP(A187,'Data shares'!$C$2:$CY$539,101,0)</f>
        <v>5.7999999999999996E-3</v>
      </c>
      <c r="E187" s="86">
        <f>VLOOKUP($A187,'Data shares'!$C:$FA,74)</f>
        <v>53040075</v>
      </c>
      <c r="F187" s="86">
        <f>VLOOKUP($A187,'Data shares'!$C:$FA,76)</f>
        <v>9900</v>
      </c>
      <c r="G187" s="87">
        <f>VLOOKUP(A187,'Data shares'!$C$2:$CA$216,77,0)</f>
        <v>2.0000000000000001E-4</v>
      </c>
      <c r="H187" s="86">
        <f>VLOOKUP($A187,'Data shares'!$C:$FA,90)</f>
        <v>8943825</v>
      </c>
      <c r="I187" s="86">
        <f>VLOOKUP($A187,'Data shares'!$C:$FA,92)</f>
        <v>181500</v>
      </c>
      <c r="J187" s="87">
        <f>VLOOKUP($A187,'Data shares'!$C:$FA,93)</f>
        <v>2.07E-2</v>
      </c>
      <c r="K187" s="86">
        <f>VLOOKUP($A187,'Data shares'!$C:$FA,94)</f>
        <v>9253200</v>
      </c>
      <c r="L187" s="86">
        <f>VLOOKUP($A187,'Data shares'!$C:$FA,96)</f>
        <v>218625</v>
      </c>
      <c r="M187" s="87">
        <f>VLOOKUP($A187,'Data shares'!$C:$FA,97)</f>
        <v>2.4199999999999999E-2</v>
      </c>
      <c r="N187" s="86">
        <f>VLOOKUP($A187,'Data shares'!$C:$FA,78)</f>
        <v>12676950</v>
      </c>
      <c r="O187" s="87">
        <f>VLOOKUP($A187,'Data shares'!$C:$FA,81)</f>
        <v>-0.48849999999999999</v>
      </c>
    </row>
    <row r="188" spans="1:15" x14ac:dyDescent="0.25">
      <c r="A188" s="100" t="str">
        <f>'OI(Value)'!A188</f>
        <v>SIEMENS</v>
      </c>
      <c r="B188" s="82">
        <f>VLOOKUP(A188,'Data shares'!$C$2:$CV$216,98,0)</f>
        <v>3935750</v>
      </c>
      <c r="C188" s="82">
        <f>VLOOKUP(A188,'Data shares'!$C$2:$CX$216,100,0)</f>
        <v>-156125</v>
      </c>
      <c r="D188" s="141">
        <f>VLOOKUP(A188,'Data shares'!$C$2:$CY$539,101,0)</f>
        <v>-3.8199999999999998E-2</v>
      </c>
      <c r="E188" s="86">
        <f>VLOOKUP($A188,'Data shares'!$C:$FA,74)</f>
        <v>2300375</v>
      </c>
      <c r="F188" s="86">
        <f>VLOOKUP($A188,'Data shares'!$C:$FA,76)</f>
        <v>56375</v>
      </c>
      <c r="G188" s="87">
        <f>VLOOKUP(A188,'Data shares'!$C$2:$CA$216,77,0)</f>
        <v>2.5100000000000001E-2</v>
      </c>
      <c r="H188" s="86">
        <f>VLOOKUP($A188,'Data shares'!$C:$FA,90)</f>
        <v>1150750</v>
      </c>
      <c r="I188" s="86">
        <f>VLOOKUP($A188,'Data shares'!$C:$FA,92)</f>
        <v>-156625</v>
      </c>
      <c r="J188" s="87">
        <f>VLOOKUP($A188,'Data shares'!$C:$FA,93)</f>
        <v>-0.1198</v>
      </c>
      <c r="K188" s="86">
        <f>VLOOKUP($A188,'Data shares'!$C:$FA,94)</f>
        <v>484625</v>
      </c>
      <c r="L188" s="86">
        <f>VLOOKUP($A188,'Data shares'!$C:$FA,96)</f>
        <v>-55875</v>
      </c>
      <c r="M188" s="87">
        <f>VLOOKUP($A188,'Data shares'!$C:$FA,97)</f>
        <v>-0.10340000000000001</v>
      </c>
      <c r="N188" s="86">
        <f>VLOOKUP($A188,'Data shares'!$C:$FA,78)</f>
        <v>280750</v>
      </c>
      <c r="O188" s="87">
        <f>VLOOKUP($A188,'Data shares'!$C:$FA,81)</f>
        <v>-0.57020000000000004</v>
      </c>
    </row>
    <row r="189" spans="1:15" x14ac:dyDescent="0.25">
      <c r="A189" s="100" t="str">
        <f>'OI(Value)'!A189</f>
        <v>ZYDUSLIFE</v>
      </c>
      <c r="B189" s="82">
        <f>VLOOKUP(A189,'Data shares'!$C$2:$CV$216,98,0)</f>
        <v>12435300</v>
      </c>
      <c r="C189" s="82">
        <f>VLOOKUP(A189,'Data shares'!$C$2:$CX$216,100,0)</f>
        <v>-594900</v>
      </c>
      <c r="D189" s="141">
        <f>VLOOKUP(A189,'Data shares'!$C$2:$CY$539,101,0)</f>
        <v>-4.5699999999999998E-2</v>
      </c>
      <c r="E189" s="86">
        <f>VLOOKUP($A189,'Data shares'!$C:$FA,74)</f>
        <v>7722000</v>
      </c>
      <c r="F189" s="86">
        <f>VLOOKUP($A189,'Data shares'!$C:$FA,76)</f>
        <v>-456300</v>
      </c>
      <c r="G189" s="87">
        <f>VLOOKUP(A189,'Data shares'!$C$2:$CA$216,77,0)</f>
        <v>-5.5800000000000002E-2</v>
      </c>
      <c r="H189" s="86">
        <f>VLOOKUP($A189,'Data shares'!$C:$FA,90)</f>
        <v>2690100</v>
      </c>
      <c r="I189" s="86">
        <f>VLOOKUP($A189,'Data shares'!$C:$FA,92)</f>
        <v>-218700</v>
      </c>
      <c r="J189" s="87">
        <f>VLOOKUP($A189,'Data shares'!$C:$FA,93)</f>
        <v>-7.5200000000000003E-2</v>
      </c>
      <c r="K189" s="86">
        <f>VLOOKUP($A189,'Data shares'!$C:$FA,94)</f>
        <v>2023200</v>
      </c>
      <c r="L189" s="86">
        <f>VLOOKUP($A189,'Data shares'!$C:$FA,96)</f>
        <v>80100</v>
      </c>
      <c r="M189" s="87">
        <f>VLOOKUP($A189,'Data shares'!$C:$FA,97)</f>
        <v>4.1200000000000001E-2</v>
      </c>
      <c r="N189" s="86">
        <f>VLOOKUP($A189,'Data shares'!$C:$FA,78)</f>
        <v>809100</v>
      </c>
      <c r="O189" s="87">
        <f>VLOOKUP($A189,'Data shares'!$C:$FA,81)</f>
        <v>-0.67779999999999996</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24529965967</v>
      </c>
      <c r="C216" s="119">
        <f>SUM(C7:C215)</f>
        <v>352089952</v>
      </c>
      <c r="D216" s="120">
        <f>C216*100/(B216-C216)</f>
        <v>1.4562484801459099</v>
      </c>
      <c r="E216" s="119">
        <f>SUM(E7:E215)</f>
        <v>14074779927</v>
      </c>
      <c r="F216" s="119">
        <f>SUM(F7:F215)</f>
        <v>108549990</v>
      </c>
      <c r="G216" s="120">
        <f>F216*100/(E216-F216)</f>
        <v>0.77723186922781651</v>
      </c>
      <c r="H216" s="119">
        <f>SUM(H7:H215)</f>
        <v>5932100154</v>
      </c>
      <c r="I216" s="119">
        <f>SUM(I7:I215)</f>
        <v>-126084422</v>
      </c>
      <c r="J216" s="120">
        <f>I216*100/(H216-I216)</f>
        <v>-2.0812245057619059</v>
      </c>
      <c r="K216" s="119">
        <f>SUM(K7:K215)</f>
        <v>4523085886</v>
      </c>
      <c r="L216" s="119">
        <f>SUM(L7:L215)</f>
        <v>369624384</v>
      </c>
      <c r="M216" s="120">
        <f>L216*100/(K216-L216)</f>
        <v>8.8991888770852032</v>
      </c>
      <c r="N216" s="119">
        <f>SUM(N7:N215)</f>
        <v>2703807260</v>
      </c>
      <c r="O216" s="120">
        <f>(N216-FII!V3)/N216*100</f>
        <v>-152.84068643265644</v>
      </c>
    </row>
    <row r="217" spans="1:15" s="89" customFormat="1" ht="16.5" customHeight="1" x14ac:dyDescent="0.25">
      <c r="A217" s="118" t="s">
        <v>409</v>
      </c>
      <c r="B217" s="121">
        <f>B216/10000000</f>
        <v>2452.9965966999998</v>
      </c>
      <c r="C217" s="121">
        <f>C216/10000000</f>
        <v>35.208995199999997</v>
      </c>
      <c r="D217" s="120">
        <f>D216</f>
        <v>1.4562484801459099</v>
      </c>
      <c r="E217" s="121">
        <f>E216/10000000</f>
        <v>1407.4779927</v>
      </c>
      <c r="F217" s="121">
        <f>F216/10000000</f>
        <v>10.854998999999999</v>
      </c>
      <c r="G217" s="120">
        <f>G216</f>
        <v>0.77723186922781651</v>
      </c>
      <c r="H217" s="121">
        <f>H216/10000000</f>
        <v>593.21001539999997</v>
      </c>
      <c r="I217" s="121">
        <f>I216/10000000</f>
        <v>-12.608442200000001</v>
      </c>
      <c r="J217" s="120">
        <f>J216</f>
        <v>-2.0812245057619059</v>
      </c>
      <c r="K217" s="121">
        <f>K216/10000000</f>
        <v>452.30858860000001</v>
      </c>
      <c r="L217" s="121">
        <f>L216/10000000</f>
        <v>36.962438400000003</v>
      </c>
      <c r="M217" s="120">
        <f>M216</f>
        <v>8.8991888770852032</v>
      </c>
      <c r="N217" s="121">
        <f>N216/10000000</f>
        <v>270.38072599999998</v>
      </c>
      <c r="O217" s="120">
        <f>O216</f>
        <v>-152.84068643265644</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1407.4779927</v>
      </c>
      <c r="C227" s="37">
        <f>F217</f>
        <v>10.854998999999999</v>
      </c>
      <c r="D227" s="39">
        <f>C227/B227</f>
        <v>7.7123756508452298E-3</v>
      </c>
    </row>
    <row r="228" spans="1:4" x14ac:dyDescent="0.25">
      <c r="A228" s="36" t="s">
        <v>404</v>
      </c>
      <c r="B228" s="37">
        <f>H217</f>
        <v>593.21001539999997</v>
      </c>
      <c r="C228" s="37">
        <f>I217</f>
        <v>-12.608442200000001</v>
      </c>
      <c r="D228" s="39">
        <f>C228/B228</f>
        <v>-2.1254601022705526E-2</v>
      </c>
    </row>
    <row r="229" spans="1:4" x14ac:dyDescent="0.25">
      <c r="A229" s="36" t="s">
        <v>405</v>
      </c>
      <c r="B229" s="37">
        <f>K217</f>
        <v>452.30858860000001</v>
      </c>
      <c r="C229" s="37">
        <f>L217</f>
        <v>36.962438400000003</v>
      </c>
      <c r="D229" s="39">
        <f>C229/B229</f>
        <v>8.1719514799414542E-2</v>
      </c>
    </row>
    <row r="230" spans="1:4" x14ac:dyDescent="0.25">
      <c r="A230" s="36" t="s">
        <v>406</v>
      </c>
      <c r="B230" s="40">
        <f>SUM(B227:B229)</f>
        <v>2452.9965966999998</v>
      </c>
      <c r="C230" s="40">
        <f>SUM(C227:C229)</f>
        <v>35.208995200000004</v>
      </c>
      <c r="D230" s="41">
        <f>C230/B230</f>
        <v>1.4353462718768722E-2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45957</v>
      </c>
      <c r="C6" s="76" t="s">
        <v>333</v>
      </c>
      <c r="D6" s="76" t="s">
        <v>328</v>
      </c>
      <c r="E6" s="3">
        <f>B6</f>
        <v>45957</v>
      </c>
      <c r="F6" s="76" t="s">
        <v>333</v>
      </c>
      <c r="G6" s="76" t="s">
        <v>328</v>
      </c>
      <c r="H6" s="3">
        <f>E6</f>
        <v>45957</v>
      </c>
      <c r="I6" s="76" t="s">
        <v>333</v>
      </c>
      <c r="J6" s="76" t="s">
        <v>328</v>
      </c>
      <c r="K6" s="3">
        <f>E6</f>
        <v>45957</v>
      </c>
      <c r="L6" s="76" t="s">
        <v>333</v>
      </c>
      <c r="M6" s="76" t="s">
        <v>328</v>
      </c>
      <c r="N6" s="76" t="s">
        <v>339</v>
      </c>
      <c r="O6" s="76" t="s">
        <v>328</v>
      </c>
    </row>
    <row r="7" spans="1:15" x14ac:dyDescent="0.25">
      <c r="A7" s="97" t="str">
        <f>'Data Vlaue (Cr)'!C2</f>
        <v>360ONE</v>
      </c>
      <c r="B7" s="142">
        <f>VLOOKUP(A7,'Data Vlaue (Cr)'!C2:CW216,99,0)</f>
        <v>699</v>
      </c>
      <c r="C7" s="90">
        <f>VLOOKUP(A7,'Data Vlaue (Cr)'!C2:CY216,101,0)</f>
        <v>-108</v>
      </c>
      <c r="D7" s="139">
        <f>VLOOKUP(A7,'Data Vlaue (Cr)'!C2:CZ216,102,0)</f>
        <v>-0.13350000000000001</v>
      </c>
      <c r="E7" s="91">
        <f>VLOOKUP($A7,'Data Vlaue (Cr)'!$C:$FB,75)</f>
        <v>319</v>
      </c>
      <c r="F7" s="91">
        <f>VLOOKUP($A7,'Data Vlaue (Cr)'!$C:$FB,77)</f>
        <v>-73</v>
      </c>
      <c r="G7" s="92">
        <f>VLOOKUP(A7,'Data Vlaue (Cr)'!C2:CB216,78,0)</f>
        <v>-0.1862</v>
      </c>
      <c r="H7" s="91">
        <f>VLOOKUP($A7,'Data Vlaue (Cr)'!$C:$FB,91)</f>
        <v>225</v>
      </c>
      <c r="I7" s="91">
        <f>VLOOKUP($A7,'Data Vlaue (Cr)'!$C:$FB,93)</f>
        <v>-26</v>
      </c>
      <c r="J7" s="92">
        <f>VLOOKUP($A7,'Data Vlaue (Cr)'!$C:$FB,94)</f>
        <v>-0.104</v>
      </c>
      <c r="K7" s="91">
        <f>VLOOKUP($A7,'Data Vlaue (Cr)'!$C:$FB,95)</f>
        <v>154</v>
      </c>
      <c r="L7" s="91">
        <f>VLOOKUP($A7,'Data Vlaue (Cr)'!$C:$FB,97)</f>
        <v>-9</v>
      </c>
      <c r="M7" s="92">
        <f>VLOOKUP($A7,'Data Vlaue (Cr)'!$C:$FB,98)</f>
        <v>-5.2299999999999999E-2</v>
      </c>
      <c r="N7" s="91">
        <f>VLOOKUP($A7,'Data Vlaue (Cr)'!$C:$FB,79)</f>
        <v>86</v>
      </c>
      <c r="O7" s="92">
        <f>VLOOKUP($A7,'Data Vlaue (Cr)'!$C:$FB,82)</f>
        <v>-0.52780000000000005</v>
      </c>
    </row>
    <row r="8" spans="1:15" x14ac:dyDescent="0.25">
      <c r="A8" s="97" t="str">
        <f>'Data Vlaue (Cr)'!C3</f>
        <v>ABB</v>
      </c>
      <c r="B8" s="142">
        <f>VLOOKUP(A8,'Data Vlaue (Cr)'!C3:CW217,99,0)</f>
        <v>2391</v>
      </c>
      <c r="C8" s="90">
        <f>VLOOKUP(A8,'Data Vlaue (Cr)'!C3:CY217,101,0)</f>
        <v>-43</v>
      </c>
      <c r="D8" s="139">
        <f>VLOOKUP(A8,'Data Vlaue (Cr)'!C3:CZ217,102,0)</f>
        <v>-1.7600000000000001E-2</v>
      </c>
      <c r="E8" s="91">
        <f>VLOOKUP($A8,'Data Vlaue (Cr)'!$C:$FB,75)</f>
        <v>1370</v>
      </c>
      <c r="F8" s="91">
        <f>VLOOKUP($A8,'Data Vlaue (Cr)'!$C:$FB,77)</f>
        <v>-2</v>
      </c>
      <c r="G8" s="92">
        <f>VLOOKUP(A8,'Data Vlaue (Cr)'!C3:CB217,78,0)</f>
        <v>-1.5E-3</v>
      </c>
      <c r="H8" s="91">
        <f>VLOOKUP($A8,'Data Vlaue (Cr)'!$C:$FB,91)</f>
        <v>586</v>
      </c>
      <c r="I8" s="91">
        <f>VLOOKUP($A8,'Data Vlaue (Cr)'!$C:$FB,93)</f>
        <v>-43</v>
      </c>
      <c r="J8" s="92">
        <f>VLOOKUP($A8,'Data Vlaue (Cr)'!$C:$FB,94)</f>
        <v>-6.83E-2</v>
      </c>
      <c r="K8" s="91">
        <f>VLOOKUP($A8,'Data Vlaue (Cr)'!$C:$FB,95)</f>
        <v>436</v>
      </c>
      <c r="L8" s="91">
        <f>VLOOKUP($A8,'Data Vlaue (Cr)'!$C:$FB,97)</f>
        <v>2</v>
      </c>
      <c r="M8" s="92">
        <f>VLOOKUP($A8,'Data Vlaue (Cr)'!$C:$FB,98)</f>
        <v>5.1000000000000004E-3</v>
      </c>
      <c r="N8" s="91">
        <f>VLOOKUP($A8,'Data Vlaue (Cr)'!$C:$FB,79)</f>
        <v>181</v>
      </c>
      <c r="O8" s="92">
        <f>VLOOKUP($A8,'Data Vlaue (Cr)'!$C:$FB,82)</f>
        <v>-0.58579999999999999</v>
      </c>
    </row>
    <row r="9" spans="1:15" x14ac:dyDescent="0.25">
      <c r="A9" s="97" t="str">
        <f>'Data Vlaue (Cr)'!C4</f>
        <v>ABCAPITAL</v>
      </c>
      <c r="B9" s="142">
        <f>VLOOKUP(A9,'Data Vlaue (Cr)'!C4:CW218,99,0)</f>
        <v>3364</v>
      </c>
      <c r="C9" s="90">
        <f>VLOOKUP(A9,'Data Vlaue (Cr)'!C4:CY218,101,0)</f>
        <v>4</v>
      </c>
      <c r="D9" s="139">
        <f>VLOOKUP(A9,'Data Vlaue (Cr)'!C4:CZ218,102,0)</f>
        <v>1.2999999999999999E-3</v>
      </c>
      <c r="E9" s="91">
        <f>VLOOKUP($A9,'Data Vlaue (Cr)'!$C:$FB,75)</f>
        <v>2377</v>
      </c>
      <c r="F9" s="91">
        <f>VLOOKUP($A9,'Data Vlaue (Cr)'!$C:$FB,77)</f>
        <v>16</v>
      </c>
      <c r="G9" s="92">
        <f>VLOOKUP(A9,'Data Vlaue (Cr)'!C4:CB218,78,0)</f>
        <v>7.0000000000000001E-3</v>
      </c>
      <c r="H9" s="91">
        <f>VLOOKUP($A9,'Data Vlaue (Cr)'!$C:$FB,91)</f>
        <v>538</v>
      </c>
      <c r="I9" s="91">
        <f>VLOOKUP($A9,'Data Vlaue (Cr)'!$C:$FB,93)</f>
        <v>-31</v>
      </c>
      <c r="J9" s="92">
        <f>VLOOKUP($A9,'Data Vlaue (Cr)'!$C:$FB,94)</f>
        <v>-5.5100000000000003E-2</v>
      </c>
      <c r="K9" s="91">
        <f>VLOOKUP($A9,'Data Vlaue (Cr)'!$C:$FB,95)</f>
        <v>448</v>
      </c>
      <c r="L9" s="91">
        <f>VLOOKUP($A9,'Data Vlaue (Cr)'!$C:$FB,97)</f>
        <v>19</v>
      </c>
      <c r="M9" s="92">
        <f>VLOOKUP($A9,'Data Vlaue (Cr)'!$C:$FB,98)</f>
        <v>4.4699999999999997E-2</v>
      </c>
      <c r="N9" s="91">
        <f>VLOOKUP($A9,'Data Vlaue (Cr)'!$C:$FB,79)</f>
        <v>161</v>
      </c>
      <c r="O9" s="92">
        <f>VLOOKUP($A9,'Data Vlaue (Cr)'!$C:$FB,82)</f>
        <v>-0.79610000000000003</v>
      </c>
    </row>
    <row r="10" spans="1:15" x14ac:dyDescent="0.25">
      <c r="A10" s="97" t="str">
        <f>'Data Vlaue (Cr)'!C5</f>
        <v>ADANIENSOL</v>
      </c>
      <c r="B10" s="142">
        <f>VLOOKUP(A10,'Data Vlaue (Cr)'!C5:CW219,99,0)</f>
        <v>2410</v>
      </c>
      <c r="C10" s="90">
        <f>VLOOKUP(A10,'Data Vlaue (Cr)'!C5:CY219,101,0)</f>
        <v>130</v>
      </c>
      <c r="D10" s="139">
        <f>VLOOKUP(A10,'Data Vlaue (Cr)'!C5:CZ219,102,0)</f>
        <v>5.6800000000000003E-2</v>
      </c>
      <c r="E10" s="91">
        <f>VLOOKUP($A10,'Data Vlaue (Cr)'!$C:$FB,75)</f>
        <v>1750</v>
      </c>
      <c r="F10" s="91">
        <f>VLOOKUP($A10,'Data Vlaue (Cr)'!$C:$FB,77)</f>
        <v>12</v>
      </c>
      <c r="G10" s="92">
        <f>VLOOKUP(A10,'Data Vlaue (Cr)'!C5:CB219,78,0)</f>
        <v>6.7000000000000002E-3</v>
      </c>
      <c r="H10" s="91">
        <f>VLOOKUP($A10,'Data Vlaue (Cr)'!$C:$FB,91)</f>
        <v>416</v>
      </c>
      <c r="I10" s="91">
        <f>VLOOKUP($A10,'Data Vlaue (Cr)'!$C:$FB,93)</f>
        <v>75</v>
      </c>
      <c r="J10" s="92">
        <f>VLOOKUP($A10,'Data Vlaue (Cr)'!$C:$FB,94)</f>
        <v>0.2185</v>
      </c>
      <c r="K10" s="91">
        <f>VLOOKUP($A10,'Data Vlaue (Cr)'!$C:$FB,95)</f>
        <v>244</v>
      </c>
      <c r="L10" s="91">
        <f>VLOOKUP($A10,'Data Vlaue (Cr)'!$C:$FB,97)</f>
        <v>43</v>
      </c>
      <c r="M10" s="92">
        <f>VLOOKUP($A10,'Data Vlaue (Cr)'!$C:$FB,98)</f>
        <v>0.21629999999999999</v>
      </c>
      <c r="N10" s="91">
        <f>VLOOKUP($A10,'Data Vlaue (Cr)'!$C:$FB,79)</f>
        <v>177</v>
      </c>
      <c r="O10" s="92">
        <f>VLOOKUP($A10,'Data Vlaue (Cr)'!$C:$FB,82)</f>
        <v>-0.65229999999999999</v>
      </c>
    </row>
    <row r="11" spans="1:15" x14ac:dyDescent="0.25">
      <c r="A11" s="97" t="str">
        <f>'Data Vlaue (Cr)'!C6</f>
        <v>ADANIENT</v>
      </c>
      <c r="B11" s="142">
        <f>VLOOKUP(A11,'Data Vlaue (Cr)'!C6:CW220,99,0)</f>
        <v>6523</v>
      </c>
      <c r="C11" s="90">
        <f>VLOOKUP(A11,'Data Vlaue (Cr)'!C6:CY220,101,0)</f>
        <v>-108</v>
      </c>
      <c r="D11" s="139">
        <f>VLOOKUP(A11,'Data Vlaue (Cr)'!C6:CZ220,102,0)</f>
        <v>-1.6299999999999999E-2</v>
      </c>
      <c r="E11" s="91">
        <f>VLOOKUP($A11,'Data Vlaue (Cr)'!$C:$FB,75)</f>
        <v>3705</v>
      </c>
      <c r="F11" s="91">
        <f>VLOOKUP($A11,'Data Vlaue (Cr)'!$C:$FB,77)</f>
        <v>46</v>
      </c>
      <c r="G11" s="92">
        <f>VLOOKUP(A11,'Data Vlaue (Cr)'!C6:CB220,78,0)</f>
        <v>1.2699999999999999E-2</v>
      </c>
      <c r="H11" s="91">
        <f>VLOOKUP($A11,'Data Vlaue (Cr)'!$C:$FB,91)</f>
        <v>1739</v>
      </c>
      <c r="I11" s="91">
        <f>VLOOKUP($A11,'Data Vlaue (Cr)'!$C:$FB,93)</f>
        <v>-154</v>
      </c>
      <c r="J11" s="92">
        <f>VLOOKUP($A11,'Data Vlaue (Cr)'!$C:$FB,94)</f>
        <v>-8.1299999999999997E-2</v>
      </c>
      <c r="K11" s="91">
        <f>VLOOKUP($A11,'Data Vlaue (Cr)'!$C:$FB,95)</f>
        <v>1079</v>
      </c>
      <c r="L11" s="91">
        <f>VLOOKUP($A11,'Data Vlaue (Cr)'!$C:$FB,97)</f>
        <v>-1</v>
      </c>
      <c r="M11" s="92">
        <f>VLOOKUP($A11,'Data Vlaue (Cr)'!$C:$FB,98)</f>
        <v>-5.9999999999999995E-4</v>
      </c>
      <c r="N11" s="91">
        <f>VLOOKUP($A11,'Data Vlaue (Cr)'!$C:$FB,79)</f>
        <v>735</v>
      </c>
      <c r="O11" s="92">
        <f>VLOOKUP($A11,'Data Vlaue (Cr)'!$C:$FB,82)</f>
        <v>-0.50160000000000005</v>
      </c>
    </row>
    <row r="12" spans="1:15" x14ac:dyDescent="0.25">
      <c r="A12" s="97" t="str">
        <f>'Data Vlaue (Cr)'!C7</f>
        <v>ADANIGREEN</v>
      </c>
      <c r="B12" s="142">
        <f>VLOOKUP(A12,'Data Vlaue (Cr)'!C7:CW221,99,0)</f>
        <v>3813</v>
      </c>
      <c r="C12" s="90">
        <f>VLOOKUP(A12,'Data Vlaue (Cr)'!C7:CY221,101,0)</f>
        <v>-14</v>
      </c>
      <c r="D12" s="139">
        <f>VLOOKUP(A12,'Data Vlaue (Cr)'!C7:CZ221,102,0)</f>
        <v>-3.7000000000000002E-3</v>
      </c>
      <c r="E12" s="91">
        <f>VLOOKUP($A12,'Data Vlaue (Cr)'!$C:$FB,75)</f>
        <v>2184</v>
      </c>
      <c r="F12" s="91">
        <f>VLOOKUP($A12,'Data Vlaue (Cr)'!$C:$FB,77)</f>
        <v>63</v>
      </c>
      <c r="G12" s="92">
        <f>VLOOKUP(A12,'Data Vlaue (Cr)'!C7:CB221,78,0)</f>
        <v>2.9600000000000001E-2</v>
      </c>
      <c r="H12" s="91">
        <f>VLOOKUP($A12,'Data Vlaue (Cr)'!$C:$FB,91)</f>
        <v>1110</v>
      </c>
      <c r="I12" s="91">
        <f>VLOOKUP($A12,'Data Vlaue (Cr)'!$C:$FB,93)</f>
        <v>-34</v>
      </c>
      <c r="J12" s="92">
        <f>VLOOKUP($A12,'Data Vlaue (Cr)'!$C:$FB,94)</f>
        <v>-0.03</v>
      </c>
      <c r="K12" s="91">
        <f>VLOOKUP($A12,'Data Vlaue (Cr)'!$C:$FB,95)</f>
        <v>518</v>
      </c>
      <c r="L12" s="91">
        <f>VLOOKUP($A12,'Data Vlaue (Cr)'!$C:$FB,97)</f>
        <v>-43</v>
      </c>
      <c r="M12" s="92">
        <f>VLOOKUP($A12,'Data Vlaue (Cr)'!$C:$FB,98)</f>
        <v>-7.6399999999999996E-2</v>
      </c>
      <c r="N12" s="91">
        <f>VLOOKUP($A12,'Data Vlaue (Cr)'!$C:$FB,79)</f>
        <v>379</v>
      </c>
      <c r="O12" s="92">
        <f>VLOOKUP($A12,'Data Vlaue (Cr)'!$C:$FB,82)</f>
        <v>-0.51170000000000004</v>
      </c>
    </row>
    <row r="13" spans="1:15" x14ac:dyDescent="0.25">
      <c r="A13" s="97" t="str">
        <f>'Data Vlaue (Cr)'!C8</f>
        <v>ADANIPORTS</v>
      </c>
      <c r="B13" s="142">
        <f>VLOOKUP(A13,'Data Vlaue (Cr)'!C8:CW222,99,0)</f>
        <v>5431</v>
      </c>
      <c r="C13" s="90">
        <f>VLOOKUP(A13,'Data Vlaue (Cr)'!C8:CY222,101,0)</f>
        <v>-62</v>
      </c>
      <c r="D13" s="139">
        <f>VLOOKUP(A13,'Data Vlaue (Cr)'!C8:CZ222,102,0)</f>
        <v>-1.1299999999999999E-2</v>
      </c>
      <c r="E13" s="91">
        <f>VLOOKUP($A13,'Data Vlaue (Cr)'!$C:$FB,75)</f>
        <v>3559</v>
      </c>
      <c r="F13" s="91">
        <f>VLOOKUP($A13,'Data Vlaue (Cr)'!$C:$FB,77)</f>
        <v>44</v>
      </c>
      <c r="G13" s="92">
        <f>VLOOKUP(A13,'Data Vlaue (Cr)'!C8:CB222,78,0)</f>
        <v>1.24E-2</v>
      </c>
      <c r="H13" s="91">
        <f>VLOOKUP($A13,'Data Vlaue (Cr)'!$C:$FB,91)</f>
        <v>1098</v>
      </c>
      <c r="I13" s="91">
        <f>VLOOKUP($A13,'Data Vlaue (Cr)'!$C:$FB,93)</f>
        <v>-110</v>
      </c>
      <c r="J13" s="92">
        <f>VLOOKUP($A13,'Data Vlaue (Cr)'!$C:$FB,94)</f>
        <v>-9.0899999999999995E-2</v>
      </c>
      <c r="K13" s="91">
        <f>VLOOKUP($A13,'Data Vlaue (Cr)'!$C:$FB,95)</f>
        <v>774</v>
      </c>
      <c r="L13" s="91">
        <f>VLOOKUP($A13,'Data Vlaue (Cr)'!$C:$FB,97)</f>
        <v>4</v>
      </c>
      <c r="M13" s="92">
        <f>VLOOKUP($A13,'Data Vlaue (Cr)'!$C:$FB,98)</f>
        <v>5.3E-3</v>
      </c>
      <c r="N13" s="91">
        <f>VLOOKUP($A13,'Data Vlaue (Cr)'!$C:$FB,79)</f>
        <v>782</v>
      </c>
      <c r="O13" s="92">
        <f>VLOOKUP($A13,'Data Vlaue (Cr)'!$C:$FB,82)</f>
        <v>-0.53769999999999996</v>
      </c>
    </row>
    <row r="14" spans="1:15" x14ac:dyDescent="0.25">
      <c r="A14" s="97" t="str">
        <f>'Data Vlaue (Cr)'!C9</f>
        <v>ALKEM</v>
      </c>
      <c r="B14" s="142">
        <f>VLOOKUP(A14,'Data Vlaue (Cr)'!C9:CW223,99,0)</f>
        <v>1088</v>
      </c>
      <c r="C14" s="90">
        <f>VLOOKUP(A14,'Data Vlaue (Cr)'!C9:CY223,101,0)</f>
        <v>-28</v>
      </c>
      <c r="D14" s="139">
        <f>VLOOKUP(A14,'Data Vlaue (Cr)'!C9:CZ223,102,0)</f>
        <v>-2.5100000000000001E-2</v>
      </c>
      <c r="E14" s="91">
        <f>VLOOKUP($A14,'Data Vlaue (Cr)'!$C:$FB,75)</f>
        <v>860</v>
      </c>
      <c r="F14" s="91">
        <f>VLOOKUP($A14,'Data Vlaue (Cr)'!$C:$FB,77)</f>
        <v>-12</v>
      </c>
      <c r="G14" s="92">
        <f>VLOOKUP(A14,'Data Vlaue (Cr)'!C9:CB223,78,0)</f>
        <v>-1.38E-2</v>
      </c>
      <c r="H14" s="91">
        <f>VLOOKUP($A14,'Data Vlaue (Cr)'!$C:$FB,91)</f>
        <v>127</v>
      </c>
      <c r="I14" s="91">
        <f>VLOOKUP($A14,'Data Vlaue (Cr)'!$C:$FB,93)</f>
        <v>1</v>
      </c>
      <c r="J14" s="92">
        <f>VLOOKUP($A14,'Data Vlaue (Cr)'!$C:$FB,94)</f>
        <v>4.8999999999999998E-3</v>
      </c>
      <c r="K14" s="91">
        <f>VLOOKUP($A14,'Data Vlaue (Cr)'!$C:$FB,95)</f>
        <v>101</v>
      </c>
      <c r="L14" s="91">
        <f>VLOOKUP($A14,'Data Vlaue (Cr)'!$C:$FB,97)</f>
        <v>-17</v>
      </c>
      <c r="M14" s="92">
        <f>VLOOKUP($A14,'Data Vlaue (Cr)'!$C:$FB,98)</f>
        <v>-0.1414</v>
      </c>
      <c r="N14" s="91">
        <f>VLOOKUP($A14,'Data Vlaue (Cr)'!$C:$FB,79)</f>
        <v>94</v>
      </c>
      <c r="O14" s="92">
        <f>VLOOKUP($A14,'Data Vlaue (Cr)'!$C:$FB,82)</f>
        <v>-0.75470000000000004</v>
      </c>
    </row>
    <row r="15" spans="1:15" x14ac:dyDescent="0.25">
      <c r="A15" s="97" t="str">
        <f>'Data Vlaue (Cr)'!C10</f>
        <v>AMBER</v>
      </c>
      <c r="B15" s="142">
        <f>VLOOKUP(A15,'Data Vlaue (Cr)'!C10:CW224,99,0)</f>
        <v>1342</v>
      </c>
      <c r="C15" s="90">
        <f>VLOOKUP(A15,'Data Vlaue (Cr)'!C10:CY224,101,0)</f>
        <v>-138</v>
      </c>
      <c r="D15" s="139">
        <f>VLOOKUP(A15,'Data Vlaue (Cr)'!C10:CZ224,102,0)</f>
        <v>-9.3100000000000002E-2</v>
      </c>
      <c r="E15" s="91">
        <f>VLOOKUP($A15,'Data Vlaue (Cr)'!$C:$FB,75)</f>
        <v>660</v>
      </c>
      <c r="F15" s="91">
        <f>VLOOKUP($A15,'Data Vlaue (Cr)'!$C:$FB,77)</f>
        <v>-86</v>
      </c>
      <c r="G15" s="92">
        <f>VLOOKUP(A15,'Data Vlaue (Cr)'!C10:CB224,78,0)</f>
        <v>-0.11550000000000001</v>
      </c>
      <c r="H15" s="91">
        <f>VLOOKUP($A15,'Data Vlaue (Cr)'!$C:$FB,91)</f>
        <v>399</v>
      </c>
      <c r="I15" s="91">
        <f>VLOOKUP($A15,'Data Vlaue (Cr)'!$C:$FB,93)</f>
        <v>-82</v>
      </c>
      <c r="J15" s="92">
        <f>VLOOKUP($A15,'Data Vlaue (Cr)'!$C:$FB,94)</f>
        <v>-0.17050000000000001</v>
      </c>
      <c r="K15" s="91">
        <f>VLOOKUP($A15,'Data Vlaue (Cr)'!$C:$FB,95)</f>
        <v>283</v>
      </c>
      <c r="L15" s="91">
        <f>VLOOKUP($A15,'Data Vlaue (Cr)'!$C:$FB,97)</f>
        <v>30</v>
      </c>
      <c r="M15" s="92">
        <f>VLOOKUP($A15,'Data Vlaue (Cr)'!$C:$FB,98)</f>
        <v>0.1206</v>
      </c>
      <c r="N15" s="91">
        <f>VLOOKUP($A15,'Data Vlaue (Cr)'!$C:$FB,79)</f>
        <v>130</v>
      </c>
      <c r="O15" s="92">
        <f>VLOOKUP($A15,'Data Vlaue (Cr)'!$C:$FB,82)</f>
        <v>-0.56240000000000001</v>
      </c>
    </row>
    <row r="16" spans="1:15" x14ac:dyDescent="0.25">
      <c r="A16" s="97" t="str">
        <f>'Data Vlaue (Cr)'!C11</f>
        <v>AMBUJACEM</v>
      </c>
      <c r="B16" s="142">
        <f>VLOOKUP(A16,'Data Vlaue (Cr)'!C11:CW225,99,0)</f>
        <v>3703</v>
      </c>
      <c r="C16" s="90">
        <f>VLOOKUP(A16,'Data Vlaue (Cr)'!C11:CY225,101,0)</f>
        <v>-66</v>
      </c>
      <c r="D16" s="139">
        <f>VLOOKUP(A16,'Data Vlaue (Cr)'!C11:CZ225,102,0)</f>
        <v>-1.7600000000000001E-2</v>
      </c>
      <c r="E16" s="91">
        <f>VLOOKUP($A16,'Data Vlaue (Cr)'!$C:$FB,75)</f>
        <v>2597</v>
      </c>
      <c r="F16" s="91">
        <f>VLOOKUP($A16,'Data Vlaue (Cr)'!$C:$FB,77)</f>
        <v>20</v>
      </c>
      <c r="G16" s="92">
        <f>VLOOKUP(A16,'Data Vlaue (Cr)'!C11:CB225,78,0)</f>
        <v>7.7000000000000002E-3</v>
      </c>
      <c r="H16" s="91">
        <f>VLOOKUP($A16,'Data Vlaue (Cr)'!$C:$FB,91)</f>
        <v>634</v>
      </c>
      <c r="I16" s="91">
        <f>VLOOKUP($A16,'Data Vlaue (Cr)'!$C:$FB,93)</f>
        <v>-75</v>
      </c>
      <c r="J16" s="92">
        <f>VLOOKUP($A16,'Data Vlaue (Cr)'!$C:$FB,94)</f>
        <v>-0.1055</v>
      </c>
      <c r="K16" s="91">
        <f>VLOOKUP($A16,'Data Vlaue (Cr)'!$C:$FB,95)</f>
        <v>472</v>
      </c>
      <c r="L16" s="91">
        <f>VLOOKUP($A16,'Data Vlaue (Cr)'!$C:$FB,97)</f>
        <v>-12</v>
      </c>
      <c r="M16" s="92">
        <f>VLOOKUP($A16,'Data Vlaue (Cr)'!$C:$FB,98)</f>
        <v>-2.3900000000000001E-2</v>
      </c>
      <c r="N16" s="91">
        <f>VLOOKUP($A16,'Data Vlaue (Cr)'!$C:$FB,79)</f>
        <v>559</v>
      </c>
      <c r="O16" s="92">
        <f>VLOOKUP($A16,'Data Vlaue (Cr)'!$C:$FB,82)</f>
        <v>-0.47270000000000001</v>
      </c>
    </row>
    <row r="17" spans="1:15" x14ac:dyDescent="0.25">
      <c r="A17" s="97" t="str">
        <f>'Data Vlaue (Cr)'!C12</f>
        <v>ANGELONE</v>
      </c>
      <c r="B17" s="142">
        <f>VLOOKUP(A17,'Data Vlaue (Cr)'!C12:CW226,99,0)</f>
        <v>1795</v>
      </c>
      <c r="C17" s="90">
        <f>VLOOKUP(A17,'Data Vlaue (Cr)'!C12:CY226,101,0)</f>
        <v>-76</v>
      </c>
      <c r="D17" s="139">
        <f>VLOOKUP(A17,'Data Vlaue (Cr)'!C12:CZ226,102,0)</f>
        <v>-4.0899999999999999E-2</v>
      </c>
      <c r="E17" s="91">
        <f>VLOOKUP($A17,'Data Vlaue (Cr)'!$C:$FB,75)</f>
        <v>841</v>
      </c>
      <c r="F17" s="91">
        <f>VLOOKUP($A17,'Data Vlaue (Cr)'!$C:$FB,77)</f>
        <v>18</v>
      </c>
      <c r="G17" s="92">
        <f>VLOOKUP(A17,'Data Vlaue (Cr)'!C12:CB226,78,0)</f>
        <v>2.1499999999999998E-2</v>
      </c>
      <c r="H17" s="91">
        <f>VLOOKUP($A17,'Data Vlaue (Cr)'!$C:$FB,91)</f>
        <v>502</v>
      </c>
      <c r="I17" s="91">
        <f>VLOOKUP($A17,'Data Vlaue (Cr)'!$C:$FB,93)</f>
        <v>-58</v>
      </c>
      <c r="J17" s="92">
        <f>VLOOKUP($A17,'Data Vlaue (Cr)'!$C:$FB,94)</f>
        <v>-0.1038</v>
      </c>
      <c r="K17" s="91">
        <f>VLOOKUP($A17,'Data Vlaue (Cr)'!$C:$FB,95)</f>
        <v>452</v>
      </c>
      <c r="L17" s="91">
        <f>VLOOKUP($A17,'Data Vlaue (Cr)'!$C:$FB,97)</f>
        <v>-36</v>
      </c>
      <c r="M17" s="92">
        <f>VLOOKUP($A17,'Data Vlaue (Cr)'!$C:$FB,98)</f>
        <v>-7.3800000000000004E-2</v>
      </c>
      <c r="N17" s="91">
        <f>VLOOKUP($A17,'Data Vlaue (Cr)'!$C:$FB,79)</f>
        <v>153</v>
      </c>
      <c r="O17" s="92">
        <f>VLOOKUP($A17,'Data Vlaue (Cr)'!$C:$FB,82)</f>
        <v>-0.54869999999999997</v>
      </c>
    </row>
    <row r="18" spans="1:15" x14ac:dyDescent="0.25">
      <c r="A18" s="97" t="str">
        <f>'Data Vlaue (Cr)'!C13</f>
        <v>APLAPOLLO</v>
      </c>
      <c r="B18" s="142">
        <f>VLOOKUP(A18,'Data Vlaue (Cr)'!C13:CW227,99,0)</f>
        <v>2229</v>
      </c>
      <c r="C18" s="90">
        <f>VLOOKUP(A18,'Data Vlaue (Cr)'!C13:CY227,101,0)</f>
        <v>-18</v>
      </c>
      <c r="D18" s="139">
        <f>VLOOKUP(A18,'Data Vlaue (Cr)'!C13:CZ227,102,0)</f>
        <v>-7.9000000000000008E-3</v>
      </c>
      <c r="E18" s="91">
        <f>VLOOKUP($A18,'Data Vlaue (Cr)'!$C:$FB,75)</f>
        <v>1751</v>
      </c>
      <c r="F18" s="91">
        <f>VLOOKUP($A18,'Data Vlaue (Cr)'!$C:$FB,77)</f>
        <v>-25</v>
      </c>
      <c r="G18" s="92">
        <f>VLOOKUP(A18,'Data Vlaue (Cr)'!C13:CB227,78,0)</f>
        <v>-1.38E-2</v>
      </c>
      <c r="H18" s="91">
        <f>VLOOKUP($A18,'Data Vlaue (Cr)'!$C:$FB,91)</f>
        <v>281</v>
      </c>
      <c r="I18" s="91">
        <f>VLOOKUP($A18,'Data Vlaue (Cr)'!$C:$FB,93)</f>
        <v>-20</v>
      </c>
      <c r="J18" s="92">
        <f>VLOOKUP($A18,'Data Vlaue (Cr)'!$C:$FB,94)</f>
        <v>-6.7699999999999996E-2</v>
      </c>
      <c r="K18" s="91">
        <f>VLOOKUP($A18,'Data Vlaue (Cr)'!$C:$FB,95)</f>
        <v>198</v>
      </c>
      <c r="L18" s="91">
        <f>VLOOKUP($A18,'Data Vlaue (Cr)'!$C:$FB,97)</f>
        <v>27</v>
      </c>
      <c r="M18" s="92">
        <f>VLOOKUP($A18,'Data Vlaue (Cr)'!$C:$FB,98)</f>
        <v>0.15920000000000001</v>
      </c>
      <c r="N18" s="91">
        <f>VLOOKUP($A18,'Data Vlaue (Cr)'!$C:$FB,79)</f>
        <v>190</v>
      </c>
      <c r="O18" s="92">
        <f>VLOOKUP($A18,'Data Vlaue (Cr)'!$C:$FB,82)</f>
        <v>-0.72819999999999996</v>
      </c>
    </row>
    <row r="19" spans="1:15" x14ac:dyDescent="0.25">
      <c r="A19" s="97" t="str">
        <f>'Data Vlaue (Cr)'!C14</f>
        <v>APOLLOHOSP</v>
      </c>
      <c r="B19" s="142">
        <f>VLOOKUP(A19,'Data Vlaue (Cr)'!C14:CW228,99,0)</f>
        <v>3082</v>
      </c>
      <c r="C19" s="90">
        <f>VLOOKUP(A19,'Data Vlaue (Cr)'!C14:CY228,101,0)</f>
        <v>-166</v>
      </c>
      <c r="D19" s="139">
        <f>VLOOKUP(A19,'Data Vlaue (Cr)'!C14:CZ228,102,0)</f>
        <v>-5.1200000000000002E-2</v>
      </c>
      <c r="E19" s="91">
        <f>VLOOKUP($A19,'Data Vlaue (Cr)'!$C:$FB,75)</f>
        <v>2160</v>
      </c>
      <c r="F19" s="91">
        <f>VLOOKUP($A19,'Data Vlaue (Cr)'!$C:$FB,77)</f>
        <v>-19</v>
      </c>
      <c r="G19" s="92">
        <f>VLOOKUP(A19,'Data Vlaue (Cr)'!C14:CB228,78,0)</f>
        <v>-8.6E-3</v>
      </c>
      <c r="H19" s="91">
        <f>VLOOKUP($A19,'Data Vlaue (Cr)'!$C:$FB,91)</f>
        <v>554</v>
      </c>
      <c r="I19" s="91">
        <f>VLOOKUP($A19,'Data Vlaue (Cr)'!$C:$FB,93)</f>
        <v>-100</v>
      </c>
      <c r="J19" s="92">
        <f>VLOOKUP($A19,'Data Vlaue (Cr)'!$C:$FB,94)</f>
        <v>-0.15329999999999999</v>
      </c>
      <c r="K19" s="91">
        <f>VLOOKUP($A19,'Data Vlaue (Cr)'!$C:$FB,95)</f>
        <v>368</v>
      </c>
      <c r="L19" s="91">
        <f>VLOOKUP($A19,'Data Vlaue (Cr)'!$C:$FB,97)</f>
        <v>-48</v>
      </c>
      <c r="M19" s="92">
        <f>VLOOKUP($A19,'Data Vlaue (Cr)'!$C:$FB,98)</f>
        <v>-0.1145</v>
      </c>
      <c r="N19" s="91">
        <f>VLOOKUP($A19,'Data Vlaue (Cr)'!$C:$FB,79)</f>
        <v>507</v>
      </c>
      <c r="O19" s="92">
        <f>VLOOKUP($A19,'Data Vlaue (Cr)'!$C:$FB,82)</f>
        <v>-0.52880000000000005</v>
      </c>
    </row>
    <row r="20" spans="1:15" x14ac:dyDescent="0.25">
      <c r="A20" s="97" t="str">
        <f>'Data Vlaue (Cr)'!C15</f>
        <v>ASHOKLEY</v>
      </c>
      <c r="B20" s="142">
        <f>VLOOKUP(A20,'Data Vlaue (Cr)'!C15:CW229,99,0)</f>
        <v>3899</v>
      </c>
      <c r="C20" s="90">
        <f>VLOOKUP(A20,'Data Vlaue (Cr)'!C15:CY229,101,0)</f>
        <v>188</v>
      </c>
      <c r="D20" s="139">
        <f>VLOOKUP(A20,'Data Vlaue (Cr)'!C15:CZ229,102,0)</f>
        <v>5.0700000000000002E-2</v>
      </c>
      <c r="E20" s="91">
        <f>VLOOKUP($A20,'Data Vlaue (Cr)'!$C:$FB,75)</f>
        <v>2196</v>
      </c>
      <c r="F20" s="91">
        <f>VLOOKUP($A20,'Data Vlaue (Cr)'!$C:$FB,77)</f>
        <v>162</v>
      </c>
      <c r="G20" s="92">
        <f>VLOOKUP(A20,'Data Vlaue (Cr)'!C15:CB229,78,0)</f>
        <v>7.9500000000000001E-2</v>
      </c>
      <c r="H20" s="91">
        <f>VLOOKUP($A20,'Data Vlaue (Cr)'!$C:$FB,91)</f>
        <v>1110</v>
      </c>
      <c r="I20" s="91">
        <f>VLOOKUP($A20,'Data Vlaue (Cr)'!$C:$FB,93)</f>
        <v>-29</v>
      </c>
      <c r="J20" s="92">
        <f>VLOOKUP($A20,'Data Vlaue (Cr)'!$C:$FB,94)</f>
        <v>-2.5700000000000001E-2</v>
      </c>
      <c r="K20" s="91">
        <f>VLOOKUP($A20,'Data Vlaue (Cr)'!$C:$FB,95)</f>
        <v>592</v>
      </c>
      <c r="L20" s="91">
        <f>VLOOKUP($A20,'Data Vlaue (Cr)'!$C:$FB,97)</f>
        <v>56</v>
      </c>
      <c r="M20" s="92">
        <f>VLOOKUP($A20,'Data Vlaue (Cr)'!$C:$FB,98)</f>
        <v>0.1038</v>
      </c>
      <c r="N20" s="91">
        <f>VLOOKUP($A20,'Data Vlaue (Cr)'!$C:$FB,79)</f>
        <v>284</v>
      </c>
      <c r="O20" s="92">
        <f>VLOOKUP($A20,'Data Vlaue (Cr)'!$C:$FB,82)</f>
        <v>-0.58250000000000002</v>
      </c>
    </row>
    <row r="21" spans="1:15" x14ac:dyDescent="0.25">
      <c r="A21" s="97" t="str">
        <f>'Data Vlaue (Cr)'!C16</f>
        <v>ASIANPAINT</v>
      </c>
      <c r="B21" s="142">
        <f>VLOOKUP(A21,'Data Vlaue (Cr)'!C16:CW230,99,0)</f>
        <v>5852</v>
      </c>
      <c r="C21" s="90">
        <f>VLOOKUP(A21,'Data Vlaue (Cr)'!C16:CY230,101,0)</f>
        <v>-112</v>
      </c>
      <c r="D21" s="139">
        <f>VLOOKUP(A21,'Data Vlaue (Cr)'!C16:CZ230,102,0)</f>
        <v>-1.8800000000000001E-2</v>
      </c>
      <c r="E21" s="91">
        <f>VLOOKUP($A21,'Data Vlaue (Cr)'!$C:$FB,75)</f>
        <v>3426</v>
      </c>
      <c r="F21" s="91">
        <f>VLOOKUP($A21,'Data Vlaue (Cr)'!$C:$FB,77)</f>
        <v>28</v>
      </c>
      <c r="G21" s="92">
        <f>VLOOKUP(A21,'Data Vlaue (Cr)'!C16:CB230,78,0)</f>
        <v>8.3999999999999995E-3</v>
      </c>
      <c r="H21" s="91">
        <f>VLOOKUP($A21,'Data Vlaue (Cr)'!$C:$FB,91)</f>
        <v>1421</v>
      </c>
      <c r="I21" s="91">
        <f>VLOOKUP($A21,'Data Vlaue (Cr)'!$C:$FB,93)</f>
        <v>-107</v>
      </c>
      <c r="J21" s="92">
        <f>VLOOKUP($A21,'Data Vlaue (Cr)'!$C:$FB,94)</f>
        <v>-6.9800000000000001E-2</v>
      </c>
      <c r="K21" s="91">
        <f>VLOOKUP($A21,'Data Vlaue (Cr)'!$C:$FB,95)</f>
        <v>1005</v>
      </c>
      <c r="L21" s="91">
        <f>VLOOKUP($A21,'Data Vlaue (Cr)'!$C:$FB,97)</f>
        <v>-34</v>
      </c>
      <c r="M21" s="92">
        <f>VLOOKUP($A21,'Data Vlaue (Cr)'!$C:$FB,98)</f>
        <v>-3.3000000000000002E-2</v>
      </c>
      <c r="N21" s="91">
        <f>VLOOKUP($A21,'Data Vlaue (Cr)'!$C:$FB,79)</f>
        <v>363</v>
      </c>
      <c r="O21" s="92">
        <f>VLOOKUP($A21,'Data Vlaue (Cr)'!$C:$FB,82)</f>
        <v>-0.70420000000000005</v>
      </c>
    </row>
    <row r="22" spans="1:15" x14ac:dyDescent="0.25">
      <c r="A22" s="97" t="str">
        <f>'Data Vlaue (Cr)'!C17</f>
        <v>ASTRAL</v>
      </c>
      <c r="B22" s="142">
        <f>VLOOKUP(A22,'Data Vlaue (Cr)'!C17:CW231,99,0)</f>
        <v>1911</v>
      </c>
      <c r="C22" s="90">
        <f>VLOOKUP(A22,'Data Vlaue (Cr)'!C17:CY231,101,0)</f>
        <v>-34</v>
      </c>
      <c r="D22" s="139">
        <f>VLOOKUP(A22,'Data Vlaue (Cr)'!C17:CZ231,102,0)</f>
        <v>-1.7600000000000001E-2</v>
      </c>
      <c r="E22" s="91">
        <f>VLOOKUP($A22,'Data Vlaue (Cr)'!$C:$FB,75)</f>
        <v>1306</v>
      </c>
      <c r="F22" s="91">
        <f>VLOOKUP($A22,'Data Vlaue (Cr)'!$C:$FB,77)</f>
        <v>-18</v>
      </c>
      <c r="G22" s="92">
        <f>VLOOKUP(A22,'Data Vlaue (Cr)'!C17:CB231,78,0)</f>
        <v>-1.38E-2</v>
      </c>
      <c r="H22" s="91">
        <f>VLOOKUP($A22,'Data Vlaue (Cr)'!$C:$FB,91)</f>
        <v>400</v>
      </c>
      <c r="I22" s="91">
        <f>VLOOKUP($A22,'Data Vlaue (Cr)'!$C:$FB,93)</f>
        <v>-16</v>
      </c>
      <c r="J22" s="92">
        <f>VLOOKUP($A22,'Data Vlaue (Cr)'!$C:$FB,94)</f>
        <v>-3.8100000000000002E-2</v>
      </c>
      <c r="K22" s="91">
        <f>VLOOKUP($A22,'Data Vlaue (Cr)'!$C:$FB,95)</f>
        <v>205</v>
      </c>
      <c r="L22" s="91">
        <f>VLOOKUP($A22,'Data Vlaue (Cr)'!$C:$FB,97)</f>
        <v>0</v>
      </c>
      <c r="M22" s="92">
        <f>VLOOKUP($A22,'Data Vlaue (Cr)'!$C:$FB,98)</f>
        <v>-8.9999999999999998E-4</v>
      </c>
      <c r="N22" s="91">
        <f>VLOOKUP($A22,'Data Vlaue (Cr)'!$C:$FB,79)</f>
        <v>164</v>
      </c>
      <c r="O22" s="92">
        <f>VLOOKUP($A22,'Data Vlaue (Cr)'!$C:$FB,82)</f>
        <v>-0.58930000000000005</v>
      </c>
    </row>
    <row r="23" spans="1:15" x14ac:dyDescent="0.25">
      <c r="A23" s="97" t="str">
        <f>'Data Vlaue (Cr)'!C18</f>
        <v>AUBANK</v>
      </c>
      <c r="B23" s="142">
        <f>VLOOKUP(A23,'Data Vlaue (Cr)'!C18:CW232,99,0)</f>
        <v>3484</v>
      </c>
      <c r="C23" s="90">
        <f>VLOOKUP(A23,'Data Vlaue (Cr)'!C18:CY232,101,0)</f>
        <v>-333</v>
      </c>
      <c r="D23" s="139">
        <f>VLOOKUP(A23,'Data Vlaue (Cr)'!C18:CZ232,102,0)</f>
        <v>-8.7300000000000003E-2</v>
      </c>
      <c r="E23" s="91">
        <f>VLOOKUP($A23,'Data Vlaue (Cr)'!$C:$FB,75)</f>
        <v>1868</v>
      </c>
      <c r="F23" s="91">
        <f>VLOOKUP($A23,'Data Vlaue (Cr)'!$C:$FB,77)</f>
        <v>-131</v>
      </c>
      <c r="G23" s="92">
        <f>VLOOKUP(A23,'Data Vlaue (Cr)'!C18:CB232,78,0)</f>
        <v>-6.54E-2</v>
      </c>
      <c r="H23" s="91">
        <f>VLOOKUP($A23,'Data Vlaue (Cr)'!$C:$FB,91)</f>
        <v>734</v>
      </c>
      <c r="I23" s="91">
        <f>VLOOKUP($A23,'Data Vlaue (Cr)'!$C:$FB,93)</f>
        <v>-86</v>
      </c>
      <c r="J23" s="92">
        <f>VLOOKUP($A23,'Data Vlaue (Cr)'!$C:$FB,94)</f>
        <v>-0.1045</v>
      </c>
      <c r="K23" s="91">
        <f>VLOOKUP($A23,'Data Vlaue (Cr)'!$C:$FB,95)</f>
        <v>882</v>
      </c>
      <c r="L23" s="91">
        <f>VLOOKUP($A23,'Data Vlaue (Cr)'!$C:$FB,97)</f>
        <v>-117</v>
      </c>
      <c r="M23" s="92">
        <f>VLOOKUP($A23,'Data Vlaue (Cr)'!$C:$FB,98)</f>
        <v>-0.1168</v>
      </c>
      <c r="N23" s="91">
        <f>VLOOKUP($A23,'Data Vlaue (Cr)'!$C:$FB,79)</f>
        <v>299</v>
      </c>
      <c r="O23" s="92">
        <f>VLOOKUP($A23,'Data Vlaue (Cr)'!$C:$FB,82)</f>
        <v>-0.51580000000000004</v>
      </c>
    </row>
    <row r="24" spans="1:15" x14ac:dyDescent="0.25">
      <c r="A24" s="97" t="str">
        <f>'Data Vlaue (Cr)'!C19</f>
        <v>AUROPHARMA</v>
      </c>
      <c r="B24" s="142">
        <f>VLOOKUP(A24,'Data Vlaue (Cr)'!C19:CW233,99,0)</f>
        <v>3631</v>
      </c>
      <c r="C24" s="90">
        <f>VLOOKUP(A24,'Data Vlaue (Cr)'!C19:CY233,101,0)</f>
        <v>37</v>
      </c>
      <c r="D24" s="139">
        <f>VLOOKUP(A24,'Data Vlaue (Cr)'!C19:CZ233,102,0)</f>
        <v>1.04E-2</v>
      </c>
      <c r="E24" s="91">
        <f>VLOOKUP($A24,'Data Vlaue (Cr)'!$C:$FB,75)</f>
        <v>2696</v>
      </c>
      <c r="F24" s="91">
        <f>VLOOKUP($A24,'Data Vlaue (Cr)'!$C:$FB,77)</f>
        <v>8</v>
      </c>
      <c r="G24" s="92">
        <f>VLOOKUP(A24,'Data Vlaue (Cr)'!C19:CB233,78,0)</f>
        <v>3.0999999999999999E-3</v>
      </c>
      <c r="H24" s="91">
        <f>VLOOKUP($A24,'Data Vlaue (Cr)'!$C:$FB,91)</f>
        <v>553</v>
      </c>
      <c r="I24" s="91">
        <f>VLOOKUP($A24,'Data Vlaue (Cr)'!$C:$FB,93)</f>
        <v>11</v>
      </c>
      <c r="J24" s="92">
        <f>VLOOKUP($A24,'Data Vlaue (Cr)'!$C:$FB,94)</f>
        <v>2.01E-2</v>
      </c>
      <c r="K24" s="91">
        <f>VLOOKUP($A24,'Data Vlaue (Cr)'!$C:$FB,95)</f>
        <v>382</v>
      </c>
      <c r="L24" s="91">
        <f>VLOOKUP($A24,'Data Vlaue (Cr)'!$C:$FB,97)</f>
        <v>18</v>
      </c>
      <c r="M24" s="92">
        <f>VLOOKUP($A24,'Data Vlaue (Cr)'!$C:$FB,98)</f>
        <v>4.9500000000000002E-2</v>
      </c>
      <c r="N24" s="91">
        <f>VLOOKUP($A24,'Data Vlaue (Cr)'!$C:$FB,79)</f>
        <v>348</v>
      </c>
      <c r="O24" s="92">
        <f>VLOOKUP($A24,'Data Vlaue (Cr)'!$C:$FB,82)</f>
        <v>-0.57140000000000002</v>
      </c>
    </row>
    <row r="25" spans="1:15" x14ac:dyDescent="0.25">
      <c r="A25" s="97" t="str">
        <f>'Data Vlaue (Cr)'!C20</f>
        <v>AXISBANK</v>
      </c>
      <c r="B25" s="142">
        <f>VLOOKUP(A25,'Data Vlaue (Cr)'!C20:CW234,99,0)</f>
        <v>16475</v>
      </c>
      <c r="C25" s="90">
        <f>VLOOKUP(A25,'Data Vlaue (Cr)'!C20:CY234,101,0)</f>
        <v>-247</v>
      </c>
      <c r="D25" s="139">
        <f>VLOOKUP(A25,'Data Vlaue (Cr)'!C20:CZ234,102,0)</f>
        <v>-1.47E-2</v>
      </c>
      <c r="E25" s="91">
        <f>VLOOKUP($A25,'Data Vlaue (Cr)'!$C:$FB,75)</f>
        <v>10327</v>
      </c>
      <c r="F25" s="91">
        <f>VLOOKUP($A25,'Data Vlaue (Cr)'!$C:$FB,77)</f>
        <v>126</v>
      </c>
      <c r="G25" s="92">
        <f>VLOOKUP(A25,'Data Vlaue (Cr)'!C20:CB234,78,0)</f>
        <v>1.23E-2</v>
      </c>
      <c r="H25" s="91">
        <f>VLOOKUP($A25,'Data Vlaue (Cr)'!$C:$FB,91)</f>
        <v>3425</v>
      </c>
      <c r="I25" s="91">
        <f>VLOOKUP($A25,'Data Vlaue (Cr)'!$C:$FB,93)</f>
        <v>-290</v>
      </c>
      <c r="J25" s="92">
        <f>VLOOKUP($A25,'Data Vlaue (Cr)'!$C:$FB,94)</f>
        <v>-7.8200000000000006E-2</v>
      </c>
      <c r="K25" s="91">
        <f>VLOOKUP($A25,'Data Vlaue (Cr)'!$C:$FB,95)</f>
        <v>2724</v>
      </c>
      <c r="L25" s="91">
        <f>VLOOKUP($A25,'Data Vlaue (Cr)'!$C:$FB,97)</f>
        <v>-82</v>
      </c>
      <c r="M25" s="92">
        <f>VLOOKUP($A25,'Data Vlaue (Cr)'!$C:$FB,98)</f>
        <v>-2.9100000000000001E-2</v>
      </c>
      <c r="N25" s="91">
        <f>VLOOKUP($A25,'Data Vlaue (Cr)'!$C:$FB,79)</f>
        <v>1788</v>
      </c>
      <c r="O25" s="92">
        <f>VLOOKUP($A25,'Data Vlaue (Cr)'!$C:$FB,82)</f>
        <v>-0.38750000000000001</v>
      </c>
    </row>
    <row r="26" spans="1:15" x14ac:dyDescent="0.25">
      <c r="A26" s="97" t="str">
        <f>'Data Vlaue (Cr)'!C21</f>
        <v>BAJAJ-AUTO</v>
      </c>
      <c r="B26" s="142">
        <f>VLOOKUP(A26,'Data Vlaue (Cr)'!C21:CW235,99,0)</f>
        <v>5054</v>
      </c>
      <c r="C26" s="90">
        <f>VLOOKUP(A26,'Data Vlaue (Cr)'!C21:CY235,101,0)</f>
        <v>-109</v>
      </c>
      <c r="D26" s="139">
        <f>VLOOKUP(A26,'Data Vlaue (Cr)'!C21:CZ235,102,0)</f>
        <v>-2.12E-2</v>
      </c>
      <c r="E26" s="91">
        <f>VLOOKUP($A26,'Data Vlaue (Cr)'!$C:$FB,75)</f>
        <v>3121</v>
      </c>
      <c r="F26" s="91">
        <f>VLOOKUP($A26,'Data Vlaue (Cr)'!$C:$FB,77)</f>
        <v>71</v>
      </c>
      <c r="G26" s="92">
        <f>VLOOKUP(A26,'Data Vlaue (Cr)'!C21:CB235,78,0)</f>
        <v>2.3300000000000001E-2</v>
      </c>
      <c r="H26" s="91">
        <f>VLOOKUP($A26,'Data Vlaue (Cr)'!$C:$FB,91)</f>
        <v>1071</v>
      </c>
      <c r="I26" s="91">
        <f>VLOOKUP($A26,'Data Vlaue (Cr)'!$C:$FB,93)</f>
        <v>-178</v>
      </c>
      <c r="J26" s="92">
        <f>VLOOKUP($A26,'Data Vlaue (Cr)'!$C:$FB,94)</f>
        <v>-0.1426</v>
      </c>
      <c r="K26" s="91">
        <f>VLOOKUP($A26,'Data Vlaue (Cr)'!$C:$FB,95)</f>
        <v>862</v>
      </c>
      <c r="L26" s="91">
        <f>VLOOKUP($A26,'Data Vlaue (Cr)'!$C:$FB,97)</f>
        <v>-2</v>
      </c>
      <c r="M26" s="92">
        <f>VLOOKUP($A26,'Data Vlaue (Cr)'!$C:$FB,98)</f>
        <v>-2.5000000000000001E-3</v>
      </c>
      <c r="N26" s="91">
        <f>VLOOKUP($A26,'Data Vlaue (Cr)'!$C:$FB,79)</f>
        <v>372</v>
      </c>
      <c r="O26" s="92">
        <f>VLOOKUP($A26,'Data Vlaue (Cr)'!$C:$FB,82)</f>
        <v>-0.60940000000000005</v>
      </c>
    </row>
    <row r="27" spans="1:15" x14ac:dyDescent="0.25">
      <c r="A27" s="97" t="str">
        <f>'Data Vlaue (Cr)'!C22</f>
        <v>BAJAJFINSV</v>
      </c>
      <c r="B27" s="142">
        <f>VLOOKUP(A27,'Data Vlaue (Cr)'!C22:CW236,99,0)</f>
        <v>7149</v>
      </c>
      <c r="C27" s="90">
        <f>VLOOKUP(A27,'Data Vlaue (Cr)'!C22:CY236,101,0)</f>
        <v>-42</v>
      </c>
      <c r="D27" s="139">
        <f>VLOOKUP(A27,'Data Vlaue (Cr)'!C22:CZ236,102,0)</f>
        <v>-5.7999999999999996E-3</v>
      </c>
      <c r="E27" s="91">
        <f>VLOOKUP($A27,'Data Vlaue (Cr)'!$C:$FB,75)</f>
        <v>4331</v>
      </c>
      <c r="F27" s="91">
        <f>VLOOKUP($A27,'Data Vlaue (Cr)'!$C:$FB,77)</f>
        <v>29</v>
      </c>
      <c r="G27" s="92">
        <f>VLOOKUP(A27,'Data Vlaue (Cr)'!C22:CB236,78,0)</f>
        <v>6.7000000000000002E-3</v>
      </c>
      <c r="H27" s="91">
        <f>VLOOKUP($A27,'Data Vlaue (Cr)'!$C:$FB,91)</f>
        <v>1457</v>
      </c>
      <c r="I27" s="91">
        <f>VLOOKUP($A27,'Data Vlaue (Cr)'!$C:$FB,93)</f>
        <v>-32</v>
      </c>
      <c r="J27" s="92">
        <f>VLOOKUP($A27,'Data Vlaue (Cr)'!$C:$FB,94)</f>
        <v>-2.1299999999999999E-2</v>
      </c>
      <c r="K27" s="91">
        <f>VLOOKUP($A27,'Data Vlaue (Cr)'!$C:$FB,95)</f>
        <v>1361</v>
      </c>
      <c r="L27" s="91">
        <f>VLOOKUP($A27,'Data Vlaue (Cr)'!$C:$FB,97)</f>
        <v>-39</v>
      </c>
      <c r="M27" s="92">
        <f>VLOOKUP($A27,'Data Vlaue (Cr)'!$C:$FB,98)</f>
        <v>-2.7799999999999998E-2</v>
      </c>
      <c r="N27" s="91">
        <f>VLOOKUP($A27,'Data Vlaue (Cr)'!$C:$FB,79)</f>
        <v>1172</v>
      </c>
      <c r="O27" s="92">
        <f>VLOOKUP($A27,'Data Vlaue (Cr)'!$C:$FB,82)</f>
        <v>-0.4375</v>
      </c>
    </row>
    <row r="28" spans="1:15" x14ac:dyDescent="0.25">
      <c r="A28" s="97" t="str">
        <f>'Data Vlaue (Cr)'!C23</f>
        <v>BAJFINANCE</v>
      </c>
      <c r="B28" s="142">
        <f>VLOOKUP(A28,'Data Vlaue (Cr)'!C23:CW237,99,0)</f>
        <v>14148</v>
      </c>
      <c r="C28" s="90">
        <f>VLOOKUP(A28,'Data Vlaue (Cr)'!C23:CY237,101,0)</f>
        <v>-598</v>
      </c>
      <c r="D28" s="139">
        <f>VLOOKUP(A28,'Data Vlaue (Cr)'!C23:CZ237,102,0)</f>
        <v>-4.0599999999999997E-2</v>
      </c>
      <c r="E28" s="91">
        <f>VLOOKUP($A28,'Data Vlaue (Cr)'!$C:$FB,75)</f>
        <v>10127</v>
      </c>
      <c r="F28" s="91">
        <f>VLOOKUP($A28,'Data Vlaue (Cr)'!$C:$FB,77)</f>
        <v>-191</v>
      </c>
      <c r="G28" s="92">
        <f>VLOOKUP(A28,'Data Vlaue (Cr)'!C23:CB237,78,0)</f>
        <v>-1.8499999999999999E-2</v>
      </c>
      <c r="H28" s="91">
        <f>VLOOKUP($A28,'Data Vlaue (Cr)'!$C:$FB,91)</f>
        <v>1923</v>
      </c>
      <c r="I28" s="91">
        <f>VLOOKUP($A28,'Data Vlaue (Cr)'!$C:$FB,93)</f>
        <v>-144</v>
      </c>
      <c r="J28" s="92">
        <f>VLOOKUP($A28,'Data Vlaue (Cr)'!$C:$FB,94)</f>
        <v>-6.9599999999999995E-2</v>
      </c>
      <c r="K28" s="91">
        <f>VLOOKUP($A28,'Data Vlaue (Cr)'!$C:$FB,95)</f>
        <v>2098</v>
      </c>
      <c r="L28" s="91">
        <f>VLOOKUP($A28,'Data Vlaue (Cr)'!$C:$FB,97)</f>
        <v>-264</v>
      </c>
      <c r="M28" s="92">
        <f>VLOOKUP($A28,'Data Vlaue (Cr)'!$C:$FB,98)</f>
        <v>-0.1116</v>
      </c>
      <c r="N28" s="91">
        <f>VLOOKUP($A28,'Data Vlaue (Cr)'!$C:$FB,79)</f>
        <v>1244</v>
      </c>
      <c r="O28" s="92">
        <f>VLOOKUP($A28,'Data Vlaue (Cr)'!$C:$FB,82)</f>
        <v>-0.67320000000000002</v>
      </c>
    </row>
    <row r="29" spans="1:15" x14ac:dyDescent="0.25">
      <c r="A29" s="97" t="str">
        <f>'Data Vlaue (Cr)'!C24</f>
        <v>BANDHANBNK</v>
      </c>
      <c r="B29" s="142">
        <f>VLOOKUP(A29,'Data Vlaue (Cr)'!C24:CW238,99,0)</f>
        <v>3057</v>
      </c>
      <c r="C29" s="90">
        <f>VLOOKUP(A29,'Data Vlaue (Cr)'!C24:CY238,101,0)</f>
        <v>-8</v>
      </c>
      <c r="D29" s="139">
        <f>VLOOKUP(A29,'Data Vlaue (Cr)'!C24:CZ238,102,0)</f>
        <v>-2.7000000000000001E-3</v>
      </c>
      <c r="E29" s="91">
        <f>VLOOKUP($A29,'Data Vlaue (Cr)'!$C:$FB,75)</f>
        <v>1786</v>
      </c>
      <c r="F29" s="91">
        <f>VLOOKUP($A29,'Data Vlaue (Cr)'!$C:$FB,77)</f>
        <v>-16</v>
      </c>
      <c r="G29" s="92">
        <f>VLOOKUP(A29,'Data Vlaue (Cr)'!C24:CB238,78,0)</f>
        <v>-8.6999999999999994E-3</v>
      </c>
      <c r="H29" s="91">
        <f>VLOOKUP($A29,'Data Vlaue (Cr)'!$C:$FB,91)</f>
        <v>644</v>
      </c>
      <c r="I29" s="91">
        <f>VLOOKUP($A29,'Data Vlaue (Cr)'!$C:$FB,93)</f>
        <v>-2</v>
      </c>
      <c r="J29" s="92">
        <f>VLOOKUP($A29,'Data Vlaue (Cr)'!$C:$FB,94)</f>
        <v>-3.5000000000000001E-3</v>
      </c>
      <c r="K29" s="91">
        <f>VLOOKUP($A29,'Data Vlaue (Cr)'!$C:$FB,95)</f>
        <v>626</v>
      </c>
      <c r="L29" s="91">
        <f>VLOOKUP($A29,'Data Vlaue (Cr)'!$C:$FB,97)</f>
        <v>10</v>
      </c>
      <c r="M29" s="92">
        <f>VLOOKUP($A29,'Data Vlaue (Cr)'!$C:$FB,98)</f>
        <v>1.5699999999999999E-2</v>
      </c>
      <c r="N29" s="91">
        <f>VLOOKUP($A29,'Data Vlaue (Cr)'!$C:$FB,79)</f>
        <v>299</v>
      </c>
      <c r="O29" s="92">
        <f>VLOOKUP($A29,'Data Vlaue (Cr)'!$C:$FB,82)</f>
        <v>-0.54530000000000001</v>
      </c>
    </row>
    <row r="30" spans="1:15" x14ac:dyDescent="0.25">
      <c r="A30" s="97" t="str">
        <f>'Data Vlaue (Cr)'!C25</f>
        <v>BANKBARODA</v>
      </c>
      <c r="B30" s="142">
        <f>VLOOKUP(A30,'Data Vlaue (Cr)'!C25:CW239,99,0)</f>
        <v>5846</v>
      </c>
      <c r="C30" s="90">
        <f>VLOOKUP(A30,'Data Vlaue (Cr)'!C25:CY239,101,0)</f>
        <v>46</v>
      </c>
      <c r="D30" s="139">
        <f>VLOOKUP(A30,'Data Vlaue (Cr)'!C25:CZ239,102,0)</f>
        <v>7.9000000000000008E-3</v>
      </c>
      <c r="E30" s="91">
        <f>VLOOKUP($A30,'Data Vlaue (Cr)'!$C:$FB,75)</f>
        <v>3482</v>
      </c>
      <c r="F30" s="91">
        <f>VLOOKUP($A30,'Data Vlaue (Cr)'!$C:$FB,77)</f>
        <v>66</v>
      </c>
      <c r="G30" s="92">
        <f>VLOOKUP(A30,'Data Vlaue (Cr)'!C25:CB239,78,0)</f>
        <v>1.9300000000000001E-2</v>
      </c>
      <c r="H30" s="91">
        <f>VLOOKUP($A30,'Data Vlaue (Cr)'!$C:$FB,91)</f>
        <v>1275</v>
      </c>
      <c r="I30" s="91">
        <f>VLOOKUP($A30,'Data Vlaue (Cr)'!$C:$FB,93)</f>
        <v>-114</v>
      </c>
      <c r="J30" s="92">
        <f>VLOOKUP($A30,'Data Vlaue (Cr)'!$C:$FB,94)</f>
        <v>-8.1799999999999998E-2</v>
      </c>
      <c r="K30" s="91">
        <f>VLOOKUP($A30,'Data Vlaue (Cr)'!$C:$FB,95)</f>
        <v>1090</v>
      </c>
      <c r="L30" s="91">
        <f>VLOOKUP($A30,'Data Vlaue (Cr)'!$C:$FB,97)</f>
        <v>93</v>
      </c>
      <c r="M30" s="92">
        <f>VLOOKUP($A30,'Data Vlaue (Cr)'!$C:$FB,98)</f>
        <v>9.35E-2</v>
      </c>
      <c r="N30" s="91">
        <f>VLOOKUP($A30,'Data Vlaue (Cr)'!$C:$FB,79)</f>
        <v>575</v>
      </c>
      <c r="O30" s="92">
        <f>VLOOKUP($A30,'Data Vlaue (Cr)'!$C:$FB,82)</f>
        <v>-0.54210000000000003</v>
      </c>
    </row>
    <row r="31" spans="1:15" x14ac:dyDescent="0.25">
      <c r="A31" s="97" t="str">
        <f>'Data Vlaue (Cr)'!C26</f>
        <v>BANKINDIA</v>
      </c>
      <c r="B31" s="142">
        <f>VLOOKUP(A31,'Data Vlaue (Cr)'!C26:CW240,99,0)</f>
        <v>1771</v>
      </c>
      <c r="C31" s="90">
        <f>VLOOKUP(A31,'Data Vlaue (Cr)'!C26:CY240,101,0)</f>
        <v>90</v>
      </c>
      <c r="D31" s="139">
        <f>VLOOKUP(A31,'Data Vlaue (Cr)'!C26:CZ240,102,0)</f>
        <v>5.3900000000000003E-2</v>
      </c>
      <c r="E31" s="91">
        <f>VLOOKUP($A31,'Data Vlaue (Cr)'!$C:$FB,75)</f>
        <v>965</v>
      </c>
      <c r="F31" s="91">
        <f>VLOOKUP($A31,'Data Vlaue (Cr)'!$C:$FB,77)</f>
        <v>5</v>
      </c>
      <c r="G31" s="92">
        <f>VLOOKUP(A31,'Data Vlaue (Cr)'!C26:CB240,78,0)</f>
        <v>5.4999999999999997E-3</v>
      </c>
      <c r="H31" s="91">
        <f>VLOOKUP($A31,'Data Vlaue (Cr)'!$C:$FB,91)</f>
        <v>406</v>
      </c>
      <c r="I31" s="91">
        <f>VLOOKUP($A31,'Data Vlaue (Cr)'!$C:$FB,93)</f>
        <v>32</v>
      </c>
      <c r="J31" s="92">
        <f>VLOOKUP($A31,'Data Vlaue (Cr)'!$C:$FB,94)</f>
        <v>8.5000000000000006E-2</v>
      </c>
      <c r="K31" s="91">
        <f>VLOOKUP($A31,'Data Vlaue (Cr)'!$C:$FB,95)</f>
        <v>399</v>
      </c>
      <c r="L31" s="91">
        <f>VLOOKUP($A31,'Data Vlaue (Cr)'!$C:$FB,97)</f>
        <v>53</v>
      </c>
      <c r="M31" s="92">
        <f>VLOOKUP($A31,'Data Vlaue (Cr)'!$C:$FB,98)</f>
        <v>0.1545</v>
      </c>
      <c r="N31" s="91">
        <f>VLOOKUP($A31,'Data Vlaue (Cr)'!$C:$FB,79)</f>
        <v>120</v>
      </c>
      <c r="O31" s="92">
        <f>VLOOKUP($A31,'Data Vlaue (Cr)'!$C:$FB,82)</f>
        <v>-0.62080000000000002</v>
      </c>
    </row>
    <row r="32" spans="1:15" x14ac:dyDescent="0.25">
      <c r="A32" s="97" t="str">
        <f>'Data Vlaue (Cr)'!C27</f>
        <v>BANKNIFTY</v>
      </c>
      <c r="B32" s="142">
        <f>VLOOKUP(A32,'Data Vlaue (Cr)'!C27:CW241,99,0)</f>
        <v>356622</v>
      </c>
      <c r="C32" s="90">
        <f>VLOOKUP(A32,'Data Vlaue (Cr)'!C27:CY241,101,0)</f>
        <v>2163</v>
      </c>
      <c r="D32" s="139">
        <f>VLOOKUP(A32,'Data Vlaue (Cr)'!C27:CZ241,102,0)</f>
        <v>6.1000000000000004E-3</v>
      </c>
      <c r="E32" s="91">
        <f>VLOOKUP($A32,'Data Vlaue (Cr)'!$C:$FB,75)</f>
        <v>14013</v>
      </c>
      <c r="F32" s="91">
        <f>VLOOKUP($A32,'Data Vlaue (Cr)'!$C:$FB,77)</f>
        <v>930</v>
      </c>
      <c r="G32" s="92">
        <f>VLOOKUP(A32,'Data Vlaue (Cr)'!C27:CB241,78,0)</f>
        <v>7.1099999999999997E-2</v>
      </c>
      <c r="H32" s="91">
        <f>VLOOKUP($A32,'Data Vlaue (Cr)'!$C:$FB,91)</f>
        <v>164401</v>
      </c>
      <c r="I32" s="91">
        <f>VLOOKUP($A32,'Data Vlaue (Cr)'!$C:$FB,93)</f>
        <v>-16725</v>
      </c>
      <c r="J32" s="92">
        <f>VLOOKUP($A32,'Data Vlaue (Cr)'!$C:$FB,94)</f>
        <v>-9.2299999999999993E-2</v>
      </c>
      <c r="K32" s="91">
        <f>VLOOKUP($A32,'Data Vlaue (Cr)'!$C:$FB,95)</f>
        <v>178208</v>
      </c>
      <c r="L32" s="91">
        <f>VLOOKUP($A32,'Data Vlaue (Cr)'!$C:$FB,97)</f>
        <v>17958</v>
      </c>
      <c r="M32" s="92">
        <f>VLOOKUP($A32,'Data Vlaue (Cr)'!$C:$FB,98)</f>
        <v>0.11210000000000001</v>
      </c>
      <c r="N32" s="91">
        <f>VLOOKUP($A32,'Data Vlaue (Cr)'!$C:$FB,79)</f>
        <v>5378</v>
      </c>
      <c r="O32" s="92">
        <f>VLOOKUP($A32,'Data Vlaue (Cr)'!$C:$FB,82)</f>
        <v>-0.2833</v>
      </c>
    </row>
    <row r="33" spans="1:15" x14ac:dyDescent="0.25">
      <c r="A33" s="97" t="str">
        <f>'Data Vlaue (Cr)'!C28</f>
        <v>BDL</v>
      </c>
      <c r="B33" s="142">
        <f>VLOOKUP(A33,'Data Vlaue (Cr)'!C28:CW242,99,0)</f>
        <v>1491</v>
      </c>
      <c r="C33" s="90">
        <f>VLOOKUP(A33,'Data Vlaue (Cr)'!C28:CY242,101,0)</f>
        <v>-185</v>
      </c>
      <c r="D33" s="139">
        <f>VLOOKUP(A33,'Data Vlaue (Cr)'!C28:CZ242,102,0)</f>
        <v>-0.11020000000000001</v>
      </c>
      <c r="E33" s="91">
        <f>VLOOKUP($A33,'Data Vlaue (Cr)'!$C:$FB,75)</f>
        <v>688</v>
      </c>
      <c r="F33" s="91">
        <f>VLOOKUP($A33,'Data Vlaue (Cr)'!$C:$FB,77)</f>
        <v>-56</v>
      </c>
      <c r="G33" s="92">
        <f>VLOOKUP(A33,'Data Vlaue (Cr)'!C28:CB242,78,0)</f>
        <v>-7.5899999999999995E-2</v>
      </c>
      <c r="H33" s="91">
        <f>VLOOKUP($A33,'Data Vlaue (Cr)'!$C:$FB,91)</f>
        <v>472</v>
      </c>
      <c r="I33" s="91">
        <f>VLOOKUP($A33,'Data Vlaue (Cr)'!$C:$FB,93)</f>
        <v>-108</v>
      </c>
      <c r="J33" s="92">
        <f>VLOOKUP($A33,'Data Vlaue (Cr)'!$C:$FB,94)</f>
        <v>-0.1855</v>
      </c>
      <c r="K33" s="91">
        <f>VLOOKUP($A33,'Data Vlaue (Cr)'!$C:$FB,95)</f>
        <v>331</v>
      </c>
      <c r="L33" s="91">
        <f>VLOOKUP($A33,'Data Vlaue (Cr)'!$C:$FB,97)</f>
        <v>-21</v>
      </c>
      <c r="M33" s="92">
        <f>VLOOKUP($A33,'Data Vlaue (Cr)'!$C:$FB,98)</f>
        <v>-5.8700000000000002E-2</v>
      </c>
      <c r="N33" s="91">
        <f>VLOOKUP($A33,'Data Vlaue (Cr)'!$C:$FB,79)</f>
        <v>146</v>
      </c>
      <c r="O33" s="92">
        <f>VLOOKUP($A33,'Data Vlaue (Cr)'!$C:$FB,82)</f>
        <v>-0.51800000000000002</v>
      </c>
    </row>
    <row r="34" spans="1:15" x14ac:dyDescent="0.25">
      <c r="A34" s="97" t="str">
        <f>'Data Vlaue (Cr)'!C29</f>
        <v>BEL</v>
      </c>
      <c r="B34" s="142">
        <f>VLOOKUP(A34,'Data Vlaue (Cr)'!C29:CW243,99,0)</f>
        <v>9217</v>
      </c>
      <c r="C34" s="90">
        <f>VLOOKUP(A34,'Data Vlaue (Cr)'!C29:CY243,101,0)</f>
        <v>91</v>
      </c>
      <c r="D34" s="139">
        <f>VLOOKUP(A34,'Data Vlaue (Cr)'!C29:CZ243,102,0)</f>
        <v>9.9000000000000008E-3</v>
      </c>
      <c r="E34" s="91">
        <f>VLOOKUP($A34,'Data Vlaue (Cr)'!$C:$FB,75)</f>
        <v>4819</v>
      </c>
      <c r="F34" s="91">
        <f>VLOOKUP($A34,'Data Vlaue (Cr)'!$C:$FB,77)</f>
        <v>141</v>
      </c>
      <c r="G34" s="92">
        <f>VLOOKUP(A34,'Data Vlaue (Cr)'!C29:CB243,78,0)</f>
        <v>3.0200000000000001E-2</v>
      </c>
      <c r="H34" s="91">
        <f>VLOOKUP($A34,'Data Vlaue (Cr)'!$C:$FB,91)</f>
        <v>2573</v>
      </c>
      <c r="I34" s="91">
        <f>VLOOKUP($A34,'Data Vlaue (Cr)'!$C:$FB,93)</f>
        <v>-89</v>
      </c>
      <c r="J34" s="92">
        <f>VLOOKUP($A34,'Data Vlaue (Cr)'!$C:$FB,94)</f>
        <v>-3.3399999999999999E-2</v>
      </c>
      <c r="K34" s="91">
        <f>VLOOKUP($A34,'Data Vlaue (Cr)'!$C:$FB,95)</f>
        <v>1825</v>
      </c>
      <c r="L34" s="91">
        <f>VLOOKUP($A34,'Data Vlaue (Cr)'!$C:$FB,97)</f>
        <v>38</v>
      </c>
      <c r="M34" s="92">
        <f>VLOOKUP($A34,'Data Vlaue (Cr)'!$C:$FB,98)</f>
        <v>2.1499999999999998E-2</v>
      </c>
      <c r="N34" s="91">
        <f>VLOOKUP($A34,'Data Vlaue (Cr)'!$C:$FB,79)</f>
        <v>799</v>
      </c>
      <c r="O34" s="92">
        <f>VLOOKUP($A34,'Data Vlaue (Cr)'!$C:$FB,82)</f>
        <v>-0.57999999999999996</v>
      </c>
    </row>
    <row r="35" spans="1:15" x14ac:dyDescent="0.25">
      <c r="A35" s="97" t="str">
        <f>'Data Vlaue (Cr)'!C30</f>
        <v>BHARATFORG</v>
      </c>
      <c r="B35" s="142">
        <f>VLOOKUP(A35,'Data Vlaue (Cr)'!C30:CW244,99,0)</f>
        <v>2171</v>
      </c>
      <c r="C35" s="90">
        <f>VLOOKUP(A35,'Data Vlaue (Cr)'!C30:CY244,101,0)</f>
        <v>-83</v>
      </c>
      <c r="D35" s="139">
        <f>VLOOKUP(A35,'Data Vlaue (Cr)'!C30:CZ244,102,0)</f>
        <v>-3.6799999999999999E-2</v>
      </c>
      <c r="E35" s="91">
        <f>VLOOKUP($A35,'Data Vlaue (Cr)'!$C:$FB,75)</f>
        <v>1304</v>
      </c>
      <c r="F35" s="91">
        <f>VLOOKUP($A35,'Data Vlaue (Cr)'!$C:$FB,77)</f>
        <v>-57</v>
      </c>
      <c r="G35" s="92">
        <f>VLOOKUP(A35,'Data Vlaue (Cr)'!C30:CB244,78,0)</f>
        <v>-4.2000000000000003E-2</v>
      </c>
      <c r="H35" s="91">
        <f>VLOOKUP($A35,'Data Vlaue (Cr)'!$C:$FB,91)</f>
        <v>500</v>
      </c>
      <c r="I35" s="91">
        <f>VLOOKUP($A35,'Data Vlaue (Cr)'!$C:$FB,93)</f>
        <v>-20</v>
      </c>
      <c r="J35" s="92">
        <f>VLOOKUP($A35,'Data Vlaue (Cr)'!$C:$FB,94)</f>
        <v>-3.8600000000000002E-2</v>
      </c>
      <c r="K35" s="91">
        <f>VLOOKUP($A35,'Data Vlaue (Cr)'!$C:$FB,95)</f>
        <v>367</v>
      </c>
      <c r="L35" s="91">
        <f>VLOOKUP($A35,'Data Vlaue (Cr)'!$C:$FB,97)</f>
        <v>-6</v>
      </c>
      <c r="M35" s="92">
        <f>VLOOKUP($A35,'Data Vlaue (Cr)'!$C:$FB,98)</f>
        <v>-1.54E-2</v>
      </c>
      <c r="N35" s="91">
        <f>VLOOKUP($A35,'Data Vlaue (Cr)'!$C:$FB,79)</f>
        <v>131</v>
      </c>
      <c r="O35" s="92">
        <f>VLOOKUP($A35,'Data Vlaue (Cr)'!$C:$FB,82)</f>
        <v>-0.68089999999999995</v>
      </c>
    </row>
    <row r="36" spans="1:15" x14ac:dyDescent="0.25">
      <c r="A36" s="97" t="str">
        <f>'Data Vlaue (Cr)'!C31</f>
        <v>BHARTIARTL</v>
      </c>
      <c r="B36" s="142">
        <f>VLOOKUP(A36,'Data Vlaue (Cr)'!C31:CW245,99,0)</f>
        <v>16313</v>
      </c>
      <c r="C36" s="90">
        <f>VLOOKUP(A36,'Data Vlaue (Cr)'!C31:CY245,101,0)</f>
        <v>202</v>
      </c>
      <c r="D36" s="139">
        <f>VLOOKUP(A36,'Data Vlaue (Cr)'!C31:CZ245,102,0)</f>
        <v>1.26E-2</v>
      </c>
      <c r="E36" s="91">
        <f>VLOOKUP($A36,'Data Vlaue (Cr)'!$C:$FB,75)</f>
        <v>10610</v>
      </c>
      <c r="F36" s="91">
        <f>VLOOKUP($A36,'Data Vlaue (Cr)'!$C:$FB,77)</f>
        <v>9</v>
      </c>
      <c r="G36" s="92">
        <f>VLOOKUP(A36,'Data Vlaue (Cr)'!C31:CB245,78,0)</f>
        <v>8.0000000000000004E-4</v>
      </c>
      <c r="H36" s="91">
        <f>VLOOKUP($A36,'Data Vlaue (Cr)'!$C:$FB,91)</f>
        <v>3273</v>
      </c>
      <c r="I36" s="91">
        <f>VLOOKUP($A36,'Data Vlaue (Cr)'!$C:$FB,93)</f>
        <v>-20</v>
      </c>
      <c r="J36" s="92">
        <f>VLOOKUP($A36,'Data Vlaue (Cr)'!$C:$FB,94)</f>
        <v>-6.1000000000000004E-3</v>
      </c>
      <c r="K36" s="91">
        <f>VLOOKUP($A36,'Data Vlaue (Cr)'!$C:$FB,95)</f>
        <v>2430</v>
      </c>
      <c r="L36" s="91">
        <f>VLOOKUP($A36,'Data Vlaue (Cr)'!$C:$FB,97)</f>
        <v>213</v>
      </c>
      <c r="M36" s="92">
        <f>VLOOKUP($A36,'Data Vlaue (Cr)'!$C:$FB,98)</f>
        <v>9.6199999999999994E-2</v>
      </c>
      <c r="N36" s="91">
        <f>VLOOKUP($A36,'Data Vlaue (Cr)'!$C:$FB,79)</f>
        <v>2585</v>
      </c>
      <c r="O36" s="92">
        <f>VLOOKUP($A36,'Data Vlaue (Cr)'!$C:$FB,82)</f>
        <v>-0.44419999999999998</v>
      </c>
    </row>
    <row r="37" spans="1:15" x14ac:dyDescent="0.25">
      <c r="A37" s="97" t="str">
        <f>'Data Vlaue (Cr)'!C32</f>
        <v>BHEL</v>
      </c>
      <c r="B37" s="142">
        <f>VLOOKUP(A37,'Data Vlaue (Cr)'!C32:CW246,99,0)</f>
        <v>2556</v>
      </c>
      <c r="C37" s="90">
        <f>VLOOKUP(A37,'Data Vlaue (Cr)'!C32:CY246,101,0)</f>
        <v>27</v>
      </c>
      <c r="D37" s="139">
        <f>VLOOKUP(A37,'Data Vlaue (Cr)'!C32:CZ246,102,0)</f>
        <v>1.06E-2</v>
      </c>
      <c r="E37" s="91">
        <f>VLOOKUP($A37,'Data Vlaue (Cr)'!$C:$FB,75)</f>
        <v>1440</v>
      </c>
      <c r="F37" s="91">
        <f>VLOOKUP($A37,'Data Vlaue (Cr)'!$C:$FB,77)</f>
        <v>34</v>
      </c>
      <c r="G37" s="92">
        <f>VLOOKUP(A37,'Data Vlaue (Cr)'!C32:CB246,78,0)</f>
        <v>2.4400000000000002E-2</v>
      </c>
      <c r="H37" s="91">
        <f>VLOOKUP($A37,'Data Vlaue (Cr)'!$C:$FB,91)</f>
        <v>681</v>
      </c>
      <c r="I37" s="91">
        <f>VLOOKUP($A37,'Data Vlaue (Cr)'!$C:$FB,93)</f>
        <v>-48</v>
      </c>
      <c r="J37" s="92">
        <f>VLOOKUP($A37,'Data Vlaue (Cr)'!$C:$FB,94)</f>
        <v>-6.6000000000000003E-2</v>
      </c>
      <c r="K37" s="91">
        <f>VLOOKUP($A37,'Data Vlaue (Cr)'!$C:$FB,95)</f>
        <v>435</v>
      </c>
      <c r="L37" s="91">
        <f>VLOOKUP($A37,'Data Vlaue (Cr)'!$C:$FB,97)</f>
        <v>41</v>
      </c>
      <c r="M37" s="92">
        <f>VLOOKUP($A37,'Data Vlaue (Cr)'!$C:$FB,98)</f>
        <v>0.1031</v>
      </c>
      <c r="N37" s="91">
        <f>VLOOKUP($A37,'Data Vlaue (Cr)'!$C:$FB,79)</f>
        <v>378</v>
      </c>
      <c r="O37" s="92">
        <f>VLOOKUP($A37,'Data Vlaue (Cr)'!$C:$FB,82)</f>
        <v>-0.43190000000000001</v>
      </c>
    </row>
    <row r="38" spans="1:15" x14ac:dyDescent="0.25">
      <c r="A38" s="97" t="str">
        <f>'Data Vlaue (Cr)'!C33</f>
        <v>BIOCON</v>
      </c>
      <c r="B38" s="142">
        <f>VLOOKUP(A38,'Data Vlaue (Cr)'!C33:CW247,99,0)</f>
        <v>2394</v>
      </c>
      <c r="C38" s="90">
        <f>VLOOKUP(A38,'Data Vlaue (Cr)'!C33:CY247,101,0)</f>
        <v>-83</v>
      </c>
      <c r="D38" s="139">
        <f>VLOOKUP(A38,'Data Vlaue (Cr)'!C33:CZ247,102,0)</f>
        <v>-3.3399999999999999E-2</v>
      </c>
      <c r="E38" s="91">
        <f>VLOOKUP($A38,'Data Vlaue (Cr)'!$C:$FB,75)</f>
        <v>1489</v>
      </c>
      <c r="F38" s="91">
        <f>VLOOKUP($A38,'Data Vlaue (Cr)'!$C:$FB,77)</f>
        <v>-48</v>
      </c>
      <c r="G38" s="92">
        <f>VLOOKUP(A38,'Data Vlaue (Cr)'!C33:CB247,78,0)</f>
        <v>-3.15E-2</v>
      </c>
      <c r="H38" s="91">
        <f>VLOOKUP($A38,'Data Vlaue (Cr)'!$C:$FB,91)</f>
        <v>537</v>
      </c>
      <c r="I38" s="91">
        <f>VLOOKUP($A38,'Data Vlaue (Cr)'!$C:$FB,93)</f>
        <v>-21</v>
      </c>
      <c r="J38" s="92">
        <f>VLOOKUP($A38,'Data Vlaue (Cr)'!$C:$FB,94)</f>
        <v>-3.7600000000000001E-2</v>
      </c>
      <c r="K38" s="91">
        <f>VLOOKUP($A38,'Data Vlaue (Cr)'!$C:$FB,95)</f>
        <v>367</v>
      </c>
      <c r="L38" s="91">
        <f>VLOOKUP($A38,'Data Vlaue (Cr)'!$C:$FB,97)</f>
        <v>-13</v>
      </c>
      <c r="M38" s="92">
        <f>VLOOKUP($A38,'Data Vlaue (Cr)'!$C:$FB,98)</f>
        <v>-3.4799999999999998E-2</v>
      </c>
      <c r="N38" s="91">
        <f>VLOOKUP($A38,'Data Vlaue (Cr)'!$C:$FB,79)</f>
        <v>307</v>
      </c>
      <c r="O38" s="92">
        <f>VLOOKUP($A38,'Data Vlaue (Cr)'!$C:$FB,82)</f>
        <v>-0.60119999999999996</v>
      </c>
    </row>
    <row r="39" spans="1:15" x14ac:dyDescent="0.25">
      <c r="A39" s="97" t="str">
        <f>'Data Vlaue (Cr)'!C34</f>
        <v>BLUESTARCO</v>
      </c>
      <c r="B39" s="142">
        <f>VLOOKUP(A39,'Data Vlaue (Cr)'!C34:CW248,99,0)</f>
        <v>612</v>
      </c>
      <c r="C39" s="90">
        <f>VLOOKUP(A39,'Data Vlaue (Cr)'!C34:CY248,101,0)</f>
        <v>-57</v>
      </c>
      <c r="D39" s="139">
        <f>VLOOKUP(A39,'Data Vlaue (Cr)'!C34:CZ248,102,0)</f>
        <v>-8.5000000000000006E-2</v>
      </c>
      <c r="E39" s="91">
        <f>VLOOKUP($A39,'Data Vlaue (Cr)'!$C:$FB,75)</f>
        <v>350</v>
      </c>
      <c r="F39" s="91">
        <f>VLOOKUP($A39,'Data Vlaue (Cr)'!$C:$FB,77)</f>
        <v>-18</v>
      </c>
      <c r="G39" s="92">
        <f>VLOOKUP(A39,'Data Vlaue (Cr)'!C34:CB248,78,0)</f>
        <v>-4.8399999999999999E-2</v>
      </c>
      <c r="H39" s="91">
        <f>VLOOKUP($A39,'Data Vlaue (Cr)'!$C:$FB,91)</f>
        <v>176</v>
      </c>
      <c r="I39" s="91">
        <f>VLOOKUP($A39,'Data Vlaue (Cr)'!$C:$FB,93)</f>
        <v>-23</v>
      </c>
      <c r="J39" s="92">
        <f>VLOOKUP($A39,'Data Vlaue (Cr)'!$C:$FB,94)</f>
        <v>-0.114</v>
      </c>
      <c r="K39" s="91">
        <f>VLOOKUP($A39,'Data Vlaue (Cr)'!$C:$FB,95)</f>
        <v>86</v>
      </c>
      <c r="L39" s="91">
        <f>VLOOKUP($A39,'Data Vlaue (Cr)'!$C:$FB,97)</f>
        <v>-16</v>
      </c>
      <c r="M39" s="92">
        <f>VLOOKUP($A39,'Data Vlaue (Cr)'!$C:$FB,98)</f>
        <v>-0.16089999999999999</v>
      </c>
      <c r="N39" s="91">
        <f>VLOOKUP($A39,'Data Vlaue (Cr)'!$C:$FB,79)</f>
        <v>69</v>
      </c>
      <c r="O39" s="92">
        <f>VLOOKUP($A39,'Data Vlaue (Cr)'!$C:$FB,82)</f>
        <v>-0.52239999999999998</v>
      </c>
    </row>
    <row r="40" spans="1:15" x14ac:dyDescent="0.25">
      <c r="A40" s="97" t="str">
        <f>'Data Vlaue (Cr)'!C35</f>
        <v>BOSCHLTD</v>
      </c>
      <c r="B40" s="142">
        <f>VLOOKUP(A40,'Data Vlaue (Cr)'!C35:CW249,99,0)</f>
        <v>1374</v>
      </c>
      <c r="C40" s="90">
        <f>VLOOKUP(A40,'Data Vlaue (Cr)'!C35:CY249,101,0)</f>
        <v>-7</v>
      </c>
      <c r="D40" s="139">
        <f>VLOOKUP(A40,'Data Vlaue (Cr)'!C35:CZ249,102,0)</f>
        <v>-5.1000000000000004E-3</v>
      </c>
      <c r="E40" s="91">
        <f>VLOOKUP($A40,'Data Vlaue (Cr)'!$C:$FB,75)</f>
        <v>894</v>
      </c>
      <c r="F40" s="91">
        <f>VLOOKUP($A40,'Data Vlaue (Cr)'!$C:$FB,77)</f>
        <v>-6</v>
      </c>
      <c r="G40" s="92">
        <f>VLOOKUP(A40,'Data Vlaue (Cr)'!C35:CB249,78,0)</f>
        <v>-6.4999999999999997E-3</v>
      </c>
      <c r="H40" s="91">
        <f>VLOOKUP($A40,'Data Vlaue (Cr)'!$C:$FB,91)</f>
        <v>302</v>
      </c>
      <c r="I40" s="91">
        <f>VLOOKUP($A40,'Data Vlaue (Cr)'!$C:$FB,93)</f>
        <v>9</v>
      </c>
      <c r="J40" s="92">
        <f>VLOOKUP($A40,'Data Vlaue (Cr)'!$C:$FB,94)</f>
        <v>2.92E-2</v>
      </c>
      <c r="K40" s="91">
        <f>VLOOKUP($A40,'Data Vlaue (Cr)'!$C:$FB,95)</f>
        <v>177</v>
      </c>
      <c r="L40" s="91">
        <f>VLOOKUP($A40,'Data Vlaue (Cr)'!$C:$FB,97)</f>
        <v>-10</v>
      </c>
      <c r="M40" s="92">
        <f>VLOOKUP($A40,'Data Vlaue (Cr)'!$C:$FB,98)</f>
        <v>-5.21E-2</v>
      </c>
      <c r="N40" s="91">
        <f>VLOOKUP($A40,'Data Vlaue (Cr)'!$C:$FB,79)</f>
        <v>150</v>
      </c>
      <c r="O40" s="92">
        <f>VLOOKUP($A40,'Data Vlaue (Cr)'!$C:$FB,82)</f>
        <v>-0.56899999999999995</v>
      </c>
    </row>
    <row r="41" spans="1:15" x14ac:dyDescent="0.25">
      <c r="A41" s="97" t="str">
        <f>'Data Vlaue (Cr)'!C36</f>
        <v>BPCL</v>
      </c>
      <c r="B41" s="142">
        <f>VLOOKUP(A41,'Data Vlaue (Cr)'!C36:CW250,99,0)</f>
        <v>2542</v>
      </c>
      <c r="C41" s="90">
        <f>VLOOKUP(A41,'Data Vlaue (Cr)'!C36:CY250,101,0)</f>
        <v>-62</v>
      </c>
      <c r="D41" s="139">
        <f>VLOOKUP(A41,'Data Vlaue (Cr)'!C36:CZ250,102,0)</f>
        <v>-2.3900000000000001E-2</v>
      </c>
      <c r="E41" s="91">
        <f>VLOOKUP($A41,'Data Vlaue (Cr)'!$C:$FB,75)</f>
        <v>1654</v>
      </c>
      <c r="F41" s="91">
        <f>VLOOKUP($A41,'Data Vlaue (Cr)'!$C:$FB,77)</f>
        <v>-58</v>
      </c>
      <c r="G41" s="92">
        <f>VLOOKUP(A41,'Data Vlaue (Cr)'!C36:CB250,78,0)</f>
        <v>-3.4000000000000002E-2</v>
      </c>
      <c r="H41" s="91">
        <f>VLOOKUP($A41,'Data Vlaue (Cr)'!$C:$FB,91)</f>
        <v>505</v>
      </c>
      <c r="I41" s="91">
        <f>VLOOKUP($A41,'Data Vlaue (Cr)'!$C:$FB,93)</f>
        <v>-38</v>
      </c>
      <c r="J41" s="92">
        <f>VLOOKUP($A41,'Data Vlaue (Cr)'!$C:$FB,94)</f>
        <v>-6.9800000000000001E-2</v>
      </c>
      <c r="K41" s="91">
        <f>VLOOKUP($A41,'Data Vlaue (Cr)'!$C:$FB,95)</f>
        <v>383</v>
      </c>
      <c r="L41" s="91">
        <f>VLOOKUP($A41,'Data Vlaue (Cr)'!$C:$FB,97)</f>
        <v>34</v>
      </c>
      <c r="M41" s="92">
        <f>VLOOKUP($A41,'Data Vlaue (Cr)'!$C:$FB,98)</f>
        <v>9.7100000000000006E-2</v>
      </c>
      <c r="N41" s="91">
        <f>VLOOKUP($A41,'Data Vlaue (Cr)'!$C:$FB,79)</f>
        <v>774</v>
      </c>
      <c r="O41" s="92">
        <f>VLOOKUP($A41,'Data Vlaue (Cr)'!$C:$FB,82)</f>
        <v>-0.2412</v>
      </c>
    </row>
    <row r="42" spans="1:15" x14ac:dyDescent="0.25">
      <c r="A42" s="97" t="str">
        <f>'Data Vlaue (Cr)'!C37</f>
        <v>BRITANNIA</v>
      </c>
      <c r="B42" s="142">
        <f>VLOOKUP(A42,'Data Vlaue (Cr)'!C37:CW251,99,0)</f>
        <v>3017</v>
      </c>
      <c r="C42" s="90">
        <f>VLOOKUP(A42,'Data Vlaue (Cr)'!C37:CY251,101,0)</f>
        <v>5</v>
      </c>
      <c r="D42" s="139">
        <f>VLOOKUP(A42,'Data Vlaue (Cr)'!C37:CZ251,102,0)</f>
        <v>1.5E-3</v>
      </c>
      <c r="E42" s="91">
        <f>VLOOKUP($A42,'Data Vlaue (Cr)'!$C:$FB,75)</f>
        <v>2075</v>
      </c>
      <c r="F42" s="91">
        <f>VLOOKUP($A42,'Data Vlaue (Cr)'!$C:$FB,77)</f>
        <v>-68</v>
      </c>
      <c r="G42" s="92">
        <f>VLOOKUP(A42,'Data Vlaue (Cr)'!C37:CB251,78,0)</f>
        <v>-3.1600000000000003E-2</v>
      </c>
      <c r="H42" s="91">
        <f>VLOOKUP($A42,'Data Vlaue (Cr)'!$C:$FB,91)</f>
        <v>537</v>
      </c>
      <c r="I42" s="91">
        <f>VLOOKUP($A42,'Data Vlaue (Cr)'!$C:$FB,93)</f>
        <v>47</v>
      </c>
      <c r="J42" s="92">
        <f>VLOOKUP($A42,'Data Vlaue (Cr)'!$C:$FB,94)</f>
        <v>9.5600000000000004E-2</v>
      </c>
      <c r="K42" s="91">
        <f>VLOOKUP($A42,'Data Vlaue (Cr)'!$C:$FB,95)</f>
        <v>405</v>
      </c>
      <c r="L42" s="91">
        <f>VLOOKUP($A42,'Data Vlaue (Cr)'!$C:$FB,97)</f>
        <v>26</v>
      </c>
      <c r="M42" s="92">
        <f>VLOOKUP($A42,'Data Vlaue (Cr)'!$C:$FB,98)</f>
        <v>6.7400000000000002E-2</v>
      </c>
      <c r="N42" s="91">
        <f>VLOOKUP($A42,'Data Vlaue (Cr)'!$C:$FB,79)</f>
        <v>421</v>
      </c>
      <c r="O42" s="92">
        <f>VLOOKUP($A42,'Data Vlaue (Cr)'!$C:$FB,82)</f>
        <v>-0.5675</v>
      </c>
    </row>
    <row r="43" spans="1:15" x14ac:dyDescent="0.25">
      <c r="A43" s="97" t="str">
        <f>'Data Vlaue (Cr)'!C38</f>
        <v>BSE</v>
      </c>
      <c r="B43" s="142">
        <f>VLOOKUP(A43,'Data Vlaue (Cr)'!C38:CW252,99,0)</f>
        <v>7111</v>
      </c>
      <c r="C43" s="90">
        <f>VLOOKUP(A43,'Data Vlaue (Cr)'!C38:CY252,101,0)</f>
        <v>-286</v>
      </c>
      <c r="D43" s="139">
        <f>VLOOKUP(A43,'Data Vlaue (Cr)'!C38:CZ252,102,0)</f>
        <v>-3.8699999999999998E-2</v>
      </c>
      <c r="E43" s="91">
        <f>VLOOKUP($A43,'Data Vlaue (Cr)'!$C:$FB,75)</f>
        <v>3305</v>
      </c>
      <c r="F43" s="91">
        <f>VLOOKUP($A43,'Data Vlaue (Cr)'!$C:$FB,77)</f>
        <v>20</v>
      </c>
      <c r="G43" s="92">
        <f>VLOOKUP(A43,'Data Vlaue (Cr)'!C38:CB252,78,0)</f>
        <v>6.1000000000000004E-3</v>
      </c>
      <c r="H43" s="91">
        <f>VLOOKUP($A43,'Data Vlaue (Cr)'!$C:$FB,91)</f>
        <v>2145</v>
      </c>
      <c r="I43" s="91">
        <f>VLOOKUP($A43,'Data Vlaue (Cr)'!$C:$FB,93)</f>
        <v>-182</v>
      </c>
      <c r="J43" s="92">
        <f>VLOOKUP($A43,'Data Vlaue (Cr)'!$C:$FB,94)</f>
        <v>-7.8100000000000003E-2</v>
      </c>
      <c r="K43" s="91">
        <f>VLOOKUP($A43,'Data Vlaue (Cr)'!$C:$FB,95)</f>
        <v>1661</v>
      </c>
      <c r="L43" s="91">
        <f>VLOOKUP($A43,'Data Vlaue (Cr)'!$C:$FB,97)</f>
        <v>-125</v>
      </c>
      <c r="M43" s="92">
        <f>VLOOKUP($A43,'Data Vlaue (Cr)'!$C:$FB,98)</f>
        <v>-6.9800000000000001E-2</v>
      </c>
      <c r="N43" s="91">
        <f>VLOOKUP($A43,'Data Vlaue (Cr)'!$C:$FB,79)</f>
        <v>920</v>
      </c>
      <c r="O43" s="92">
        <f>VLOOKUP($A43,'Data Vlaue (Cr)'!$C:$FB,82)</f>
        <v>-0.46800000000000003</v>
      </c>
    </row>
    <row r="44" spans="1:15" x14ac:dyDescent="0.25">
      <c r="A44" s="97" t="str">
        <f>'Data Vlaue (Cr)'!C39</f>
        <v>CAMS</v>
      </c>
      <c r="B44" s="142">
        <f>VLOOKUP(A44,'Data Vlaue (Cr)'!C39:CW253,99,0)</f>
        <v>1500</v>
      </c>
      <c r="C44" s="90">
        <f>VLOOKUP(A44,'Data Vlaue (Cr)'!C39:CY253,101,0)</f>
        <v>-109</v>
      </c>
      <c r="D44" s="139">
        <f>VLOOKUP(A44,'Data Vlaue (Cr)'!C39:CZ253,102,0)</f>
        <v>-6.8000000000000005E-2</v>
      </c>
      <c r="E44" s="91">
        <f>VLOOKUP($A44,'Data Vlaue (Cr)'!$C:$FB,75)</f>
        <v>818</v>
      </c>
      <c r="F44" s="91">
        <f>VLOOKUP($A44,'Data Vlaue (Cr)'!$C:$FB,77)</f>
        <v>-47</v>
      </c>
      <c r="G44" s="92">
        <f>VLOOKUP(A44,'Data Vlaue (Cr)'!C39:CB253,78,0)</f>
        <v>-5.4699999999999999E-2</v>
      </c>
      <c r="H44" s="91">
        <f>VLOOKUP($A44,'Data Vlaue (Cr)'!$C:$FB,91)</f>
        <v>384</v>
      </c>
      <c r="I44" s="91">
        <f>VLOOKUP($A44,'Data Vlaue (Cr)'!$C:$FB,93)</f>
        <v>-66</v>
      </c>
      <c r="J44" s="92">
        <f>VLOOKUP($A44,'Data Vlaue (Cr)'!$C:$FB,94)</f>
        <v>-0.14680000000000001</v>
      </c>
      <c r="K44" s="91">
        <f>VLOOKUP($A44,'Data Vlaue (Cr)'!$C:$FB,95)</f>
        <v>298</v>
      </c>
      <c r="L44" s="91">
        <f>VLOOKUP($A44,'Data Vlaue (Cr)'!$C:$FB,97)</f>
        <v>4</v>
      </c>
      <c r="M44" s="92">
        <f>VLOOKUP($A44,'Data Vlaue (Cr)'!$C:$FB,98)</f>
        <v>1.32E-2</v>
      </c>
      <c r="N44" s="91">
        <f>VLOOKUP($A44,'Data Vlaue (Cr)'!$C:$FB,79)</f>
        <v>179</v>
      </c>
      <c r="O44" s="92">
        <f>VLOOKUP($A44,'Data Vlaue (Cr)'!$C:$FB,82)</f>
        <v>-0.52239999999999998</v>
      </c>
    </row>
    <row r="45" spans="1:15" x14ac:dyDescent="0.25">
      <c r="A45" s="97" t="str">
        <f>'Data Vlaue (Cr)'!C40</f>
        <v>CANBK</v>
      </c>
      <c r="B45" s="142">
        <f>VLOOKUP(A45,'Data Vlaue (Cr)'!C40:CW254,99,0)</f>
        <v>6048</v>
      </c>
      <c r="C45" s="90">
        <f>VLOOKUP(A45,'Data Vlaue (Cr)'!C40:CY254,101,0)</f>
        <v>-189</v>
      </c>
      <c r="D45" s="139">
        <f>VLOOKUP(A45,'Data Vlaue (Cr)'!C40:CZ254,102,0)</f>
        <v>-3.0300000000000001E-2</v>
      </c>
      <c r="E45" s="91">
        <f>VLOOKUP($A45,'Data Vlaue (Cr)'!$C:$FB,75)</f>
        <v>3322</v>
      </c>
      <c r="F45" s="91">
        <f>VLOOKUP($A45,'Data Vlaue (Cr)'!$C:$FB,77)</f>
        <v>-93</v>
      </c>
      <c r="G45" s="92">
        <f>VLOOKUP(A45,'Data Vlaue (Cr)'!C40:CB254,78,0)</f>
        <v>-2.7300000000000001E-2</v>
      </c>
      <c r="H45" s="91">
        <f>VLOOKUP($A45,'Data Vlaue (Cr)'!$C:$FB,91)</f>
        <v>1421</v>
      </c>
      <c r="I45" s="91">
        <f>VLOOKUP($A45,'Data Vlaue (Cr)'!$C:$FB,93)</f>
        <v>-170</v>
      </c>
      <c r="J45" s="92">
        <f>VLOOKUP($A45,'Data Vlaue (Cr)'!$C:$FB,94)</f>
        <v>-0.1066</v>
      </c>
      <c r="K45" s="91">
        <f>VLOOKUP($A45,'Data Vlaue (Cr)'!$C:$FB,95)</f>
        <v>1305</v>
      </c>
      <c r="L45" s="91">
        <f>VLOOKUP($A45,'Data Vlaue (Cr)'!$C:$FB,97)</f>
        <v>74</v>
      </c>
      <c r="M45" s="92">
        <f>VLOOKUP($A45,'Data Vlaue (Cr)'!$C:$FB,98)</f>
        <v>5.9700000000000003E-2</v>
      </c>
      <c r="N45" s="91">
        <f>VLOOKUP($A45,'Data Vlaue (Cr)'!$C:$FB,79)</f>
        <v>607</v>
      </c>
      <c r="O45" s="92">
        <f>VLOOKUP($A45,'Data Vlaue (Cr)'!$C:$FB,82)</f>
        <v>-0.60140000000000005</v>
      </c>
    </row>
    <row r="46" spans="1:15" x14ac:dyDescent="0.25">
      <c r="A46" s="97" t="str">
        <f>'Data Vlaue (Cr)'!C41</f>
        <v>CDSL</v>
      </c>
      <c r="B46" s="142">
        <f>VLOOKUP(A46,'Data Vlaue (Cr)'!C41:CW255,99,0)</f>
        <v>3086</v>
      </c>
      <c r="C46" s="90">
        <f>VLOOKUP(A46,'Data Vlaue (Cr)'!C41:CY255,101,0)</f>
        <v>-152</v>
      </c>
      <c r="D46" s="139">
        <f>VLOOKUP(A46,'Data Vlaue (Cr)'!C41:CZ255,102,0)</f>
        <v>-4.6899999999999997E-2</v>
      </c>
      <c r="E46" s="91">
        <f>VLOOKUP($A46,'Data Vlaue (Cr)'!$C:$FB,75)</f>
        <v>1455</v>
      </c>
      <c r="F46" s="91">
        <f>VLOOKUP($A46,'Data Vlaue (Cr)'!$C:$FB,77)</f>
        <v>-15</v>
      </c>
      <c r="G46" s="92">
        <f>VLOOKUP(A46,'Data Vlaue (Cr)'!C41:CB255,78,0)</f>
        <v>-0.01</v>
      </c>
      <c r="H46" s="91">
        <f>VLOOKUP($A46,'Data Vlaue (Cr)'!$C:$FB,91)</f>
        <v>909</v>
      </c>
      <c r="I46" s="91">
        <f>VLOOKUP($A46,'Data Vlaue (Cr)'!$C:$FB,93)</f>
        <v>-146</v>
      </c>
      <c r="J46" s="92">
        <f>VLOOKUP($A46,'Data Vlaue (Cr)'!$C:$FB,94)</f>
        <v>-0.1381</v>
      </c>
      <c r="K46" s="91">
        <f>VLOOKUP($A46,'Data Vlaue (Cr)'!$C:$FB,95)</f>
        <v>722</v>
      </c>
      <c r="L46" s="91">
        <f>VLOOKUP($A46,'Data Vlaue (Cr)'!$C:$FB,97)</f>
        <v>8</v>
      </c>
      <c r="M46" s="92">
        <f>VLOOKUP($A46,'Data Vlaue (Cr)'!$C:$FB,98)</f>
        <v>1.18E-2</v>
      </c>
      <c r="N46" s="91">
        <f>VLOOKUP($A46,'Data Vlaue (Cr)'!$C:$FB,79)</f>
        <v>340</v>
      </c>
      <c r="O46" s="92">
        <f>VLOOKUP($A46,'Data Vlaue (Cr)'!$C:$FB,82)</f>
        <v>-0.43240000000000001</v>
      </c>
    </row>
    <row r="47" spans="1:15" x14ac:dyDescent="0.25">
      <c r="A47" s="97" t="str">
        <f>'Data Vlaue (Cr)'!C42</f>
        <v>CGPOWER</v>
      </c>
      <c r="B47" s="142">
        <f>VLOOKUP(A47,'Data Vlaue (Cr)'!C42:CW256,99,0)</f>
        <v>1784</v>
      </c>
      <c r="C47" s="90">
        <f>VLOOKUP(A47,'Data Vlaue (Cr)'!C42:CY256,101,0)</f>
        <v>-111</v>
      </c>
      <c r="D47" s="139">
        <f>VLOOKUP(A47,'Data Vlaue (Cr)'!C42:CZ256,102,0)</f>
        <v>-5.8700000000000002E-2</v>
      </c>
      <c r="E47" s="91">
        <f>VLOOKUP($A47,'Data Vlaue (Cr)'!$C:$FB,75)</f>
        <v>1099</v>
      </c>
      <c r="F47" s="91">
        <f>VLOOKUP($A47,'Data Vlaue (Cr)'!$C:$FB,77)</f>
        <v>-49</v>
      </c>
      <c r="G47" s="92">
        <f>VLOOKUP(A47,'Data Vlaue (Cr)'!C42:CB256,78,0)</f>
        <v>-4.2700000000000002E-2</v>
      </c>
      <c r="H47" s="91">
        <f>VLOOKUP($A47,'Data Vlaue (Cr)'!$C:$FB,91)</f>
        <v>409</v>
      </c>
      <c r="I47" s="91">
        <f>VLOOKUP($A47,'Data Vlaue (Cr)'!$C:$FB,93)</f>
        <v>-50</v>
      </c>
      <c r="J47" s="92">
        <f>VLOOKUP($A47,'Data Vlaue (Cr)'!$C:$FB,94)</f>
        <v>-0.10979999999999999</v>
      </c>
      <c r="K47" s="91">
        <f>VLOOKUP($A47,'Data Vlaue (Cr)'!$C:$FB,95)</f>
        <v>275</v>
      </c>
      <c r="L47" s="91">
        <f>VLOOKUP($A47,'Data Vlaue (Cr)'!$C:$FB,97)</f>
        <v>-12</v>
      </c>
      <c r="M47" s="92">
        <f>VLOOKUP($A47,'Data Vlaue (Cr)'!$C:$FB,98)</f>
        <v>-4.1399999999999999E-2</v>
      </c>
      <c r="N47" s="91">
        <f>VLOOKUP($A47,'Data Vlaue (Cr)'!$C:$FB,79)</f>
        <v>182</v>
      </c>
      <c r="O47" s="92">
        <f>VLOOKUP($A47,'Data Vlaue (Cr)'!$C:$FB,82)</f>
        <v>-0.61439999999999995</v>
      </c>
    </row>
    <row r="48" spans="1:15" x14ac:dyDescent="0.25">
      <c r="A48" s="97" t="str">
        <f>'Data Vlaue (Cr)'!C43</f>
        <v>CHOLAFIN</v>
      </c>
      <c r="B48" s="142">
        <f>VLOOKUP(A48,'Data Vlaue (Cr)'!C43:CW257,99,0)</f>
        <v>4031</v>
      </c>
      <c r="C48" s="90">
        <f>VLOOKUP(A48,'Data Vlaue (Cr)'!C43:CY257,101,0)</f>
        <v>-15</v>
      </c>
      <c r="D48" s="139">
        <f>VLOOKUP(A48,'Data Vlaue (Cr)'!C43:CZ257,102,0)</f>
        <v>-3.8E-3</v>
      </c>
      <c r="E48" s="91">
        <f>VLOOKUP($A48,'Data Vlaue (Cr)'!$C:$FB,75)</f>
        <v>2893</v>
      </c>
      <c r="F48" s="91">
        <f>VLOOKUP($A48,'Data Vlaue (Cr)'!$C:$FB,77)</f>
        <v>-39</v>
      </c>
      <c r="G48" s="92">
        <f>VLOOKUP(A48,'Data Vlaue (Cr)'!C43:CB257,78,0)</f>
        <v>-1.34E-2</v>
      </c>
      <c r="H48" s="91">
        <f>VLOOKUP($A48,'Data Vlaue (Cr)'!$C:$FB,91)</f>
        <v>641</v>
      </c>
      <c r="I48" s="91">
        <f>VLOOKUP($A48,'Data Vlaue (Cr)'!$C:$FB,93)</f>
        <v>11</v>
      </c>
      <c r="J48" s="92">
        <f>VLOOKUP($A48,'Data Vlaue (Cr)'!$C:$FB,94)</f>
        <v>1.7000000000000001E-2</v>
      </c>
      <c r="K48" s="91">
        <f>VLOOKUP($A48,'Data Vlaue (Cr)'!$C:$FB,95)</f>
        <v>497</v>
      </c>
      <c r="L48" s="91">
        <f>VLOOKUP($A48,'Data Vlaue (Cr)'!$C:$FB,97)</f>
        <v>13</v>
      </c>
      <c r="M48" s="92">
        <f>VLOOKUP($A48,'Data Vlaue (Cr)'!$C:$FB,98)</f>
        <v>2.7799999999999998E-2</v>
      </c>
      <c r="N48" s="91">
        <f>VLOOKUP($A48,'Data Vlaue (Cr)'!$C:$FB,79)</f>
        <v>287</v>
      </c>
      <c r="O48" s="92">
        <f>VLOOKUP($A48,'Data Vlaue (Cr)'!$C:$FB,82)</f>
        <v>-0.66439999999999999</v>
      </c>
    </row>
    <row r="49" spans="1:15" x14ac:dyDescent="0.25">
      <c r="A49" s="97" t="str">
        <f>'Data Vlaue (Cr)'!C44</f>
        <v>CIPLA</v>
      </c>
      <c r="B49" s="142">
        <f>VLOOKUP(A49,'Data Vlaue (Cr)'!C44:CW258,99,0)</f>
        <v>5212</v>
      </c>
      <c r="C49" s="90">
        <f>VLOOKUP(A49,'Data Vlaue (Cr)'!C44:CY258,101,0)</f>
        <v>-159</v>
      </c>
      <c r="D49" s="139">
        <f>VLOOKUP(A49,'Data Vlaue (Cr)'!C44:CZ258,102,0)</f>
        <v>-2.9600000000000001E-2</v>
      </c>
      <c r="E49" s="91">
        <f>VLOOKUP($A49,'Data Vlaue (Cr)'!$C:$FB,75)</f>
        <v>2631</v>
      </c>
      <c r="F49" s="91">
        <f>VLOOKUP($A49,'Data Vlaue (Cr)'!$C:$FB,77)</f>
        <v>-52</v>
      </c>
      <c r="G49" s="92">
        <f>VLOOKUP(A49,'Data Vlaue (Cr)'!C44:CB258,78,0)</f>
        <v>-1.95E-2</v>
      </c>
      <c r="H49" s="91">
        <f>VLOOKUP($A49,'Data Vlaue (Cr)'!$C:$FB,91)</f>
        <v>1736</v>
      </c>
      <c r="I49" s="91">
        <f>VLOOKUP($A49,'Data Vlaue (Cr)'!$C:$FB,93)</f>
        <v>-94</v>
      </c>
      <c r="J49" s="92">
        <f>VLOOKUP($A49,'Data Vlaue (Cr)'!$C:$FB,94)</f>
        <v>-5.1299999999999998E-2</v>
      </c>
      <c r="K49" s="91">
        <f>VLOOKUP($A49,'Data Vlaue (Cr)'!$C:$FB,95)</f>
        <v>845</v>
      </c>
      <c r="L49" s="91">
        <f>VLOOKUP($A49,'Data Vlaue (Cr)'!$C:$FB,97)</f>
        <v>-13</v>
      </c>
      <c r="M49" s="92">
        <f>VLOOKUP($A49,'Data Vlaue (Cr)'!$C:$FB,98)</f>
        <v>-1.5299999999999999E-2</v>
      </c>
      <c r="N49" s="91">
        <f>VLOOKUP($A49,'Data Vlaue (Cr)'!$C:$FB,79)</f>
        <v>348</v>
      </c>
      <c r="O49" s="92">
        <f>VLOOKUP($A49,'Data Vlaue (Cr)'!$C:$FB,82)</f>
        <v>-0.65700000000000003</v>
      </c>
    </row>
    <row r="50" spans="1:15" x14ac:dyDescent="0.25">
      <c r="A50" s="97" t="str">
        <f>'Data Vlaue (Cr)'!C45</f>
        <v>COALINDIA</v>
      </c>
      <c r="B50" s="142">
        <f>VLOOKUP(A50,'Data Vlaue (Cr)'!C45:CW259,99,0)</f>
        <v>4618</v>
      </c>
      <c r="C50" s="90">
        <f>VLOOKUP(A50,'Data Vlaue (Cr)'!C45:CY259,101,0)</f>
        <v>-22</v>
      </c>
      <c r="D50" s="139">
        <f>VLOOKUP(A50,'Data Vlaue (Cr)'!C45:CZ259,102,0)</f>
        <v>-4.7000000000000002E-3</v>
      </c>
      <c r="E50" s="91">
        <f>VLOOKUP($A50,'Data Vlaue (Cr)'!$C:$FB,75)</f>
        <v>2719</v>
      </c>
      <c r="F50" s="91">
        <f>VLOOKUP($A50,'Data Vlaue (Cr)'!$C:$FB,77)</f>
        <v>-55</v>
      </c>
      <c r="G50" s="92">
        <f>VLOOKUP(A50,'Data Vlaue (Cr)'!C45:CB259,78,0)</f>
        <v>-1.9699999999999999E-2</v>
      </c>
      <c r="H50" s="91">
        <f>VLOOKUP($A50,'Data Vlaue (Cr)'!$C:$FB,91)</f>
        <v>1035</v>
      </c>
      <c r="I50" s="91">
        <f>VLOOKUP($A50,'Data Vlaue (Cr)'!$C:$FB,93)</f>
        <v>-39</v>
      </c>
      <c r="J50" s="92">
        <f>VLOOKUP($A50,'Data Vlaue (Cr)'!$C:$FB,94)</f>
        <v>-3.6600000000000001E-2</v>
      </c>
      <c r="K50" s="91">
        <f>VLOOKUP($A50,'Data Vlaue (Cr)'!$C:$FB,95)</f>
        <v>864</v>
      </c>
      <c r="L50" s="91">
        <f>VLOOKUP($A50,'Data Vlaue (Cr)'!$C:$FB,97)</f>
        <v>72</v>
      </c>
      <c r="M50" s="92">
        <f>VLOOKUP($A50,'Data Vlaue (Cr)'!$C:$FB,98)</f>
        <v>9.1499999999999998E-2</v>
      </c>
      <c r="N50" s="91">
        <f>VLOOKUP($A50,'Data Vlaue (Cr)'!$C:$FB,79)</f>
        <v>1202</v>
      </c>
      <c r="O50" s="92">
        <f>VLOOKUP($A50,'Data Vlaue (Cr)'!$C:$FB,82)</f>
        <v>-0.36409999999999998</v>
      </c>
    </row>
    <row r="51" spans="1:15" x14ac:dyDescent="0.25">
      <c r="A51" s="97" t="str">
        <f>'Data Vlaue (Cr)'!C46</f>
        <v>COFORGE</v>
      </c>
      <c r="B51" s="142">
        <f>VLOOKUP(A51,'Data Vlaue (Cr)'!C46:CW260,99,0)</f>
        <v>4569</v>
      </c>
      <c r="C51" s="90">
        <f>VLOOKUP(A51,'Data Vlaue (Cr)'!C46:CY260,101,0)</f>
        <v>-10</v>
      </c>
      <c r="D51" s="139">
        <f>VLOOKUP(A51,'Data Vlaue (Cr)'!C46:CZ260,102,0)</f>
        <v>-2.2000000000000001E-3</v>
      </c>
      <c r="E51" s="91">
        <f>VLOOKUP($A51,'Data Vlaue (Cr)'!$C:$FB,75)</f>
        <v>2495</v>
      </c>
      <c r="F51" s="91">
        <f>VLOOKUP($A51,'Data Vlaue (Cr)'!$C:$FB,77)</f>
        <v>74</v>
      </c>
      <c r="G51" s="92">
        <f>VLOOKUP(A51,'Data Vlaue (Cr)'!C46:CB260,78,0)</f>
        <v>3.0499999999999999E-2</v>
      </c>
      <c r="H51" s="91">
        <f>VLOOKUP($A51,'Data Vlaue (Cr)'!$C:$FB,91)</f>
        <v>1233</v>
      </c>
      <c r="I51" s="91">
        <f>VLOOKUP($A51,'Data Vlaue (Cr)'!$C:$FB,93)</f>
        <v>-147</v>
      </c>
      <c r="J51" s="92">
        <f>VLOOKUP($A51,'Data Vlaue (Cr)'!$C:$FB,94)</f>
        <v>-0.10630000000000001</v>
      </c>
      <c r="K51" s="91">
        <f>VLOOKUP($A51,'Data Vlaue (Cr)'!$C:$FB,95)</f>
        <v>841</v>
      </c>
      <c r="L51" s="91">
        <f>VLOOKUP($A51,'Data Vlaue (Cr)'!$C:$FB,97)</f>
        <v>63</v>
      </c>
      <c r="M51" s="92">
        <f>VLOOKUP($A51,'Data Vlaue (Cr)'!$C:$FB,98)</f>
        <v>8.0299999999999996E-2</v>
      </c>
      <c r="N51" s="91">
        <f>VLOOKUP($A51,'Data Vlaue (Cr)'!$C:$FB,79)</f>
        <v>218</v>
      </c>
      <c r="O51" s="92">
        <f>VLOOKUP($A51,'Data Vlaue (Cr)'!$C:$FB,82)</f>
        <v>-0.66220000000000001</v>
      </c>
    </row>
    <row r="52" spans="1:15" x14ac:dyDescent="0.25">
      <c r="A52" s="97" t="str">
        <f>'Data Vlaue (Cr)'!C47</f>
        <v>COLPAL</v>
      </c>
      <c r="B52" s="142">
        <f>VLOOKUP(A52,'Data Vlaue (Cr)'!C47:CW261,99,0)</f>
        <v>2437</v>
      </c>
      <c r="C52" s="90">
        <f>VLOOKUP(A52,'Data Vlaue (Cr)'!C47:CY261,101,0)</f>
        <v>30</v>
      </c>
      <c r="D52" s="139">
        <f>VLOOKUP(A52,'Data Vlaue (Cr)'!C47:CZ261,102,0)</f>
        <v>1.24E-2</v>
      </c>
      <c r="E52" s="91">
        <f>VLOOKUP($A52,'Data Vlaue (Cr)'!$C:$FB,75)</f>
        <v>1310</v>
      </c>
      <c r="F52" s="91">
        <f>VLOOKUP($A52,'Data Vlaue (Cr)'!$C:$FB,77)</f>
        <v>50</v>
      </c>
      <c r="G52" s="92">
        <f>VLOOKUP(A52,'Data Vlaue (Cr)'!C47:CB261,78,0)</f>
        <v>0.04</v>
      </c>
      <c r="H52" s="91">
        <f>VLOOKUP($A52,'Data Vlaue (Cr)'!$C:$FB,91)</f>
        <v>676</v>
      </c>
      <c r="I52" s="91">
        <f>VLOOKUP($A52,'Data Vlaue (Cr)'!$C:$FB,93)</f>
        <v>8</v>
      </c>
      <c r="J52" s="92">
        <f>VLOOKUP($A52,'Data Vlaue (Cr)'!$C:$FB,94)</f>
        <v>1.2200000000000001E-2</v>
      </c>
      <c r="K52" s="91">
        <f>VLOOKUP($A52,'Data Vlaue (Cr)'!$C:$FB,95)</f>
        <v>451</v>
      </c>
      <c r="L52" s="91">
        <f>VLOOKUP($A52,'Data Vlaue (Cr)'!$C:$FB,97)</f>
        <v>-29</v>
      </c>
      <c r="M52" s="92">
        <f>VLOOKUP($A52,'Data Vlaue (Cr)'!$C:$FB,98)</f>
        <v>-5.9700000000000003E-2</v>
      </c>
      <c r="N52" s="91">
        <f>VLOOKUP($A52,'Data Vlaue (Cr)'!$C:$FB,79)</f>
        <v>119</v>
      </c>
      <c r="O52" s="92">
        <f>VLOOKUP($A52,'Data Vlaue (Cr)'!$C:$FB,82)</f>
        <v>-0.62680000000000002</v>
      </c>
    </row>
    <row r="53" spans="1:15" x14ac:dyDescent="0.25">
      <c r="A53" s="97" t="str">
        <f>'Data Vlaue (Cr)'!C48</f>
        <v>CONCOR</v>
      </c>
      <c r="B53" s="142">
        <f>VLOOKUP(A53,'Data Vlaue (Cr)'!C48:CW262,99,0)</f>
        <v>2449</v>
      </c>
      <c r="C53" s="90">
        <f>VLOOKUP(A53,'Data Vlaue (Cr)'!C48:CY262,101,0)</f>
        <v>-45</v>
      </c>
      <c r="D53" s="139">
        <f>VLOOKUP(A53,'Data Vlaue (Cr)'!C48:CZ262,102,0)</f>
        <v>-1.7899999999999999E-2</v>
      </c>
      <c r="E53" s="91">
        <f>VLOOKUP($A53,'Data Vlaue (Cr)'!$C:$FB,75)</f>
        <v>1470</v>
      </c>
      <c r="F53" s="91">
        <f>VLOOKUP($A53,'Data Vlaue (Cr)'!$C:$FB,77)</f>
        <v>-13</v>
      </c>
      <c r="G53" s="92">
        <f>VLOOKUP(A53,'Data Vlaue (Cr)'!C48:CB262,78,0)</f>
        <v>-8.8000000000000005E-3</v>
      </c>
      <c r="H53" s="91">
        <f>VLOOKUP($A53,'Data Vlaue (Cr)'!$C:$FB,91)</f>
        <v>547</v>
      </c>
      <c r="I53" s="91">
        <f>VLOOKUP($A53,'Data Vlaue (Cr)'!$C:$FB,93)</f>
        <v>-13</v>
      </c>
      <c r="J53" s="92">
        <f>VLOOKUP($A53,'Data Vlaue (Cr)'!$C:$FB,94)</f>
        <v>-2.2800000000000001E-2</v>
      </c>
      <c r="K53" s="91">
        <f>VLOOKUP($A53,'Data Vlaue (Cr)'!$C:$FB,95)</f>
        <v>432</v>
      </c>
      <c r="L53" s="91">
        <f>VLOOKUP($A53,'Data Vlaue (Cr)'!$C:$FB,97)</f>
        <v>-19</v>
      </c>
      <c r="M53" s="92">
        <f>VLOOKUP($A53,'Data Vlaue (Cr)'!$C:$FB,98)</f>
        <v>-4.19E-2</v>
      </c>
      <c r="N53" s="91">
        <f>VLOOKUP($A53,'Data Vlaue (Cr)'!$C:$FB,79)</f>
        <v>282</v>
      </c>
      <c r="O53" s="92">
        <f>VLOOKUP($A53,'Data Vlaue (Cr)'!$C:$FB,82)</f>
        <v>-0.48110000000000003</v>
      </c>
    </row>
    <row r="54" spans="1:15" x14ac:dyDescent="0.25">
      <c r="A54" s="97" t="str">
        <f>'Data Vlaue (Cr)'!C49</f>
        <v>CROMPTON</v>
      </c>
      <c r="B54" s="142">
        <f>VLOOKUP(A54,'Data Vlaue (Cr)'!C49:CW263,99,0)</f>
        <v>2650</v>
      </c>
      <c r="C54" s="90">
        <f>VLOOKUP(A54,'Data Vlaue (Cr)'!C49:CY263,101,0)</f>
        <v>191</v>
      </c>
      <c r="D54" s="139">
        <f>VLOOKUP(A54,'Data Vlaue (Cr)'!C49:CZ263,102,0)</f>
        <v>7.7499999999999999E-2</v>
      </c>
      <c r="E54" s="91">
        <f>VLOOKUP($A54,'Data Vlaue (Cr)'!$C:$FB,75)</f>
        <v>1681</v>
      </c>
      <c r="F54" s="91">
        <f>VLOOKUP($A54,'Data Vlaue (Cr)'!$C:$FB,77)</f>
        <v>50</v>
      </c>
      <c r="G54" s="92">
        <f>VLOOKUP(A54,'Data Vlaue (Cr)'!C49:CB263,78,0)</f>
        <v>3.0499999999999999E-2</v>
      </c>
      <c r="H54" s="91">
        <f>VLOOKUP($A54,'Data Vlaue (Cr)'!$C:$FB,91)</f>
        <v>604</v>
      </c>
      <c r="I54" s="91">
        <f>VLOOKUP($A54,'Data Vlaue (Cr)'!$C:$FB,93)</f>
        <v>96</v>
      </c>
      <c r="J54" s="92">
        <f>VLOOKUP($A54,'Data Vlaue (Cr)'!$C:$FB,94)</f>
        <v>0.18920000000000001</v>
      </c>
      <c r="K54" s="91">
        <f>VLOOKUP($A54,'Data Vlaue (Cr)'!$C:$FB,95)</f>
        <v>364</v>
      </c>
      <c r="L54" s="91">
        <f>VLOOKUP($A54,'Data Vlaue (Cr)'!$C:$FB,97)</f>
        <v>45</v>
      </c>
      <c r="M54" s="92">
        <f>VLOOKUP($A54,'Data Vlaue (Cr)'!$C:$FB,98)</f>
        <v>0.1401</v>
      </c>
      <c r="N54" s="91">
        <f>VLOOKUP($A54,'Data Vlaue (Cr)'!$C:$FB,79)</f>
        <v>243</v>
      </c>
      <c r="O54" s="92">
        <f>VLOOKUP($A54,'Data Vlaue (Cr)'!$C:$FB,82)</f>
        <v>-0.57879999999999998</v>
      </c>
    </row>
    <row r="55" spans="1:15" x14ac:dyDescent="0.25">
      <c r="A55" s="97" t="str">
        <f>'Data Vlaue (Cr)'!C50</f>
        <v>CUMMINSIND</v>
      </c>
      <c r="B55" s="142">
        <f>VLOOKUP(A55,'Data Vlaue (Cr)'!C50:CW264,99,0)</f>
        <v>2328</v>
      </c>
      <c r="C55" s="90">
        <f>VLOOKUP(A55,'Data Vlaue (Cr)'!C50:CY264,101,0)</f>
        <v>228</v>
      </c>
      <c r="D55" s="139">
        <f>VLOOKUP(A55,'Data Vlaue (Cr)'!C50:CZ264,102,0)</f>
        <v>0.1087</v>
      </c>
      <c r="E55" s="91">
        <f>VLOOKUP($A55,'Data Vlaue (Cr)'!$C:$FB,75)</f>
        <v>1340</v>
      </c>
      <c r="F55" s="91">
        <f>VLOOKUP($A55,'Data Vlaue (Cr)'!$C:$FB,77)</f>
        <v>73</v>
      </c>
      <c r="G55" s="92">
        <f>VLOOKUP(A55,'Data Vlaue (Cr)'!C50:CB264,78,0)</f>
        <v>5.7799999999999997E-2</v>
      </c>
      <c r="H55" s="91">
        <f>VLOOKUP($A55,'Data Vlaue (Cr)'!$C:$FB,91)</f>
        <v>465</v>
      </c>
      <c r="I55" s="91">
        <f>VLOOKUP($A55,'Data Vlaue (Cr)'!$C:$FB,93)</f>
        <v>-2</v>
      </c>
      <c r="J55" s="92">
        <f>VLOOKUP($A55,'Data Vlaue (Cr)'!$C:$FB,94)</f>
        <v>-3.7000000000000002E-3</v>
      </c>
      <c r="K55" s="91">
        <f>VLOOKUP($A55,'Data Vlaue (Cr)'!$C:$FB,95)</f>
        <v>523</v>
      </c>
      <c r="L55" s="91">
        <f>VLOOKUP($A55,'Data Vlaue (Cr)'!$C:$FB,97)</f>
        <v>157</v>
      </c>
      <c r="M55" s="92">
        <f>VLOOKUP($A55,'Data Vlaue (Cr)'!$C:$FB,98)</f>
        <v>0.4279</v>
      </c>
      <c r="N55" s="91">
        <f>VLOOKUP($A55,'Data Vlaue (Cr)'!$C:$FB,79)</f>
        <v>164</v>
      </c>
      <c r="O55" s="92">
        <f>VLOOKUP($A55,'Data Vlaue (Cr)'!$C:$FB,82)</f>
        <v>-0.63239999999999996</v>
      </c>
    </row>
    <row r="56" spans="1:15" x14ac:dyDescent="0.25">
      <c r="A56" s="97" t="str">
        <f>'Data Vlaue (Cr)'!C51</f>
        <v>CYIENT</v>
      </c>
      <c r="B56" s="142">
        <f>VLOOKUP(A56,'Data Vlaue (Cr)'!C51:CW265,99,0)</f>
        <v>932</v>
      </c>
      <c r="C56" s="90">
        <f>VLOOKUP(A56,'Data Vlaue (Cr)'!C51:CY265,101,0)</f>
        <v>-109</v>
      </c>
      <c r="D56" s="139">
        <f>VLOOKUP(A56,'Data Vlaue (Cr)'!C51:CZ265,102,0)</f>
        <v>-0.1051</v>
      </c>
      <c r="E56" s="91">
        <f>VLOOKUP($A56,'Data Vlaue (Cr)'!$C:$FB,75)</f>
        <v>518</v>
      </c>
      <c r="F56" s="91">
        <f>VLOOKUP($A56,'Data Vlaue (Cr)'!$C:$FB,77)</f>
        <v>-36</v>
      </c>
      <c r="G56" s="92">
        <f>VLOOKUP(A56,'Data Vlaue (Cr)'!C51:CB265,78,0)</f>
        <v>-6.54E-2</v>
      </c>
      <c r="H56" s="91">
        <f>VLOOKUP($A56,'Data Vlaue (Cr)'!$C:$FB,91)</f>
        <v>219</v>
      </c>
      <c r="I56" s="91">
        <f>VLOOKUP($A56,'Data Vlaue (Cr)'!$C:$FB,93)</f>
        <v>-52</v>
      </c>
      <c r="J56" s="92">
        <f>VLOOKUP($A56,'Data Vlaue (Cr)'!$C:$FB,94)</f>
        <v>-0.19220000000000001</v>
      </c>
      <c r="K56" s="91">
        <f>VLOOKUP($A56,'Data Vlaue (Cr)'!$C:$FB,95)</f>
        <v>195</v>
      </c>
      <c r="L56" s="91">
        <f>VLOOKUP($A56,'Data Vlaue (Cr)'!$C:$FB,97)</f>
        <v>-21</v>
      </c>
      <c r="M56" s="92">
        <f>VLOOKUP($A56,'Data Vlaue (Cr)'!$C:$FB,98)</f>
        <v>-9.74E-2</v>
      </c>
      <c r="N56" s="91">
        <f>VLOOKUP($A56,'Data Vlaue (Cr)'!$C:$FB,79)</f>
        <v>82</v>
      </c>
      <c r="O56" s="92">
        <f>VLOOKUP($A56,'Data Vlaue (Cr)'!$C:$FB,82)</f>
        <v>-0.60309999999999997</v>
      </c>
    </row>
    <row r="57" spans="1:15" x14ac:dyDescent="0.25">
      <c r="A57" s="97" t="str">
        <f>'Data Vlaue (Cr)'!C52</f>
        <v>DABUR</v>
      </c>
      <c r="B57" s="142">
        <f>VLOOKUP(A57,'Data Vlaue (Cr)'!C52:CW266,99,0)</f>
        <v>2026</v>
      </c>
      <c r="C57" s="90">
        <f>VLOOKUP(A57,'Data Vlaue (Cr)'!C52:CY266,101,0)</f>
        <v>-67</v>
      </c>
      <c r="D57" s="139">
        <f>VLOOKUP(A57,'Data Vlaue (Cr)'!C52:CZ266,102,0)</f>
        <v>-3.2099999999999997E-2</v>
      </c>
      <c r="E57" s="91">
        <f>VLOOKUP($A57,'Data Vlaue (Cr)'!$C:$FB,75)</f>
        <v>1146</v>
      </c>
      <c r="F57" s="91">
        <f>VLOOKUP($A57,'Data Vlaue (Cr)'!$C:$FB,77)</f>
        <v>-21</v>
      </c>
      <c r="G57" s="92">
        <f>VLOOKUP(A57,'Data Vlaue (Cr)'!C52:CB266,78,0)</f>
        <v>-1.8100000000000002E-2</v>
      </c>
      <c r="H57" s="91">
        <f>VLOOKUP($A57,'Data Vlaue (Cr)'!$C:$FB,91)</f>
        <v>529</v>
      </c>
      <c r="I57" s="91">
        <f>VLOOKUP($A57,'Data Vlaue (Cr)'!$C:$FB,93)</f>
        <v>-34</v>
      </c>
      <c r="J57" s="92">
        <f>VLOOKUP($A57,'Data Vlaue (Cr)'!$C:$FB,94)</f>
        <v>-6.1100000000000002E-2</v>
      </c>
      <c r="K57" s="91">
        <f>VLOOKUP($A57,'Data Vlaue (Cr)'!$C:$FB,95)</f>
        <v>351</v>
      </c>
      <c r="L57" s="91">
        <f>VLOOKUP($A57,'Data Vlaue (Cr)'!$C:$FB,97)</f>
        <v>-12</v>
      </c>
      <c r="M57" s="92">
        <f>VLOOKUP($A57,'Data Vlaue (Cr)'!$C:$FB,98)</f>
        <v>-3.2099999999999997E-2</v>
      </c>
      <c r="N57" s="91">
        <f>VLOOKUP($A57,'Data Vlaue (Cr)'!$C:$FB,79)</f>
        <v>275</v>
      </c>
      <c r="O57" s="92">
        <f>VLOOKUP($A57,'Data Vlaue (Cr)'!$C:$FB,82)</f>
        <v>-0.4899</v>
      </c>
    </row>
    <row r="58" spans="1:15" x14ac:dyDescent="0.25">
      <c r="A58" s="97" t="str">
        <f>'Data Vlaue (Cr)'!C53</f>
        <v>DALBHARAT</v>
      </c>
      <c r="B58" s="142">
        <f>VLOOKUP(A58,'Data Vlaue (Cr)'!C53:CW267,99,0)</f>
        <v>908</v>
      </c>
      <c r="C58" s="90">
        <f>VLOOKUP(A58,'Data Vlaue (Cr)'!C53:CY267,101,0)</f>
        <v>-74</v>
      </c>
      <c r="D58" s="139">
        <f>VLOOKUP(A58,'Data Vlaue (Cr)'!C53:CZ267,102,0)</f>
        <v>-7.5700000000000003E-2</v>
      </c>
      <c r="E58" s="91">
        <f>VLOOKUP($A58,'Data Vlaue (Cr)'!$C:$FB,75)</f>
        <v>478</v>
      </c>
      <c r="F58" s="91">
        <f>VLOOKUP($A58,'Data Vlaue (Cr)'!$C:$FB,77)</f>
        <v>6</v>
      </c>
      <c r="G58" s="92">
        <f>VLOOKUP(A58,'Data Vlaue (Cr)'!C53:CB267,78,0)</f>
        <v>1.26E-2</v>
      </c>
      <c r="H58" s="91">
        <f>VLOOKUP($A58,'Data Vlaue (Cr)'!$C:$FB,91)</f>
        <v>298</v>
      </c>
      <c r="I58" s="91">
        <f>VLOOKUP($A58,'Data Vlaue (Cr)'!$C:$FB,93)</f>
        <v>-60</v>
      </c>
      <c r="J58" s="92">
        <f>VLOOKUP($A58,'Data Vlaue (Cr)'!$C:$FB,94)</f>
        <v>-0.1673</v>
      </c>
      <c r="K58" s="91">
        <f>VLOOKUP($A58,'Data Vlaue (Cr)'!$C:$FB,95)</f>
        <v>132</v>
      </c>
      <c r="L58" s="91">
        <f>VLOOKUP($A58,'Data Vlaue (Cr)'!$C:$FB,97)</f>
        <v>-20</v>
      </c>
      <c r="M58" s="92">
        <f>VLOOKUP($A58,'Data Vlaue (Cr)'!$C:$FB,98)</f>
        <v>-0.13350000000000001</v>
      </c>
      <c r="N58" s="91">
        <f>VLOOKUP($A58,'Data Vlaue (Cr)'!$C:$FB,79)</f>
        <v>61</v>
      </c>
      <c r="O58" s="92">
        <f>VLOOKUP($A58,'Data Vlaue (Cr)'!$C:$FB,82)</f>
        <v>-0.63959999999999995</v>
      </c>
    </row>
    <row r="59" spans="1:15" x14ac:dyDescent="0.25">
      <c r="A59" s="97" t="str">
        <f>'Data Vlaue (Cr)'!C54</f>
        <v>DELHIVERY</v>
      </c>
      <c r="B59" s="142">
        <f>VLOOKUP(A59,'Data Vlaue (Cr)'!C54:CW268,99,0)</f>
        <v>1614</v>
      </c>
      <c r="C59" s="90">
        <f>VLOOKUP(A59,'Data Vlaue (Cr)'!C54:CY268,101,0)</f>
        <v>-78</v>
      </c>
      <c r="D59" s="139">
        <f>VLOOKUP(A59,'Data Vlaue (Cr)'!C54:CZ268,102,0)</f>
        <v>-4.6100000000000002E-2</v>
      </c>
      <c r="E59" s="91">
        <f>VLOOKUP($A59,'Data Vlaue (Cr)'!$C:$FB,75)</f>
        <v>890</v>
      </c>
      <c r="F59" s="91">
        <f>VLOOKUP($A59,'Data Vlaue (Cr)'!$C:$FB,77)</f>
        <v>-8</v>
      </c>
      <c r="G59" s="92">
        <f>VLOOKUP(A59,'Data Vlaue (Cr)'!C54:CB268,78,0)</f>
        <v>-8.8999999999999999E-3</v>
      </c>
      <c r="H59" s="91">
        <f>VLOOKUP($A59,'Data Vlaue (Cr)'!$C:$FB,91)</f>
        <v>443</v>
      </c>
      <c r="I59" s="91">
        <f>VLOOKUP($A59,'Data Vlaue (Cr)'!$C:$FB,93)</f>
        <v>-78</v>
      </c>
      <c r="J59" s="92">
        <f>VLOOKUP($A59,'Data Vlaue (Cr)'!$C:$FB,94)</f>
        <v>-0.14910000000000001</v>
      </c>
      <c r="K59" s="91">
        <f>VLOOKUP($A59,'Data Vlaue (Cr)'!$C:$FB,95)</f>
        <v>281</v>
      </c>
      <c r="L59" s="91">
        <f>VLOOKUP($A59,'Data Vlaue (Cr)'!$C:$FB,97)</f>
        <v>8</v>
      </c>
      <c r="M59" s="92">
        <f>VLOOKUP($A59,'Data Vlaue (Cr)'!$C:$FB,98)</f>
        <v>2.76E-2</v>
      </c>
      <c r="N59" s="91">
        <f>VLOOKUP($A59,'Data Vlaue (Cr)'!$C:$FB,79)</f>
        <v>112</v>
      </c>
      <c r="O59" s="92">
        <f>VLOOKUP($A59,'Data Vlaue (Cr)'!$C:$FB,82)</f>
        <v>-0.7026</v>
      </c>
    </row>
    <row r="60" spans="1:15" x14ac:dyDescent="0.25">
      <c r="A60" s="97" t="str">
        <f>'Data Vlaue (Cr)'!C55</f>
        <v>DIVISLAB</v>
      </c>
      <c r="B60" s="142">
        <f>VLOOKUP(A60,'Data Vlaue (Cr)'!C55:CW269,99,0)</f>
        <v>3380</v>
      </c>
      <c r="C60" s="90">
        <f>VLOOKUP(A60,'Data Vlaue (Cr)'!C55:CY269,101,0)</f>
        <v>-171</v>
      </c>
      <c r="D60" s="139">
        <f>VLOOKUP(A60,'Data Vlaue (Cr)'!C55:CZ269,102,0)</f>
        <v>-4.8099999999999997E-2</v>
      </c>
      <c r="E60" s="91">
        <f>VLOOKUP($A60,'Data Vlaue (Cr)'!$C:$FB,75)</f>
        <v>1682</v>
      </c>
      <c r="F60" s="91">
        <f>VLOOKUP($A60,'Data Vlaue (Cr)'!$C:$FB,77)</f>
        <v>-41</v>
      </c>
      <c r="G60" s="92">
        <f>VLOOKUP(A60,'Data Vlaue (Cr)'!C55:CB269,78,0)</f>
        <v>-2.3900000000000001E-2</v>
      </c>
      <c r="H60" s="91">
        <f>VLOOKUP($A60,'Data Vlaue (Cr)'!$C:$FB,91)</f>
        <v>925</v>
      </c>
      <c r="I60" s="91">
        <f>VLOOKUP($A60,'Data Vlaue (Cr)'!$C:$FB,93)</f>
        <v>10</v>
      </c>
      <c r="J60" s="92">
        <f>VLOOKUP($A60,'Data Vlaue (Cr)'!$C:$FB,94)</f>
        <v>1.0999999999999999E-2</v>
      </c>
      <c r="K60" s="91">
        <f>VLOOKUP($A60,'Data Vlaue (Cr)'!$C:$FB,95)</f>
        <v>773</v>
      </c>
      <c r="L60" s="91">
        <f>VLOOKUP($A60,'Data Vlaue (Cr)'!$C:$FB,97)</f>
        <v>-140</v>
      </c>
      <c r="M60" s="92">
        <f>VLOOKUP($A60,'Data Vlaue (Cr)'!$C:$FB,98)</f>
        <v>-0.15310000000000001</v>
      </c>
      <c r="N60" s="91">
        <f>VLOOKUP($A60,'Data Vlaue (Cr)'!$C:$FB,79)</f>
        <v>324</v>
      </c>
      <c r="O60" s="92">
        <f>VLOOKUP($A60,'Data Vlaue (Cr)'!$C:$FB,82)</f>
        <v>-0.58389999999999997</v>
      </c>
    </row>
    <row r="61" spans="1:15" x14ac:dyDescent="0.25">
      <c r="A61" s="97" t="str">
        <f>'Data Vlaue (Cr)'!C56</f>
        <v>DIXON</v>
      </c>
      <c r="B61" s="142">
        <f>VLOOKUP(A61,'Data Vlaue (Cr)'!C56:CW270,99,0)</f>
        <v>9139</v>
      </c>
      <c r="C61" s="90">
        <f>VLOOKUP(A61,'Data Vlaue (Cr)'!C56:CY270,101,0)</f>
        <v>-725</v>
      </c>
      <c r="D61" s="139">
        <f>VLOOKUP(A61,'Data Vlaue (Cr)'!C56:CZ270,102,0)</f>
        <v>-7.3499999999999996E-2</v>
      </c>
      <c r="E61" s="91">
        <f>VLOOKUP($A61,'Data Vlaue (Cr)'!$C:$FB,75)</f>
        <v>3075</v>
      </c>
      <c r="F61" s="91">
        <f>VLOOKUP($A61,'Data Vlaue (Cr)'!$C:$FB,77)</f>
        <v>52</v>
      </c>
      <c r="G61" s="92">
        <f>VLOOKUP(A61,'Data Vlaue (Cr)'!C56:CB270,78,0)</f>
        <v>1.7299999999999999E-2</v>
      </c>
      <c r="H61" s="91">
        <f>VLOOKUP($A61,'Data Vlaue (Cr)'!$C:$FB,91)</f>
        <v>4274</v>
      </c>
      <c r="I61" s="91">
        <f>VLOOKUP($A61,'Data Vlaue (Cr)'!$C:$FB,93)</f>
        <v>-607</v>
      </c>
      <c r="J61" s="92">
        <f>VLOOKUP($A61,'Data Vlaue (Cr)'!$C:$FB,94)</f>
        <v>-0.12429999999999999</v>
      </c>
      <c r="K61" s="91">
        <f>VLOOKUP($A61,'Data Vlaue (Cr)'!$C:$FB,95)</f>
        <v>1791</v>
      </c>
      <c r="L61" s="91">
        <f>VLOOKUP($A61,'Data Vlaue (Cr)'!$C:$FB,97)</f>
        <v>-171</v>
      </c>
      <c r="M61" s="92">
        <f>VLOOKUP($A61,'Data Vlaue (Cr)'!$C:$FB,98)</f>
        <v>-8.7300000000000003E-2</v>
      </c>
      <c r="N61" s="91">
        <f>VLOOKUP($A61,'Data Vlaue (Cr)'!$C:$FB,79)</f>
        <v>700</v>
      </c>
      <c r="O61" s="92">
        <f>VLOOKUP($A61,'Data Vlaue (Cr)'!$C:$FB,82)</f>
        <v>-0.41110000000000002</v>
      </c>
    </row>
    <row r="62" spans="1:15" x14ac:dyDescent="0.25">
      <c r="A62" s="97" t="str">
        <f>'Data Vlaue (Cr)'!C57</f>
        <v>DLF</v>
      </c>
      <c r="B62" s="142">
        <f>VLOOKUP(A62,'Data Vlaue (Cr)'!C57:CW271,99,0)</f>
        <v>4593</v>
      </c>
      <c r="C62" s="90">
        <f>VLOOKUP(A62,'Data Vlaue (Cr)'!C57:CY271,101,0)</f>
        <v>21</v>
      </c>
      <c r="D62" s="139">
        <f>VLOOKUP(A62,'Data Vlaue (Cr)'!C57:CZ271,102,0)</f>
        <v>4.5999999999999999E-3</v>
      </c>
      <c r="E62" s="91">
        <f>VLOOKUP($A62,'Data Vlaue (Cr)'!$C:$FB,75)</f>
        <v>2804</v>
      </c>
      <c r="F62" s="91">
        <f>VLOOKUP($A62,'Data Vlaue (Cr)'!$C:$FB,77)</f>
        <v>41</v>
      </c>
      <c r="G62" s="92">
        <f>VLOOKUP(A62,'Data Vlaue (Cr)'!C57:CB271,78,0)</f>
        <v>1.4800000000000001E-2</v>
      </c>
      <c r="H62" s="91">
        <f>VLOOKUP($A62,'Data Vlaue (Cr)'!$C:$FB,91)</f>
        <v>980</v>
      </c>
      <c r="I62" s="91">
        <f>VLOOKUP($A62,'Data Vlaue (Cr)'!$C:$FB,93)</f>
        <v>1</v>
      </c>
      <c r="J62" s="92">
        <f>VLOOKUP($A62,'Data Vlaue (Cr)'!$C:$FB,94)</f>
        <v>1.2999999999999999E-3</v>
      </c>
      <c r="K62" s="91">
        <f>VLOOKUP($A62,'Data Vlaue (Cr)'!$C:$FB,95)</f>
        <v>809</v>
      </c>
      <c r="L62" s="91">
        <f>VLOOKUP($A62,'Data Vlaue (Cr)'!$C:$FB,97)</f>
        <v>-21</v>
      </c>
      <c r="M62" s="92">
        <f>VLOOKUP($A62,'Data Vlaue (Cr)'!$C:$FB,98)</f>
        <v>-2.5700000000000001E-2</v>
      </c>
      <c r="N62" s="91">
        <f>VLOOKUP($A62,'Data Vlaue (Cr)'!$C:$FB,79)</f>
        <v>582</v>
      </c>
      <c r="O62" s="92">
        <f>VLOOKUP($A62,'Data Vlaue (Cr)'!$C:$FB,82)</f>
        <v>-0.55330000000000001</v>
      </c>
    </row>
    <row r="63" spans="1:15" x14ac:dyDescent="0.25">
      <c r="A63" s="97" t="str">
        <f>'Data Vlaue (Cr)'!C58</f>
        <v>DMART</v>
      </c>
      <c r="B63" s="142">
        <f>VLOOKUP(A63,'Data Vlaue (Cr)'!C58:CW272,99,0)</f>
        <v>4489</v>
      </c>
      <c r="C63" s="90">
        <f>VLOOKUP(A63,'Data Vlaue (Cr)'!C58:CY272,101,0)</f>
        <v>-364</v>
      </c>
      <c r="D63" s="139">
        <f>VLOOKUP(A63,'Data Vlaue (Cr)'!C58:CZ272,102,0)</f>
        <v>-7.4999999999999997E-2</v>
      </c>
      <c r="E63" s="91">
        <f>VLOOKUP($A63,'Data Vlaue (Cr)'!$C:$FB,75)</f>
        <v>2854</v>
      </c>
      <c r="F63" s="91">
        <f>VLOOKUP($A63,'Data Vlaue (Cr)'!$C:$FB,77)</f>
        <v>-66</v>
      </c>
      <c r="G63" s="92">
        <f>VLOOKUP(A63,'Data Vlaue (Cr)'!C58:CB272,78,0)</f>
        <v>-2.2599999999999999E-2</v>
      </c>
      <c r="H63" s="91">
        <f>VLOOKUP($A63,'Data Vlaue (Cr)'!$C:$FB,91)</f>
        <v>1164</v>
      </c>
      <c r="I63" s="91">
        <f>VLOOKUP($A63,'Data Vlaue (Cr)'!$C:$FB,93)</f>
        <v>-243</v>
      </c>
      <c r="J63" s="92">
        <f>VLOOKUP($A63,'Data Vlaue (Cr)'!$C:$FB,94)</f>
        <v>-0.17280000000000001</v>
      </c>
      <c r="K63" s="91">
        <f>VLOOKUP($A63,'Data Vlaue (Cr)'!$C:$FB,95)</f>
        <v>471</v>
      </c>
      <c r="L63" s="91">
        <f>VLOOKUP($A63,'Data Vlaue (Cr)'!$C:$FB,97)</f>
        <v>-55</v>
      </c>
      <c r="M63" s="92">
        <f>VLOOKUP($A63,'Data Vlaue (Cr)'!$C:$FB,98)</f>
        <v>-0.1045</v>
      </c>
      <c r="N63" s="91">
        <f>VLOOKUP($A63,'Data Vlaue (Cr)'!$C:$FB,79)</f>
        <v>367</v>
      </c>
      <c r="O63" s="92">
        <f>VLOOKUP($A63,'Data Vlaue (Cr)'!$C:$FB,82)</f>
        <v>-0.64510000000000001</v>
      </c>
    </row>
    <row r="64" spans="1:15" x14ac:dyDescent="0.25">
      <c r="A64" s="97" t="str">
        <f>'Data Vlaue (Cr)'!C59</f>
        <v>DRREDDY</v>
      </c>
      <c r="B64" s="142">
        <f>VLOOKUP(A64,'Data Vlaue (Cr)'!C59:CW273,99,0)</f>
        <v>3569</v>
      </c>
      <c r="C64" s="90">
        <f>VLOOKUP(A64,'Data Vlaue (Cr)'!C59:CY273,101,0)</f>
        <v>-78</v>
      </c>
      <c r="D64" s="139">
        <f>VLOOKUP(A64,'Data Vlaue (Cr)'!C59:CZ273,102,0)</f>
        <v>-2.1299999999999999E-2</v>
      </c>
      <c r="E64" s="91">
        <f>VLOOKUP($A64,'Data Vlaue (Cr)'!$C:$FB,75)</f>
        <v>1792</v>
      </c>
      <c r="F64" s="91">
        <f>VLOOKUP($A64,'Data Vlaue (Cr)'!$C:$FB,77)</f>
        <v>9</v>
      </c>
      <c r="G64" s="92">
        <f>VLOOKUP(A64,'Data Vlaue (Cr)'!C59:CB273,78,0)</f>
        <v>5.3E-3</v>
      </c>
      <c r="H64" s="91">
        <f>VLOOKUP($A64,'Data Vlaue (Cr)'!$C:$FB,91)</f>
        <v>1124</v>
      </c>
      <c r="I64" s="91">
        <f>VLOOKUP($A64,'Data Vlaue (Cr)'!$C:$FB,93)</f>
        <v>-55</v>
      </c>
      <c r="J64" s="92">
        <f>VLOOKUP($A64,'Data Vlaue (Cr)'!$C:$FB,94)</f>
        <v>-4.6899999999999997E-2</v>
      </c>
      <c r="K64" s="91">
        <f>VLOOKUP($A64,'Data Vlaue (Cr)'!$C:$FB,95)</f>
        <v>653</v>
      </c>
      <c r="L64" s="91">
        <f>VLOOKUP($A64,'Data Vlaue (Cr)'!$C:$FB,97)</f>
        <v>-32</v>
      </c>
      <c r="M64" s="92">
        <f>VLOOKUP($A64,'Data Vlaue (Cr)'!$C:$FB,98)</f>
        <v>-4.6399999999999997E-2</v>
      </c>
      <c r="N64" s="91">
        <f>VLOOKUP($A64,'Data Vlaue (Cr)'!$C:$FB,79)</f>
        <v>328</v>
      </c>
      <c r="O64" s="92">
        <f>VLOOKUP($A64,'Data Vlaue (Cr)'!$C:$FB,82)</f>
        <v>-0.56689999999999996</v>
      </c>
    </row>
    <row r="65" spans="1:15" x14ac:dyDescent="0.25">
      <c r="A65" s="97" t="str">
        <f>'Data Vlaue (Cr)'!C60</f>
        <v>EICHERMOT</v>
      </c>
      <c r="B65" s="142">
        <f>VLOOKUP(A65,'Data Vlaue (Cr)'!C60:CW274,99,0)</f>
        <v>4615</v>
      </c>
      <c r="C65" s="90">
        <f>VLOOKUP(A65,'Data Vlaue (Cr)'!C60:CY274,101,0)</f>
        <v>-206</v>
      </c>
      <c r="D65" s="139">
        <f>VLOOKUP(A65,'Data Vlaue (Cr)'!C60:CZ274,102,0)</f>
        <v>-4.2700000000000002E-2</v>
      </c>
      <c r="E65" s="91">
        <f>VLOOKUP($A65,'Data Vlaue (Cr)'!$C:$FB,75)</f>
        <v>2545</v>
      </c>
      <c r="F65" s="91">
        <f>VLOOKUP($A65,'Data Vlaue (Cr)'!$C:$FB,77)</f>
        <v>56</v>
      </c>
      <c r="G65" s="92">
        <f>VLOOKUP(A65,'Data Vlaue (Cr)'!C60:CB274,78,0)</f>
        <v>2.23E-2</v>
      </c>
      <c r="H65" s="91">
        <f>VLOOKUP($A65,'Data Vlaue (Cr)'!$C:$FB,91)</f>
        <v>1159</v>
      </c>
      <c r="I65" s="91">
        <f>VLOOKUP($A65,'Data Vlaue (Cr)'!$C:$FB,93)</f>
        <v>-217</v>
      </c>
      <c r="J65" s="92">
        <f>VLOOKUP($A65,'Data Vlaue (Cr)'!$C:$FB,94)</f>
        <v>-0.15759999999999999</v>
      </c>
      <c r="K65" s="91">
        <f>VLOOKUP($A65,'Data Vlaue (Cr)'!$C:$FB,95)</f>
        <v>911</v>
      </c>
      <c r="L65" s="91">
        <f>VLOOKUP($A65,'Data Vlaue (Cr)'!$C:$FB,97)</f>
        <v>-45</v>
      </c>
      <c r="M65" s="92">
        <f>VLOOKUP($A65,'Data Vlaue (Cr)'!$C:$FB,98)</f>
        <v>-4.6600000000000003E-2</v>
      </c>
      <c r="N65" s="91">
        <f>VLOOKUP($A65,'Data Vlaue (Cr)'!$C:$FB,79)</f>
        <v>431</v>
      </c>
      <c r="O65" s="92">
        <f>VLOOKUP($A65,'Data Vlaue (Cr)'!$C:$FB,82)</f>
        <v>-0.64370000000000005</v>
      </c>
    </row>
    <row r="66" spans="1:15" x14ac:dyDescent="0.25">
      <c r="A66" s="97" t="str">
        <f>'Data Vlaue (Cr)'!C61</f>
        <v>ETERNAL</v>
      </c>
      <c r="B66" s="142">
        <f>VLOOKUP(A66,'Data Vlaue (Cr)'!C61:CW275,99,0)</f>
        <v>12895</v>
      </c>
      <c r="C66" s="90">
        <f>VLOOKUP(A66,'Data Vlaue (Cr)'!C61:CY275,101,0)</f>
        <v>-204</v>
      </c>
      <c r="D66" s="139">
        <f>VLOOKUP(A66,'Data Vlaue (Cr)'!C61:CZ275,102,0)</f>
        <v>-1.5599999999999999E-2</v>
      </c>
      <c r="E66" s="91">
        <f>VLOOKUP($A66,'Data Vlaue (Cr)'!$C:$FB,75)</f>
        <v>8260</v>
      </c>
      <c r="F66" s="91">
        <f>VLOOKUP($A66,'Data Vlaue (Cr)'!$C:$FB,77)</f>
        <v>205</v>
      </c>
      <c r="G66" s="92">
        <f>VLOOKUP(A66,'Data Vlaue (Cr)'!C61:CB275,78,0)</f>
        <v>2.5499999999999998E-2</v>
      </c>
      <c r="H66" s="91">
        <f>VLOOKUP($A66,'Data Vlaue (Cr)'!$C:$FB,91)</f>
        <v>2990</v>
      </c>
      <c r="I66" s="91">
        <f>VLOOKUP($A66,'Data Vlaue (Cr)'!$C:$FB,93)</f>
        <v>-278</v>
      </c>
      <c r="J66" s="92">
        <f>VLOOKUP($A66,'Data Vlaue (Cr)'!$C:$FB,94)</f>
        <v>-8.5000000000000006E-2</v>
      </c>
      <c r="K66" s="91">
        <f>VLOOKUP($A66,'Data Vlaue (Cr)'!$C:$FB,95)</f>
        <v>1645</v>
      </c>
      <c r="L66" s="91">
        <f>VLOOKUP($A66,'Data Vlaue (Cr)'!$C:$FB,97)</f>
        <v>-132</v>
      </c>
      <c r="M66" s="92">
        <f>VLOOKUP($A66,'Data Vlaue (Cr)'!$C:$FB,98)</f>
        <v>-7.4099999999999999E-2</v>
      </c>
      <c r="N66" s="91">
        <f>VLOOKUP($A66,'Data Vlaue (Cr)'!$C:$FB,79)</f>
        <v>1101</v>
      </c>
      <c r="O66" s="92">
        <f>VLOOKUP($A66,'Data Vlaue (Cr)'!$C:$FB,82)</f>
        <v>-0.54490000000000005</v>
      </c>
    </row>
    <row r="67" spans="1:15" x14ac:dyDescent="0.25">
      <c r="A67" s="97" t="str">
        <f>'Data Vlaue (Cr)'!C62</f>
        <v>EXIDEIND</v>
      </c>
      <c r="B67" s="142">
        <f>VLOOKUP(A67,'Data Vlaue (Cr)'!C62:CW276,99,0)</f>
        <v>2327</v>
      </c>
      <c r="C67" s="90">
        <f>VLOOKUP(A67,'Data Vlaue (Cr)'!C62:CY276,101,0)</f>
        <v>177</v>
      </c>
      <c r="D67" s="139">
        <f>VLOOKUP(A67,'Data Vlaue (Cr)'!C62:CZ276,102,0)</f>
        <v>8.2100000000000006E-2</v>
      </c>
      <c r="E67" s="91">
        <f>VLOOKUP($A67,'Data Vlaue (Cr)'!$C:$FB,75)</f>
        <v>1363</v>
      </c>
      <c r="F67" s="91">
        <f>VLOOKUP($A67,'Data Vlaue (Cr)'!$C:$FB,77)</f>
        <v>120</v>
      </c>
      <c r="G67" s="92">
        <f>VLOOKUP(A67,'Data Vlaue (Cr)'!C62:CB276,78,0)</f>
        <v>9.6799999999999997E-2</v>
      </c>
      <c r="H67" s="91">
        <f>VLOOKUP($A67,'Data Vlaue (Cr)'!$C:$FB,91)</f>
        <v>557</v>
      </c>
      <c r="I67" s="91">
        <f>VLOOKUP($A67,'Data Vlaue (Cr)'!$C:$FB,93)</f>
        <v>39</v>
      </c>
      <c r="J67" s="92">
        <f>VLOOKUP($A67,'Data Vlaue (Cr)'!$C:$FB,94)</f>
        <v>7.4899999999999994E-2</v>
      </c>
      <c r="K67" s="91">
        <f>VLOOKUP($A67,'Data Vlaue (Cr)'!$C:$FB,95)</f>
        <v>408</v>
      </c>
      <c r="L67" s="91">
        <f>VLOOKUP($A67,'Data Vlaue (Cr)'!$C:$FB,97)</f>
        <v>18</v>
      </c>
      <c r="M67" s="92">
        <f>VLOOKUP($A67,'Data Vlaue (Cr)'!$C:$FB,98)</f>
        <v>4.4999999999999998E-2</v>
      </c>
      <c r="N67" s="91">
        <f>VLOOKUP($A67,'Data Vlaue (Cr)'!$C:$FB,79)</f>
        <v>279</v>
      </c>
      <c r="O67" s="92">
        <f>VLOOKUP($A67,'Data Vlaue (Cr)'!$C:$FB,82)</f>
        <v>-0.4738</v>
      </c>
    </row>
    <row r="68" spans="1:15" x14ac:dyDescent="0.25">
      <c r="A68" s="97" t="str">
        <f>'Data Vlaue (Cr)'!C63</f>
        <v>FEDERALBNK</v>
      </c>
      <c r="B68" s="142">
        <f>VLOOKUP(A68,'Data Vlaue (Cr)'!C63:CW277,99,0)</f>
        <v>5821</v>
      </c>
      <c r="C68" s="90">
        <f>VLOOKUP(A68,'Data Vlaue (Cr)'!C63:CY277,101,0)</f>
        <v>-72</v>
      </c>
      <c r="D68" s="139">
        <f>VLOOKUP(A68,'Data Vlaue (Cr)'!C63:CZ277,102,0)</f>
        <v>-1.2200000000000001E-2</v>
      </c>
      <c r="E68" s="91">
        <f>VLOOKUP($A68,'Data Vlaue (Cr)'!$C:$FB,75)</f>
        <v>2430</v>
      </c>
      <c r="F68" s="91">
        <f>VLOOKUP($A68,'Data Vlaue (Cr)'!$C:$FB,77)</f>
        <v>-6</v>
      </c>
      <c r="G68" s="92">
        <f>VLOOKUP(A68,'Data Vlaue (Cr)'!C63:CB277,78,0)</f>
        <v>-2.5999999999999999E-3</v>
      </c>
      <c r="H68" s="91">
        <f>VLOOKUP($A68,'Data Vlaue (Cr)'!$C:$FB,91)</f>
        <v>1581</v>
      </c>
      <c r="I68" s="91">
        <f>VLOOKUP($A68,'Data Vlaue (Cr)'!$C:$FB,93)</f>
        <v>-180</v>
      </c>
      <c r="J68" s="92">
        <f>VLOOKUP($A68,'Data Vlaue (Cr)'!$C:$FB,94)</f>
        <v>-0.1023</v>
      </c>
      <c r="K68" s="91">
        <f>VLOOKUP($A68,'Data Vlaue (Cr)'!$C:$FB,95)</f>
        <v>1809</v>
      </c>
      <c r="L68" s="91">
        <f>VLOOKUP($A68,'Data Vlaue (Cr)'!$C:$FB,97)</f>
        <v>115</v>
      </c>
      <c r="M68" s="92">
        <f>VLOOKUP($A68,'Data Vlaue (Cr)'!$C:$FB,98)</f>
        <v>6.7699999999999996E-2</v>
      </c>
      <c r="N68" s="91">
        <f>VLOOKUP($A68,'Data Vlaue (Cr)'!$C:$FB,79)</f>
        <v>540</v>
      </c>
      <c r="O68" s="92">
        <f>VLOOKUP($A68,'Data Vlaue (Cr)'!$C:$FB,82)</f>
        <v>-0.46100000000000002</v>
      </c>
    </row>
    <row r="69" spans="1:15" x14ac:dyDescent="0.25">
      <c r="A69" s="97" t="str">
        <f>'Data Vlaue (Cr)'!C64</f>
        <v>FINNIFTY</v>
      </c>
      <c r="B69" s="142">
        <f>VLOOKUP(A69,'Data Vlaue (Cr)'!C64:CW278,99,0)</f>
        <v>10311</v>
      </c>
      <c r="C69" s="90">
        <f>VLOOKUP(A69,'Data Vlaue (Cr)'!C64:CY278,101,0)</f>
        <v>-303</v>
      </c>
      <c r="D69" s="139">
        <f>VLOOKUP(A69,'Data Vlaue (Cr)'!C64:CZ278,102,0)</f>
        <v>-2.86E-2</v>
      </c>
      <c r="E69" s="91">
        <f>VLOOKUP($A69,'Data Vlaue (Cr)'!$C:$FB,75)</f>
        <v>124</v>
      </c>
      <c r="F69" s="91">
        <f>VLOOKUP($A69,'Data Vlaue (Cr)'!$C:$FB,77)</f>
        <v>1</v>
      </c>
      <c r="G69" s="92">
        <f>VLOOKUP(A69,'Data Vlaue (Cr)'!C64:CB278,78,0)</f>
        <v>7.3000000000000001E-3</v>
      </c>
      <c r="H69" s="91">
        <f>VLOOKUP($A69,'Data Vlaue (Cr)'!$C:$FB,91)</f>
        <v>4902</v>
      </c>
      <c r="I69" s="91">
        <f>VLOOKUP($A69,'Data Vlaue (Cr)'!$C:$FB,93)</f>
        <v>-269</v>
      </c>
      <c r="J69" s="92">
        <f>VLOOKUP($A69,'Data Vlaue (Cr)'!$C:$FB,94)</f>
        <v>-5.1999999999999998E-2</v>
      </c>
      <c r="K69" s="91">
        <f>VLOOKUP($A69,'Data Vlaue (Cr)'!$C:$FB,95)</f>
        <v>5286</v>
      </c>
      <c r="L69" s="91">
        <f>VLOOKUP($A69,'Data Vlaue (Cr)'!$C:$FB,97)</f>
        <v>-35</v>
      </c>
      <c r="M69" s="92">
        <f>VLOOKUP($A69,'Data Vlaue (Cr)'!$C:$FB,98)</f>
        <v>-6.7000000000000002E-3</v>
      </c>
      <c r="N69" s="91">
        <f>VLOOKUP($A69,'Data Vlaue (Cr)'!$C:$FB,79)</f>
        <v>74</v>
      </c>
      <c r="O69" s="92">
        <f>VLOOKUP($A69,'Data Vlaue (Cr)'!$C:$FB,82)</f>
        <v>-0.25950000000000001</v>
      </c>
    </row>
    <row r="70" spans="1:15" x14ac:dyDescent="0.25">
      <c r="A70" s="97" t="str">
        <f>'Data Vlaue (Cr)'!C65</f>
        <v>FORTIS</v>
      </c>
      <c r="B70" s="142">
        <f>VLOOKUP(A70,'Data Vlaue (Cr)'!C65:CW279,99,0)</f>
        <v>1668</v>
      </c>
      <c r="C70" s="90">
        <f>VLOOKUP(A70,'Data Vlaue (Cr)'!C65:CY279,101,0)</f>
        <v>-43</v>
      </c>
      <c r="D70" s="139">
        <f>VLOOKUP(A70,'Data Vlaue (Cr)'!C65:CZ279,102,0)</f>
        <v>-2.5000000000000001E-2</v>
      </c>
      <c r="E70" s="91">
        <f>VLOOKUP($A70,'Data Vlaue (Cr)'!$C:$FB,75)</f>
        <v>1013</v>
      </c>
      <c r="F70" s="91">
        <f>VLOOKUP($A70,'Data Vlaue (Cr)'!$C:$FB,77)</f>
        <v>23</v>
      </c>
      <c r="G70" s="92">
        <f>VLOOKUP(A70,'Data Vlaue (Cr)'!C65:CB279,78,0)</f>
        <v>2.3300000000000001E-2</v>
      </c>
      <c r="H70" s="91">
        <f>VLOOKUP($A70,'Data Vlaue (Cr)'!$C:$FB,91)</f>
        <v>382</v>
      </c>
      <c r="I70" s="91">
        <f>VLOOKUP($A70,'Data Vlaue (Cr)'!$C:$FB,93)</f>
        <v>-45</v>
      </c>
      <c r="J70" s="92">
        <f>VLOOKUP($A70,'Data Vlaue (Cr)'!$C:$FB,94)</f>
        <v>-0.1051</v>
      </c>
      <c r="K70" s="91">
        <f>VLOOKUP($A70,'Data Vlaue (Cr)'!$C:$FB,95)</f>
        <v>272</v>
      </c>
      <c r="L70" s="91">
        <f>VLOOKUP($A70,'Data Vlaue (Cr)'!$C:$FB,97)</f>
        <v>-21</v>
      </c>
      <c r="M70" s="92">
        <f>VLOOKUP($A70,'Data Vlaue (Cr)'!$C:$FB,98)</f>
        <v>-7.1599999999999997E-2</v>
      </c>
      <c r="N70" s="91">
        <f>VLOOKUP($A70,'Data Vlaue (Cr)'!$C:$FB,79)</f>
        <v>92</v>
      </c>
      <c r="O70" s="92">
        <f>VLOOKUP($A70,'Data Vlaue (Cr)'!$C:$FB,82)</f>
        <v>-0.70330000000000004</v>
      </c>
    </row>
    <row r="71" spans="1:15" x14ac:dyDescent="0.25">
      <c r="A71" s="97" t="str">
        <f>'Data Vlaue (Cr)'!C66</f>
        <v>GAIL</v>
      </c>
      <c r="B71" s="142">
        <f>VLOOKUP(A71,'Data Vlaue (Cr)'!C66:CW280,99,0)</f>
        <v>2814</v>
      </c>
      <c r="C71" s="90">
        <f>VLOOKUP(A71,'Data Vlaue (Cr)'!C66:CY280,101,0)</f>
        <v>3</v>
      </c>
      <c r="D71" s="139">
        <f>VLOOKUP(A71,'Data Vlaue (Cr)'!C66:CZ280,102,0)</f>
        <v>1E-3</v>
      </c>
      <c r="E71" s="91">
        <f>VLOOKUP($A71,'Data Vlaue (Cr)'!$C:$FB,75)</f>
        <v>1592</v>
      </c>
      <c r="F71" s="91">
        <f>VLOOKUP($A71,'Data Vlaue (Cr)'!$C:$FB,77)</f>
        <v>-29</v>
      </c>
      <c r="G71" s="92">
        <f>VLOOKUP(A71,'Data Vlaue (Cr)'!C66:CB280,78,0)</f>
        <v>-1.78E-2</v>
      </c>
      <c r="H71" s="91">
        <f>VLOOKUP($A71,'Data Vlaue (Cr)'!$C:$FB,91)</f>
        <v>720</v>
      </c>
      <c r="I71" s="91">
        <f>VLOOKUP($A71,'Data Vlaue (Cr)'!$C:$FB,93)</f>
        <v>7</v>
      </c>
      <c r="J71" s="92">
        <f>VLOOKUP($A71,'Data Vlaue (Cr)'!$C:$FB,94)</f>
        <v>1.0500000000000001E-2</v>
      </c>
      <c r="K71" s="91">
        <f>VLOOKUP($A71,'Data Vlaue (Cr)'!$C:$FB,95)</f>
        <v>501</v>
      </c>
      <c r="L71" s="91">
        <f>VLOOKUP($A71,'Data Vlaue (Cr)'!$C:$FB,97)</f>
        <v>24</v>
      </c>
      <c r="M71" s="92">
        <f>VLOOKUP($A71,'Data Vlaue (Cr)'!$C:$FB,98)</f>
        <v>5.04E-2</v>
      </c>
      <c r="N71" s="91">
        <f>VLOOKUP($A71,'Data Vlaue (Cr)'!$C:$FB,79)</f>
        <v>306</v>
      </c>
      <c r="O71" s="92">
        <f>VLOOKUP($A71,'Data Vlaue (Cr)'!$C:$FB,82)</f>
        <v>-0.54669999999999996</v>
      </c>
    </row>
    <row r="72" spans="1:15" x14ac:dyDescent="0.25">
      <c r="A72" s="97" t="str">
        <f>'Data Vlaue (Cr)'!C67</f>
        <v>GLENMARK</v>
      </c>
      <c r="B72" s="142">
        <f>VLOOKUP(A72,'Data Vlaue (Cr)'!C67:CW281,99,0)</f>
        <v>2507</v>
      </c>
      <c r="C72" s="90">
        <f>VLOOKUP(A72,'Data Vlaue (Cr)'!C67:CY281,101,0)</f>
        <v>154</v>
      </c>
      <c r="D72" s="139">
        <f>VLOOKUP(A72,'Data Vlaue (Cr)'!C67:CZ281,102,0)</f>
        <v>6.5600000000000006E-2</v>
      </c>
      <c r="E72" s="91">
        <f>VLOOKUP($A72,'Data Vlaue (Cr)'!$C:$FB,75)</f>
        <v>1694</v>
      </c>
      <c r="F72" s="91">
        <f>VLOOKUP($A72,'Data Vlaue (Cr)'!$C:$FB,77)</f>
        <v>122</v>
      </c>
      <c r="G72" s="92">
        <f>VLOOKUP(A72,'Data Vlaue (Cr)'!C67:CB281,78,0)</f>
        <v>7.7700000000000005E-2</v>
      </c>
      <c r="H72" s="91">
        <f>VLOOKUP($A72,'Data Vlaue (Cr)'!$C:$FB,91)</f>
        <v>530</v>
      </c>
      <c r="I72" s="91">
        <f>VLOOKUP($A72,'Data Vlaue (Cr)'!$C:$FB,93)</f>
        <v>19</v>
      </c>
      <c r="J72" s="92">
        <f>VLOOKUP($A72,'Data Vlaue (Cr)'!$C:$FB,94)</f>
        <v>3.6600000000000001E-2</v>
      </c>
      <c r="K72" s="91">
        <f>VLOOKUP($A72,'Data Vlaue (Cr)'!$C:$FB,95)</f>
        <v>283</v>
      </c>
      <c r="L72" s="91">
        <f>VLOOKUP($A72,'Data Vlaue (Cr)'!$C:$FB,97)</f>
        <v>13</v>
      </c>
      <c r="M72" s="92">
        <f>VLOOKUP($A72,'Data Vlaue (Cr)'!$C:$FB,98)</f>
        <v>0.05</v>
      </c>
      <c r="N72" s="91">
        <f>VLOOKUP($A72,'Data Vlaue (Cr)'!$C:$FB,79)</f>
        <v>256</v>
      </c>
      <c r="O72" s="92">
        <f>VLOOKUP($A72,'Data Vlaue (Cr)'!$C:$FB,82)</f>
        <v>-0.5968</v>
      </c>
    </row>
    <row r="73" spans="1:15" x14ac:dyDescent="0.25">
      <c r="A73" s="97" t="str">
        <f>'Data Vlaue (Cr)'!C68</f>
        <v>GMRAIRPORT</v>
      </c>
      <c r="B73" s="142">
        <f>VLOOKUP(A73,'Data Vlaue (Cr)'!C68:CW282,99,0)</f>
        <v>3425</v>
      </c>
      <c r="C73" s="90">
        <f>VLOOKUP(A73,'Data Vlaue (Cr)'!C68:CY282,101,0)</f>
        <v>98</v>
      </c>
      <c r="D73" s="139">
        <f>VLOOKUP(A73,'Data Vlaue (Cr)'!C68:CZ282,102,0)</f>
        <v>2.93E-2</v>
      </c>
      <c r="E73" s="91">
        <f>VLOOKUP($A73,'Data Vlaue (Cr)'!$C:$FB,75)</f>
        <v>2131</v>
      </c>
      <c r="F73" s="91">
        <f>VLOOKUP($A73,'Data Vlaue (Cr)'!$C:$FB,77)</f>
        <v>57</v>
      </c>
      <c r="G73" s="92">
        <f>VLOOKUP(A73,'Data Vlaue (Cr)'!C68:CB282,78,0)</f>
        <v>2.76E-2</v>
      </c>
      <c r="H73" s="91">
        <f>VLOOKUP($A73,'Data Vlaue (Cr)'!$C:$FB,91)</f>
        <v>862</v>
      </c>
      <c r="I73" s="91">
        <f>VLOOKUP($A73,'Data Vlaue (Cr)'!$C:$FB,93)</f>
        <v>11</v>
      </c>
      <c r="J73" s="92">
        <f>VLOOKUP($A73,'Data Vlaue (Cr)'!$C:$FB,94)</f>
        <v>1.34E-2</v>
      </c>
      <c r="K73" s="91">
        <f>VLOOKUP($A73,'Data Vlaue (Cr)'!$C:$FB,95)</f>
        <v>432</v>
      </c>
      <c r="L73" s="91">
        <f>VLOOKUP($A73,'Data Vlaue (Cr)'!$C:$FB,97)</f>
        <v>29</v>
      </c>
      <c r="M73" s="92">
        <f>VLOOKUP($A73,'Data Vlaue (Cr)'!$C:$FB,98)</f>
        <v>7.1999999999999995E-2</v>
      </c>
      <c r="N73" s="91">
        <f>VLOOKUP($A73,'Data Vlaue (Cr)'!$C:$FB,79)</f>
        <v>509</v>
      </c>
      <c r="O73" s="92">
        <f>VLOOKUP($A73,'Data Vlaue (Cr)'!$C:$FB,82)</f>
        <v>-0.42980000000000002</v>
      </c>
    </row>
    <row r="74" spans="1:15" x14ac:dyDescent="0.25">
      <c r="A74" s="97" t="str">
        <f>'Data Vlaue (Cr)'!C69</f>
        <v>GODREJCP</v>
      </c>
      <c r="B74" s="142">
        <f>VLOOKUP(A74,'Data Vlaue (Cr)'!C69:CW283,99,0)</f>
        <v>2086</v>
      </c>
      <c r="C74" s="90">
        <f>VLOOKUP(A74,'Data Vlaue (Cr)'!C69:CY283,101,0)</f>
        <v>15</v>
      </c>
      <c r="D74" s="139">
        <f>VLOOKUP(A74,'Data Vlaue (Cr)'!C69:CZ283,102,0)</f>
        <v>7.4000000000000003E-3</v>
      </c>
      <c r="E74" s="91">
        <f>VLOOKUP($A74,'Data Vlaue (Cr)'!$C:$FB,75)</f>
        <v>1509</v>
      </c>
      <c r="F74" s="91">
        <f>VLOOKUP($A74,'Data Vlaue (Cr)'!$C:$FB,77)</f>
        <v>70</v>
      </c>
      <c r="G74" s="92">
        <f>VLOOKUP(A74,'Data Vlaue (Cr)'!C69:CB283,78,0)</f>
        <v>4.8899999999999999E-2</v>
      </c>
      <c r="H74" s="91">
        <f>VLOOKUP($A74,'Data Vlaue (Cr)'!$C:$FB,91)</f>
        <v>328</v>
      </c>
      <c r="I74" s="91">
        <f>VLOOKUP($A74,'Data Vlaue (Cr)'!$C:$FB,93)</f>
        <v>-43</v>
      </c>
      <c r="J74" s="92">
        <f>VLOOKUP($A74,'Data Vlaue (Cr)'!$C:$FB,94)</f>
        <v>-0.1169</v>
      </c>
      <c r="K74" s="91">
        <f>VLOOKUP($A74,'Data Vlaue (Cr)'!$C:$FB,95)</f>
        <v>249</v>
      </c>
      <c r="L74" s="91">
        <f>VLOOKUP($A74,'Data Vlaue (Cr)'!$C:$FB,97)</f>
        <v>-12</v>
      </c>
      <c r="M74" s="92">
        <f>VLOOKUP($A74,'Data Vlaue (Cr)'!$C:$FB,98)</f>
        <v>-4.48E-2</v>
      </c>
      <c r="N74" s="91">
        <f>VLOOKUP($A74,'Data Vlaue (Cr)'!$C:$FB,79)</f>
        <v>247</v>
      </c>
      <c r="O74" s="92">
        <f>VLOOKUP($A74,'Data Vlaue (Cr)'!$C:$FB,82)</f>
        <v>-0.46250000000000002</v>
      </c>
    </row>
    <row r="75" spans="1:15" x14ac:dyDescent="0.25">
      <c r="A75" s="97" t="str">
        <f>'Data Vlaue (Cr)'!C70</f>
        <v>GODREJPROP</v>
      </c>
      <c r="B75" s="142">
        <f>VLOOKUP(A75,'Data Vlaue (Cr)'!C70:CW284,99,0)</f>
        <v>3256</v>
      </c>
      <c r="C75" s="90">
        <f>VLOOKUP(A75,'Data Vlaue (Cr)'!C70:CY284,101,0)</f>
        <v>-57</v>
      </c>
      <c r="D75" s="139">
        <f>VLOOKUP(A75,'Data Vlaue (Cr)'!C70:CZ284,102,0)</f>
        <v>-1.7100000000000001E-2</v>
      </c>
      <c r="E75" s="91">
        <f>VLOOKUP($A75,'Data Vlaue (Cr)'!$C:$FB,75)</f>
        <v>2039</v>
      </c>
      <c r="F75" s="91">
        <f>VLOOKUP($A75,'Data Vlaue (Cr)'!$C:$FB,77)</f>
        <v>-2</v>
      </c>
      <c r="G75" s="92">
        <f>VLOOKUP(A75,'Data Vlaue (Cr)'!C70:CB284,78,0)</f>
        <v>-1.1999999999999999E-3</v>
      </c>
      <c r="H75" s="91">
        <f>VLOOKUP($A75,'Data Vlaue (Cr)'!$C:$FB,91)</f>
        <v>628</v>
      </c>
      <c r="I75" s="91">
        <f>VLOOKUP($A75,'Data Vlaue (Cr)'!$C:$FB,93)</f>
        <v>-1</v>
      </c>
      <c r="J75" s="92">
        <f>VLOOKUP($A75,'Data Vlaue (Cr)'!$C:$FB,94)</f>
        <v>-1.2999999999999999E-3</v>
      </c>
      <c r="K75" s="91">
        <f>VLOOKUP($A75,'Data Vlaue (Cr)'!$C:$FB,95)</f>
        <v>588</v>
      </c>
      <c r="L75" s="91">
        <f>VLOOKUP($A75,'Data Vlaue (Cr)'!$C:$FB,97)</f>
        <v>-53</v>
      </c>
      <c r="M75" s="92">
        <f>VLOOKUP($A75,'Data Vlaue (Cr)'!$C:$FB,98)</f>
        <v>-8.3299999999999999E-2</v>
      </c>
      <c r="N75" s="91">
        <f>VLOOKUP($A75,'Data Vlaue (Cr)'!$C:$FB,79)</f>
        <v>313</v>
      </c>
      <c r="O75" s="92">
        <f>VLOOKUP($A75,'Data Vlaue (Cr)'!$C:$FB,82)</f>
        <v>-0.56320000000000003</v>
      </c>
    </row>
    <row r="76" spans="1:15" x14ac:dyDescent="0.25">
      <c r="A76" s="97" t="str">
        <f>'Data Vlaue (Cr)'!C71</f>
        <v>GRASIM</v>
      </c>
      <c r="B76" s="142">
        <f>VLOOKUP(A76,'Data Vlaue (Cr)'!C71:CW285,99,0)</f>
        <v>5574</v>
      </c>
      <c r="C76" s="90">
        <f>VLOOKUP(A76,'Data Vlaue (Cr)'!C71:CY285,101,0)</f>
        <v>234</v>
      </c>
      <c r="D76" s="139">
        <f>VLOOKUP(A76,'Data Vlaue (Cr)'!C71:CZ285,102,0)</f>
        <v>4.3700000000000003E-2</v>
      </c>
      <c r="E76" s="91">
        <f>VLOOKUP($A76,'Data Vlaue (Cr)'!$C:$FB,75)</f>
        <v>4526</v>
      </c>
      <c r="F76" s="91">
        <f>VLOOKUP($A76,'Data Vlaue (Cr)'!$C:$FB,77)</f>
        <v>40</v>
      </c>
      <c r="G76" s="92">
        <f>VLOOKUP(A76,'Data Vlaue (Cr)'!C71:CB285,78,0)</f>
        <v>8.8999999999999999E-3</v>
      </c>
      <c r="H76" s="91">
        <f>VLOOKUP($A76,'Data Vlaue (Cr)'!$C:$FB,91)</f>
        <v>645</v>
      </c>
      <c r="I76" s="91">
        <f>VLOOKUP($A76,'Data Vlaue (Cr)'!$C:$FB,93)</f>
        <v>110</v>
      </c>
      <c r="J76" s="92">
        <f>VLOOKUP($A76,'Data Vlaue (Cr)'!$C:$FB,94)</f>
        <v>0.20680000000000001</v>
      </c>
      <c r="K76" s="91">
        <f>VLOOKUP($A76,'Data Vlaue (Cr)'!$C:$FB,95)</f>
        <v>404</v>
      </c>
      <c r="L76" s="91">
        <f>VLOOKUP($A76,'Data Vlaue (Cr)'!$C:$FB,97)</f>
        <v>83</v>
      </c>
      <c r="M76" s="92">
        <f>VLOOKUP($A76,'Data Vlaue (Cr)'!$C:$FB,98)</f>
        <v>0.25890000000000002</v>
      </c>
      <c r="N76" s="91">
        <f>VLOOKUP($A76,'Data Vlaue (Cr)'!$C:$FB,79)</f>
        <v>760</v>
      </c>
      <c r="O76" s="92">
        <f>VLOOKUP($A76,'Data Vlaue (Cr)'!$C:$FB,82)</f>
        <v>-0.49569999999999997</v>
      </c>
    </row>
    <row r="77" spans="1:15" x14ac:dyDescent="0.25">
      <c r="A77" s="97" t="str">
        <f>'Data Vlaue (Cr)'!C72</f>
        <v>HAL</v>
      </c>
      <c r="B77" s="142">
        <f>VLOOKUP(A77,'Data Vlaue (Cr)'!C72:CW286,99,0)</f>
        <v>8323</v>
      </c>
      <c r="C77" s="90">
        <f>VLOOKUP(A77,'Data Vlaue (Cr)'!C72:CY286,101,0)</f>
        <v>-71</v>
      </c>
      <c r="D77" s="139">
        <f>VLOOKUP(A77,'Data Vlaue (Cr)'!C72:CZ286,102,0)</f>
        <v>-8.5000000000000006E-3</v>
      </c>
      <c r="E77" s="91">
        <f>VLOOKUP($A77,'Data Vlaue (Cr)'!$C:$FB,75)</f>
        <v>4745</v>
      </c>
      <c r="F77" s="91">
        <f>VLOOKUP($A77,'Data Vlaue (Cr)'!$C:$FB,77)</f>
        <v>37</v>
      </c>
      <c r="G77" s="92">
        <f>VLOOKUP(A77,'Data Vlaue (Cr)'!C72:CB286,78,0)</f>
        <v>7.9000000000000008E-3</v>
      </c>
      <c r="H77" s="91">
        <f>VLOOKUP($A77,'Data Vlaue (Cr)'!$C:$FB,91)</f>
        <v>2349</v>
      </c>
      <c r="I77" s="91">
        <f>VLOOKUP($A77,'Data Vlaue (Cr)'!$C:$FB,93)</f>
        <v>-87</v>
      </c>
      <c r="J77" s="92">
        <f>VLOOKUP($A77,'Data Vlaue (Cr)'!$C:$FB,94)</f>
        <v>-3.5700000000000003E-2</v>
      </c>
      <c r="K77" s="91">
        <f>VLOOKUP($A77,'Data Vlaue (Cr)'!$C:$FB,95)</f>
        <v>1230</v>
      </c>
      <c r="L77" s="91">
        <f>VLOOKUP($A77,'Data Vlaue (Cr)'!$C:$FB,97)</f>
        <v>-21</v>
      </c>
      <c r="M77" s="92">
        <f>VLOOKUP($A77,'Data Vlaue (Cr)'!$C:$FB,98)</f>
        <v>-1.7100000000000001E-2</v>
      </c>
      <c r="N77" s="91">
        <f>VLOOKUP($A77,'Data Vlaue (Cr)'!$C:$FB,79)</f>
        <v>1015</v>
      </c>
      <c r="O77" s="92">
        <f>VLOOKUP($A77,'Data Vlaue (Cr)'!$C:$FB,82)</f>
        <v>-0.52690000000000003</v>
      </c>
    </row>
    <row r="78" spans="1:15" x14ac:dyDescent="0.25">
      <c r="A78" s="97" t="str">
        <f>'Data Vlaue (Cr)'!C73</f>
        <v>HAVELLS</v>
      </c>
      <c r="B78" s="142">
        <f>VLOOKUP(A78,'Data Vlaue (Cr)'!C73:CW287,99,0)</f>
        <v>2121</v>
      </c>
      <c r="C78" s="90">
        <f>VLOOKUP(A78,'Data Vlaue (Cr)'!C73:CY287,101,0)</f>
        <v>-70</v>
      </c>
      <c r="D78" s="139">
        <f>VLOOKUP(A78,'Data Vlaue (Cr)'!C73:CZ287,102,0)</f>
        <v>-3.2000000000000001E-2</v>
      </c>
      <c r="E78" s="91">
        <f>VLOOKUP($A78,'Data Vlaue (Cr)'!$C:$FB,75)</f>
        <v>1498</v>
      </c>
      <c r="F78" s="91">
        <f>VLOOKUP($A78,'Data Vlaue (Cr)'!$C:$FB,77)</f>
        <v>18</v>
      </c>
      <c r="G78" s="92">
        <f>VLOOKUP(A78,'Data Vlaue (Cr)'!C73:CB287,78,0)</f>
        <v>1.1900000000000001E-2</v>
      </c>
      <c r="H78" s="91">
        <f>VLOOKUP($A78,'Data Vlaue (Cr)'!$C:$FB,91)</f>
        <v>381</v>
      </c>
      <c r="I78" s="91">
        <f>VLOOKUP($A78,'Data Vlaue (Cr)'!$C:$FB,93)</f>
        <v>-58</v>
      </c>
      <c r="J78" s="92">
        <f>VLOOKUP($A78,'Data Vlaue (Cr)'!$C:$FB,94)</f>
        <v>-0.1313</v>
      </c>
      <c r="K78" s="91">
        <f>VLOOKUP($A78,'Data Vlaue (Cr)'!$C:$FB,95)</f>
        <v>243</v>
      </c>
      <c r="L78" s="91">
        <f>VLOOKUP($A78,'Data Vlaue (Cr)'!$C:$FB,97)</f>
        <v>-30</v>
      </c>
      <c r="M78" s="92">
        <f>VLOOKUP($A78,'Data Vlaue (Cr)'!$C:$FB,98)</f>
        <v>-0.111</v>
      </c>
      <c r="N78" s="91">
        <f>VLOOKUP($A78,'Data Vlaue (Cr)'!$C:$FB,79)</f>
        <v>297</v>
      </c>
      <c r="O78" s="92">
        <f>VLOOKUP($A78,'Data Vlaue (Cr)'!$C:$FB,82)</f>
        <v>-0.45500000000000002</v>
      </c>
    </row>
    <row r="79" spans="1:15" x14ac:dyDescent="0.25">
      <c r="A79" s="97" t="str">
        <f>'Data Vlaue (Cr)'!C74</f>
        <v>HCLTECH</v>
      </c>
      <c r="B79" s="142">
        <f>VLOOKUP(A79,'Data Vlaue (Cr)'!C74:CW288,99,0)</f>
        <v>4684</v>
      </c>
      <c r="C79" s="90">
        <f>VLOOKUP(A79,'Data Vlaue (Cr)'!C74:CY288,101,0)</f>
        <v>-89</v>
      </c>
      <c r="D79" s="139">
        <f>VLOOKUP(A79,'Data Vlaue (Cr)'!C74:CZ288,102,0)</f>
        <v>-1.8700000000000001E-2</v>
      </c>
      <c r="E79" s="91">
        <f>VLOOKUP($A79,'Data Vlaue (Cr)'!$C:$FB,75)</f>
        <v>2809</v>
      </c>
      <c r="F79" s="91">
        <f>VLOOKUP($A79,'Data Vlaue (Cr)'!$C:$FB,77)</f>
        <v>42</v>
      </c>
      <c r="G79" s="92">
        <f>VLOOKUP(A79,'Data Vlaue (Cr)'!C74:CB288,78,0)</f>
        <v>1.5299999999999999E-2</v>
      </c>
      <c r="H79" s="91">
        <f>VLOOKUP($A79,'Data Vlaue (Cr)'!$C:$FB,91)</f>
        <v>1119</v>
      </c>
      <c r="I79" s="91">
        <f>VLOOKUP($A79,'Data Vlaue (Cr)'!$C:$FB,93)</f>
        <v>-112</v>
      </c>
      <c r="J79" s="92">
        <f>VLOOKUP($A79,'Data Vlaue (Cr)'!$C:$FB,94)</f>
        <v>-9.0800000000000006E-2</v>
      </c>
      <c r="K79" s="91">
        <f>VLOOKUP($A79,'Data Vlaue (Cr)'!$C:$FB,95)</f>
        <v>755</v>
      </c>
      <c r="L79" s="91">
        <f>VLOOKUP($A79,'Data Vlaue (Cr)'!$C:$FB,97)</f>
        <v>-20</v>
      </c>
      <c r="M79" s="92">
        <f>VLOOKUP($A79,'Data Vlaue (Cr)'!$C:$FB,98)</f>
        <v>-2.5600000000000001E-2</v>
      </c>
      <c r="N79" s="91">
        <f>VLOOKUP($A79,'Data Vlaue (Cr)'!$C:$FB,79)</f>
        <v>496</v>
      </c>
      <c r="O79" s="92">
        <f>VLOOKUP($A79,'Data Vlaue (Cr)'!$C:$FB,82)</f>
        <v>-0.59870000000000001</v>
      </c>
    </row>
    <row r="80" spans="1:15" x14ac:dyDescent="0.25">
      <c r="A80" s="97" t="str">
        <f>'Data Vlaue (Cr)'!C75</f>
        <v>HDFCAMC</v>
      </c>
      <c r="B80" s="142">
        <f>VLOOKUP(A80,'Data Vlaue (Cr)'!C75:CW289,99,0)</f>
        <v>2640</v>
      </c>
      <c r="C80" s="90">
        <f>VLOOKUP(A80,'Data Vlaue (Cr)'!C75:CY289,101,0)</f>
        <v>-234</v>
      </c>
      <c r="D80" s="139">
        <f>VLOOKUP(A80,'Data Vlaue (Cr)'!C75:CZ289,102,0)</f>
        <v>-8.14E-2</v>
      </c>
      <c r="E80" s="91">
        <f>VLOOKUP($A80,'Data Vlaue (Cr)'!$C:$FB,75)</f>
        <v>1214</v>
      </c>
      <c r="F80" s="91">
        <f>VLOOKUP($A80,'Data Vlaue (Cr)'!$C:$FB,77)</f>
        <v>-8</v>
      </c>
      <c r="G80" s="92">
        <f>VLOOKUP(A80,'Data Vlaue (Cr)'!C75:CB289,78,0)</f>
        <v>-6.1999999999999998E-3</v>
      </c>
      <c r="H80" s="91">
        <f>VLOOKUP($A80,'Data Vlaue (Cr)'!$C:$FB,91)</f>
        <v>929</v>
      </c>
      <c r="I80" s="91">
        <f>VLOOKUP($A80,'Data Vlaue (Cr)'!$C:$FB,93)</f>
        <v>-215</v>
      </c>
      <c r="J80" s="92">
        <f>VLOOKUP($A80,'Data Vlaue (Cr)'!$C:$FB,94)</f>
        <v>-0.188</v>
      </c>
      <c r="K80" s="91">
        <f>VLOOKUP($A80,'Data Vlaue (Cr)'!$C:$FB,95)</f>
        <v>496</v>
      </c>
      <c r="L80" s="91">
        <f>VLOOKUP($A80,'Data Vlaue (Cr)'!$C:$FB,97)</f>
        <v>-11</v>
      </c>
      <c r="M80" s="92">
        <f>VLOOKUP($A80,'Data Vlaue (Cr)'!$C:$FB,98)</f>
        <v>-2.2599999999999999E-2</v>
      </c>
      <c r="N80" s="91">
        <f>VLOOKUP($A80,'Data Vlaue (Cr)'!$C:$FB,79)</f>
        <v>197</v>
      </c>
      <c r="O80" s="92">
        <f>VLOOKUP($A80,'Data Vlaue (Cr)'!$C:$FB,82)</f>
        <v>-0.60940000000000005</v>
      </c>
    </row>
    <row r="81" spans="1:15" x14ac:dyDescent="0.25">
      <c r="A81" s="97" t="str">
        <f>'Data Vlaue (Cr)'!C76</f>
        <v>HDFCBANK</v>
      </c>
      <c r="B81" s="142">
        <f>VLOOKUP(A81,'Data Vlaue (Cr)'!C76:CW290,99,0)</f>
        <v>27715</v>
      </c>
      <c r="C81" s="90">
        <f>VLOOKUP(A81,'Data Vlaue (Cr)'!C76:CY290,101,0)</f>
        <v>-701</v>
      </c>
      <c r="D81" s="139">
        <f>VLOOKUP(A81,'Data Vlaue (Cr)'!C76:CZ290,102,0)</f>
        <v>-2.47E-2</v>
      </c>
      <c r="E81" s="91">
        <f>VLOOKUP($A81,'Data Vlaue (Cr)'!$C:$FB,75)</f>
        <v>21155</v>
      </c>
      <c r="F81" s="91">
        <f>VLOOKUP($A81,'Data Vlaue (Cr)'!$C:$FB,77)</f>
        <v>-191</v>
      </c>
      <c r="G81" s="92">
        <f>VLOOKUP(A81,'Data Vlaue (Cr)'!C76:CB290,78,0)</f>
        <v>-8.8999999999999999E-3</v>
      </c>
      <c r="H81" s="91">
        <f>VLOOKUP($A81,'Data Vlaue (Cr)'!$C:$FB,91)</f>
        <v>3381</v>
      </c>
      <c r="I81" s="91">
        <f>VLOOKUP($A81,'Data Vlaue (Cr)'!$C:$FB,93)</f>
        <v>-394</v>
      </c>
      <c r="J81" s="92">
        <f>VLOOKUP($A81,'Data Vlaue (Cr)'!$C:$FB,94)</f>
        <v>-0.1043</v>
      </c>
      <c r="K81" s="91">
        <f>VLOOKUP($A81,'Data Vlaue (Cr)'!$C:$FB,95)</f>
        <v>3180</v>
      </c>
      <c r="L81" s="91">
        <f>VLOOKUP($A81,'Data Vlaue (Cr)'!$C:$FB,97)</f>
        <v>-116</v>
      </c>
      <c r="M81" s="92">
        <f>VLOOKUP($A81,'Data Vlaue (Cr)'!$C:$FB,98)</f>
        <v>-3.5299999999999998E-2</v>
      </c>
      <c r="N81" s="91">
        <f>VLOOKUP($A81,'Data Vlaue (Cr)'!$C:$FB,79)</f>
        <v>3082</v>
      </c>
      <c r="O81" s="92">
        <f>VLOOKUP($A81,'Data Vlaue (Cr)'!$C:$FB,82)</f>
        <v>-0.59560000000000002</v>
      </c>
    </row>
    <row r="82" spans="1:15" x14ac:dyDescent="0.25">
      <c r="A82" s="97" t="str">
        <f>'Data Vlaue (Cr)'!C77</f>
        <v>HDFCLIFE</v>
      </c>
      <c r="B82" s="142">
        <f>VLOOKUP(A82,'Data Vlaue (Cr)'!C77:CW291,99,0)</f>
        <v>3913</v>
      </c>
      <c r="C82" s="90">
        <f>VLOOKUP(A82,'Data Vlaue (Cr)'!C77:CY291,101,0)</f>
        <v>-125</v>
      </c>
      <c r="D82" s="139">
        <f>VLOOKUP(A82,'Data Vlaue (Cr)'!C77:CZ291,102,0)</f>
        <v>-3.1E-2</v>
      </c>
      <c r="E82" s="91">
        <f>VLOOKUP($A82,'Data Vlaue (Cr)'!$C:$FB,75)</f>
        <v>2470</v>
      </c>
      <c r="F82" s="91">
        <f>VLOOKUP($A82,'Data Vlaue (Cr)'!$C:$FB,77)</f>
        <v>-39</v>
      </c>
      <c r="G82" s="92">
        <f>VLOOKUP(A82,'Data Vlaue (Cr)'!C77:CB291,78,0)</f>
        <v>-1.5599999999999999E-2</v>
      </c>
      <c r="H82" s="91">
        <f>VLOOKUP($A82,'Data Vlaue (Cr)'!$C:$FB,91)</f>
        <v>961</v>
      </c>
      <c r="I82" s="91">
        <f>VLOOKUP($A82,'Data Vlaue (Cr)'!$C:$FB,93)</f>
        <v>-43</v>
      </c>
      <c r="J82" s="92">
        <f>VLOOKUP($A82,'Data Vlaue (Cr)'!$C:$FB,94)</f>
        <v>-4.3099999999999999E-2</v>
      </c>
      <c r="K82" s="91">
        <f>VLOOKUP($A82,'Data Vlaue (Cr)'!$C:$FB,95)</f>
        <v>482</v>
      </c>
      <c r="L82" s="91">
        <f>VLOOKUP($A82,'Data Vlaue (Cr)'!$C:$FB,97)</f>
        <v>-43</v>
      </c>
      <c r="M82" s="92">
        <f>VLOOKUP($A82,'Data Vlaue (Cr)'!$C:$FB,98)</f>
        <v>-8.1500000000000003E-2</v>
      </c>
      <c r="N82" s="91">
        <f>VLOOKUP($A82,'Data Vlaue (Cr)'!$C:$FB,79)</f>
        <v>317</v>
      </c>
      <c r="O82" s="92">
        <f>VLOOKUP($A82,'Data Vlaue (Cr)'!$C:$FB,82)</f>
        <v>-0.70469999999999999</v>
      </c>
    </row>
    <row r="83" spans="1:15" x14ac:dyDescent="0.25">
      <c r="A83" s="97" t="str">
        <f>'Data Vlaue (Cr)'!C78</f>
        <v>HEROMOTOCO</v>
      </c>
      <c r="B83" s="142">
        <f>VLOOKUP(A83,'Data Vlaue (Cr)'!C78:CW292,99,0)</f>
        <v>4678</v>
      </c>
      <c r="C83" s="90">
        <f>VLOOKUP(A83,'Data Vlaue (Cr)'!C78:CY292,101,0)</f>
        <v>-323</v>
      </c>
      <c r="D83" s="139">
        <f>VLOOKUP(A83,'Data Vlaue (Cr)'!C78:CZ292,102,0)</f>
        <v>-6.4600000000000005E-2</v>
      </c>
      <c r="E83" s="91">
        <f>VLOOKUP($A83,'Data Vlaue (Cr)'!$C:$FB,75)</f>
        <v>2716</v>
      </c>
      <c r="F83" s="91">
        <f>VLOOKUP($A83,'Data Vlaue (Cr)'!$C:$FB,77)</f>
        <v>-92</v>
      </c>
      <c r="G83" s="92">
        <f>VLOOKUP(A83,'Data Vlaue (Cr)'!C78:CB292,78,0)</f>
        <v>-3.27E-2</v>
      </c>
      <c r="H83" s="91">
        <f>VLOOKUP($A83,'Data Vlaue (Cr)'!$C:$FB,91)</f>
        <v>1100</v>
      </c>
      <c r="I83" s="91">
        <f>VLOOKUP($A83,'Data Vlaue (Cr)'!$C:$FB,93)</f>
        <v>-222</v>
      </c>
      <c r="J83" s="92">
        <f>VLOOKUP($A83,'Data Vlaue (Cr)'!$C:$FB,94)</f>
        <v>-0.1676</v>
      </c>
      <c r="K83" s="91">
        <f>VLOOKUP($A83,'Data Vlaue (Cr)'!$C:$FB,95)</f>
        <v>862</v>
      </c>
      <c r="L83" s="91">
        <f>VLOOKUP($A83,'Data Vlaue (Cr)'!$C:$FB,97)</f>
        <v>-10</v>
      </c>
      <c r="M83" s="92">
        <f>VLOOKUP($A83,'Data Vlaue (Cr)'!$C:$FB,98)</f>
        <v>-1.15E-2</v>
      </c>
      <c r="N83" s="91">
        <f>VLOOKUP($A83,'Data Vlaue (Cr)'!$C:$FB,79)</f>
        <v>409</v>
      </c>
      <c r="O83" s="92">
        <f>VLOOKUP($A83,'Data Vlaue (Cr)'!$C:$FB,82)</f>
        <v>-0.65100000000000002</v>
      </c>
    </row>
    <row r="84" spans="1:15" x14ac:dyDescent="0.25">
      <c r="A84" s="97" t="str">
        <f>'Data Vlaue (Cr)'!C79</f>
        <v>HFCL</v>
      </c>
      <c r="B84" s="142">
        <f>VLOOKUP(A84,'Data Vlaue (Cr)'!C79:CW293,99,0)</f>
        <v>1688</v>
      </c>
      <c r="C84" s="90">
        <f>VLOOKUP(A84,'Data Vlaue (Cr)'!C79:CY293,101,0)</f>
        <v>45</v>
      </c>
      <c r="D84" s="139">
        <f>VLOOKUP(A84,'Data Vlaue (Cr)'!C79:CZ293,102,0)</f>
        <v>2.75E-2</v>
      </c>
      <c r="E84" s="91">
        <f>VLOOKUP($A84,'Data Vlaue (Cr)'!$C:$FB,75)</f>
        <v>972</v>
      </c>
      <c r="F84" s="91">
        <f>VLOOKUP($A84,'Data Vlaue (Cr)'!$C:$FB,77)</f>
        <v>-19</v>
      </c>
      <c r="G84" s="92">
        <f>VLOOKUP(A84,'Data Vlaue (Cr)'!C79:CB293,78,0)</f>
        <v>-1.9599999999999999E-2</v>
      </c>
      <c r="H84" s="91">
        <f>VLOOKUP($A84,'Data Vlaue (Cr)'!$C:$FB,91)</f>
        <v>481</v>
      </c>
      <c r="I84" s="91">
        <f>VLOOKUP($A84,'Data Vlaue (Cr)'!$C:$FB,93)</f>
        <v>49</v>
      </c>
      <c r="J84" s="92">
        <f>VLOOKUP($A84,'Data Vlaue (Cr)'!$C:$FB,94)</f>
        <v>0.1138</v>
      </c>
      <c r="K84" s="91">
        <f>VLOOKUP($A84,'Data Vlaue (Cr)'!$C:$FB,95)</f>
        <v>234</v>
      </c>
      <c r="L84" s="91">
        <f>VLOOKUP($A84,'Data Vlaue (Cr)'!$C:$FB,97)</f>
        <v>15</v>
      </c>
      <c r="M84" s="92">
        <f>VLOOKUP($A84,'Data Vlaue (Cr)'!$C:$FB,98)</f>
        <v>7.0499999999999993E-2</v>
      </c>
      <c r="N84" s="91">
        <f>VLOOKUP($A84,'Data Vlaue (Cr)'!$C:$FB,79)</f>
        <v>264</v>
      </c>
      <c r="O84" s="92">
        <f>VLOOKUP($A84,'Data Vlaue (Cr)'!$C:$FB,82)</f>
        <v>-0.40210000000000001</v>
      </c>
    </row>
    <row r="85" spans="1:15" x14ac:dyDescent="0.25">
      <c r="A85" s="97" t="str">
        <f>'Data Vlaue (Cr)'!C80</f>
        <v>HINDALCO</v>
      </c>
      <c r="B85" s="142">
        <f>VLOOKUP(A85,'Data Vlaue (Cr)'!C80:CW294,99,0)</f>
        <v>8672</v>
      </c>
      <c r="C85" s="90">
        <f>VLOOKUP(A85,'Data Vlaue (Cr)'!C80:CY294,101,0)</f>
        <v>104</v>
      </c>
      <c r="D85" s="139">
        <f>VLOOKUP(A85,'Data Vlaue (Cr)'!C80:CZ294,102,0)</f>
        <v>1.2200000000000001E-2</v>
      </c>
      <c r="E85" s="91">
        <f>VLOOKUP($A85,'Data Vlaue (Cr)'!$C:$FB,75)</f>
        <v>5548</v>
      </c>
      <c r="F85" s="91">
        <f>VLOOKUP($A85,'Data Vlaue (Cr)'!$C:$FB,77)</f>
        <v>111</v>
      </c>
      <c r="G85" s="92">
        <f>VLOOKUP(A85,'Data Vlaue (Cr)'!C80:CB294,78,0)</f>
        <v>2.0400000000000001E-2</v>
      </c>
      <c r="H85" s="91">
        <f>VLOOKUP($A85,'Data Vlaue (Cr)'!$C:$FB,91)</f>
        <v>1515</v>
      </c>
      <c r="I85" s="91">
        <f>VLOOKUP($A85,'Data Vlaue (Cr)'!$C:$FB,93)</f>
        <v>-173</v>
      </c>
      <c r="J85" s="92">
        <f>VLOOKUP($A85,'Data Vlaue (Cr)'!$C:$FB,94)</f>
        <v>-0.1024</v>
      </c>
      <c r="K85" s="91">
        <f>VLOOKUP($A85,'Data Vlaue (Cr)'!$C:$FB,95)</f>
        <v>1609</v>
      </c>
      <c r="L85" s="91">
        <f>VLOOKUP($A85,'Data Vlaue (Cr)'!$C:$FB,97)</f>
        <v>166</v>
      </c>
      <c r="M85" s="92">
        <f>VLOOKUP($A85,'Data Vlaue (Cr)'!$C:$FB,98)</f>
        <v>0.1152</v>
      </c>
      <c r="N85" s="91">
        <f>VLOOKUP($A85,'Data Vlaue (Cr)'!$C:$FB,79)</f>
        <v>920</v>
      </c>
      <c r="O85" s="92">
        <f>VLOOKUP($A85,'Data Vlaue (Cr)'!$C:$FB,82)</f>
        <v>-0.47920000000000001</v>
      </c>
    </row>
    <row r="86" spans="1:15" x14ac:dyDescent="0.25">
      <c r="A86" s="97" t="str">
        <f>'Data Vlaue (Cr)'!C81</f>
        <v>HINDPETRO</v>
      </c>
      <c r="B86" s="142">
        <f>VLOOKUP(A86,'Data Vlaue (Cr)'!C81:CW295,99,0)</f>
        <v>4080</v>
      </c>
      <c r="C86" s="90">
        <f>VLOOKUP(A86,'Data Vlaue (Cr)'!C81:CY295,101,0)</f>
        <v>107</v>
      </c>
      <c r="D86" s="139">
        <f>VLOOKUP(A86,'Data Vlaue (Cr)'!C81:CZ295,102,0)</f>
        <v>2.69E-2</v>
      </c>
      <c r="E86" s="91">
        <f>VLOOKUP($A86,'Data Vlaue (Cr)'!$C:$FB,75)</f>
        <v>2636</v>
      </c>
      <c r="F86" s="91">
        <f>VLOOKUP($A86,'Data Vlaue (Cr)'!$C:$FB,77)</f>
        <v>31</v>
      </c>
      <c r="G86" s="92">
        <f>VLOOKUP(A86,'Data Vlaue (Cr)'!C81:CB295,78,0)</f>
        <v>1.18E-2</v>
      </c>
      <c r="H86" s="91">
        <f>VLOOKUP($A86,'Data Vlaue (Cr)'!$C:$FB,91)</f>
        <v>863</v>
      </c>
      <c r="I86" s="91">
        <f>VLOOKUP($A86,'Data Vlaue (Cr)'!$C:$FB,93)</f>
        <v>71</v>
      </c>
      <c r="J86" s="92">
        <f>VLOOKUP($A86,'Data Vlaue (Cr)'!$C:$FB,94)</f>
        <v>0.09</v>
      </c>
      <c r="K86" s="91">
        <f>VLOOKUP($A86,'Data Vlaue (Cr)'!$C:$FB,95)</f>
        <v>581</v>
      </c>
      <c r="L86" s="91">
        <f>VLOOKUP($A86,'Data Vlaue (Cr)'!$C:$FB,97)</f>
        <v>5</v>
      </c>
      <c r="M86" s="92">
        <f>VLOOKUP($A86,'Data Vlaue (Cr)'!$C:$FB,98)</f>
        <v>8.6E-3</v>
      </c>
      <c r="N86" s="91">
        <f>VLOOKUP($A86,'Data Vlaue (Cr)'!$C:$FB,79)</f>
        <v>881</v>
      </c>
      <c r="O86" s="92">
        <f>VLOOKUP($A86,'Data Vlaue (Cr)'!$C:$FB,82)</f>
        <v>-0.36570000000000003</v>
      </c>
    </row>
    <row r="87" spans="1:15" x14ac:dyDescent="0.25">
      <c r="A87" s="97" t="str">
        <f>'Data Vlaue (Cr)'!C82</f>
        <v>HINDUNILVR</v>
      </c>
      <c r="B87" s="142">
        <f>VLOOKUP(A87,'Data Vlaue (Cr)'!C82:CW296,99,0)</f>
        <v>8189</v>
      </c>
      <c r="C87" s="90">
        <f>VLOOKUP(A87,'Data Vlaue (Cr)'!C82:CY296,101,0)</f>
        <v>-364</v>
      </c>
      <c r="D87" s="139">
        <f>VLOOKUP(A87,'Data Vlaue (Cr)'!C82:CZ296,102,0)</f>
        <v>-4.2500000000000003E-2</v>
      </c>
      <c r="E87" s="91">
        <f>VLOOKUP($A87,'Data Vlaue (Cr)'!$C:$FB,75)</f>
        <v>4480</v>
      </c>
      <c r="F87" s="91">
        <f>VLOOKUP($A87,'Data Vlaue (Cr)'!$C:$FB,77)</f>
        <v>149</v>
      </c>
      <c r="G87" s="92">
        <f>VLOOKUP(A87,'Data Vlaue (Cr)'!C82:CB296,78,0)</f>
        <v>3.4500000000000003E-2</v>
      </c>
      <c r="H87" s="91">
        <f>VLOOKUP($A87,'Data Vlaue (Cr)'!$C:$FB,91)</f>
        <v>2516</v>
      </c>
      <c r="I87" s="91">
        <f>VLOOKUP($A87,'Data Vlaue (Cr)'!$C:$FB,93)</f>
        <v>-414</v>
      </c>
      <c r="J87" s="92">
        <f>VLOOKUP($A87,'Data Vlaue (Cr)'!$C:$FB,94)</f>
        <v>-0.14119999999999999</v>
      </c>
      <c r="K87" s="91">
        <f>VLOOKUP($A87,'Data Vlaue (Cr)'!$C:$FB,95)</f>
        <v>1194</v>
      </c>
      <c r="L87" s="91">
        <f>VLOOKUP($A87,'Data Vlaue (Cr)'!$C:$FB,97)</f>
        <v>-99</v>
      </c>
      <c r="M87" s="92">
        <f>VLOOKUP($A87,'Data Vlaue (Cr)'!$C:$FB,98)</f>
        <v>-7.6799999999999993E-2</v>
      </c>
      <c r="N87" s="91">
        <f>VLOOKUP($A87,'Data Vlaue (Cr)'!$C:$FB,79)</f>
        <v>494</v>
      </c>
      <c r="O87" s="92">
        <f>VLOOKUP($A87,'Data Vlaue (Cr)'!$C:$FB,82)</f>
        <v>-0.61209999999999998</v>
      </c>
    </row>
    <row r="88" spans="1:15" x14ac:dyDescent="0.25">
      <c r="A88" s="97" t="str">
        <f>'Data Vlaue (Cr)'!C83</f>
        <v>HINDZINC</v>
      </c>
      <c r="B88" s="142">
        <f>VLOOKUP(A88,'Data Vlaue (Cr)'!C83:CW297,99,0)</f>
        <v>4092</v>
      </c>
      <c r="C88" s="90">
        <f>VLOOKUP(A88,'Data Vlaue (Cr)'!C83:CY297,101,0)</f>
        <v>-115</v>
      </c>
      <c r="D88" s="139">
        <f>VLOOKUP(A88,'Data Vlaue (Cr)'!C83:CZ297,102,0)</f>
        <v>-2.7300000000000001E-2</v>
      </c>
      <c r="E88" s="91">
        <f>VLOOKUP($A88,'Data Vlaue (Cr)'!$C:$FB,75)</f>
        <v>1861</v>
      </c>
      <c r="F88" s="91">
        <f>VLOOKUP($A88,'Data Vlaue (Cr)'!$C:$FB,77)</f>
        <v>-6</v>
      </c>
      <c r="G88" s="92">
        <f>VLOOKUP(A88,'Data Vlaue (Cr)'!C83:CB297,78,0)</f>
        <v>-3.2000000000000002E-3</v>
      </c>
      <c r="H88" s="91">
        <f>VLOOKUP($A88,'Data Vlaue (Cr)'!$C:$FB,91)</f>
        <v>1602</v>
      </c>
      <c r="I88" s="91">
        <f>VLOOKUP($A88,'Data Vlaue (Cr)'!$C:$FB,93)</f>
        <v>-86</v>
      </c>
      <c r="J88" s="92">
        <f>VLOOKUP($A88,'Data Vlaue (Cr)'!$C:$FB,94)</f>
        <v>-5.0700000000000002E-2</v>
      </c>
      <c r="K88" s="91">
        <f>VLOOKUP($A88,'Data Vlaue (Cr)'!$C:$FB,95)</f>
        <v>628</v>
      </c>
      <c r="L88" s="91">
        <f>VLOOKUP($A88,'Data Vlaue (Cr)'!$C:$FB,97)</f>
        <v>-23</v>
      </c>
      <c r="M88" s="92">
        <f>VLOOKUP($A88,'Data Vlaue (Cr)'!$C:$FB,98)</f>
        <v>-3.5700000000000003E-2</v>
      </c>
      <c r="N88" s="91">
        <f>VLOOKUP($A88,'Data Vlaue (Cr)'!$C:$FB,79)</f>
        <v>390</v>
      </c>
      <c r="O88" s="92">
        <f>VLOOKUP($A88,'Data Vlaue (Cr)'!$C:$FB,82)</f>
        <v>-0.43590000000000001</v>
      </c>
    </row>
    <row r="89" spans="1:15" x14ac:dyDescent="0.25">
      <c r="A89" s="97" t="str">
        <f>'Data Vlaue (Cr)'!C84</f>
        <v>HUDCO</v>
      </c>
      <c r="B89" s="142">
        <f>VLOOKUP(A89,'Data Vlaue (Cr)'!C84:CW298,99,0)</f>
        <v>1258</v>
      </c>
      <c r="C89" s="90">
        <f>VLOOKUP(A89,'Data Vlaue (Cr)'!C84:CY298,101,0)</f>
        <v>11</v>
      </c>
      <c r="D89" s="139">
        <f>VLOOKUP(A89,'Data Vlaue (Cr)'!C84:CZ298,102,0)</f>
        <v>8.8000000000000005E-3</v>
      </c>
      <c r="E89" s="91">
        <f>VLOOKUP($A89,'Data Vlaue (Cr)'!$C:$FB,75)</f>
        <v>686</v>
      </c>
      <c r="F89" s="91">
        <f>VLOOKUP($A89,'Data Vlaue (Cr)'!$C:$FB,77)</f>
        <v>18</v>
      </c>
      <c r="G89" s="92">
        <f>VLOOKUP(A89,'Data Vlaue (Cr)'!C84:CB298,78,0)</f>
        <v>2.7199999999999998E-2</v>
      </c>
      <c r="H89" s="91">
        <f>VLOOKUP($A89,'Data Vlaue (Cr)'!$C:$FB,91)</f>
        <v>373</v>
      </c>
      <c r="I89" s="91">
        <f>VLOOKUP($A89,'Data Vlaue (Cr)'!$C:$FB,93)</f>
        <v>-6</v>
      </c>
      <c r="J89" s="92">
        <f>VLOOKUP($A89,'Data Vlaue (Cr)'!$C:$FB,94)</f>
        <v>-1.5299999999999999E-2</v>
      </c>
      <c r="K89" s="91">
        <f>VLOOKUP($A89,'Data Vlaue (Cr)'!$C:$FB,95)</f>
        <v>198</v>
      </c>
      <c r="L89" s="91">
        <f>VLOOKUP($A89,'Data Vlaue (Cr)'!$C:$FB,97)</f>
        <v>-1</v>
      </c>
      <c r="M89" s="92">
        <f>VLOOKUP($A89,'Data Vlaue (Cr)'!$C:$FB,98)</f>
        <v>-7.0000000000000001E-3</v>
      </c>
      <c r="N89" s="91">
        <f>VLOOKUP($A89,'Data Vlaue (Cr)'!$C:$FB,79)</f>
        <v>197</v>
      </c>
      <c r="O89" s="92">
        <f>VLOOKUP($A89,'Data Vlaue (Cr)'!$C:$FB,82)</f>
        <v>-0.43580000000000002</v>
      </c>
    </row>
    <row r="90" spans="1:15" x14ac:dyDescent="0.25">
      <c r="A90" s="97" t="str">
        <f>'Data Vlaue (Cr)'!C85</f>
        <v>ICICIBANK</v>
      </c>
      <c r="B90" s="142">
        <f>VLOOKUP(A90,'Data Vlaue (Cr)'!C85:CW299,99,0)</f>
        <v>24832</v>
      </c>
      <c r="C90" s="90">
        <f>VLOOKUP(A90,'Data Vlaue (Cr)'!C85:CY299,101,0)</f>
        <v>-561</v>
      </c>
      <c r="D90" s="139">
        <f>VLOOKUP(A90,'Data Vlaue (Cr)'!C85:CZ299,102,0)</f>
        <v>-2.2100000000000002E-2</v>
      </c>
      <c r="E90" s="91">
        <f>VLOOKUP($A90,'Data Vlaue (Cr)'!$C:$FB,75)</f>
        <v>15259</v>
      </c>
      <c r="F90" s="91">
        <f>VLOOKUP($A90,'Data Vlaue (Cr)'!$C:$FB,77)</f>
        <v>114</v>
      </c>
      <c r="G90" s="92">
        <f>VLOOKUP(A90,'Data Vlaue (Cr)'!C85:CB299,78,0)</f>
        <v>7.6E-3</v>
      </c>
      <c r="H90" s="91">
        <f>VLOOKUP($A90,'Data Vlaue (Cr)'!$C:$FB,91)</f>
        <v>6096</v>
      </c>
      <c r="I90" s="91">
        <f>VLOOKUP($A90,'Data Vlaue (Cr)'!$C:$FB,93)</f>
        <v>-654</v>
      </c>
      <c r="J90" s="92">
        <f>VLOOKUP($A90,'Data Vlaue (Cr)'!$C:$FB,94)</f>
        <v>-9.69E-2</v>
      </c>
      <c r="K90" s="91">
        <f>VLOOKUP($A90,'Data Vlaue (Cr)'!$C:$FB,95)</f>
        <v>3476</v>
      </c>
      <c r="L90" s="91">
        <f>VLOOKUP($A90,'Data Vlaue (Cr)'!$C:$FB,97)</f>
        <v>-21</v>
      </c>
      <c r="M90" s="92">
        <f>VLOOKUP($A90,'Data Vlaue (Cr)'!$C:$FB,98)</f>
        <v>-6.0000000000000001E-3</v>
      </c>
      <c r="N90" s="91">
        <f>VLOOKUP($A90,'Data Vlaue (Cr)'!$C:$FB,79)</f>
        <v>3177</v>
      </c>
      <c r="O90" s="92">
        <f>VLOOKUP($A90,'Data Vlaue (Cr)'!$C:$FB,82)</f>
        <v>-0.44069999999999998</v>
      </c>
    </row>
    <row r="91" spans="1:15" x14ac:dyDescent="0.25">
      <c r="A91" s="97" t="str">
        <f>'Data Vlaue (Cr)'!C86</f>
        <v>ICICIGI</v>
      </c>
      <c r="B91" s="142">
        <f>VLOOKUP(A91,'Data Vlaue (Cr)'!C86:CW300,99,0)</f>
        <v>1897</v>
      </c>
      <c r="C91" s="90">
        <f>VLOOKUP(A91,'Data Vlaue (Cr)'!C86:CY300,101,0)</f>
        <v>-78</v>
      </c>
      <c r="D91" s="139">
        <f>VLOOKUP(A91,'Data Vlaue (Cr)'!C86:CZ300,102,0)</f>
        <v>-3.95E-2</v>
      </c>
      <c r="E91" s="91">
        <f>VLOOKUP($A91,'Data Vlaue (Cr)'!$C:$FB,75)</f>
        <v>1203</v>
      </c>
      <c r="F91" s="91">
        <f>VLOOKUP($A91,'Data Vlaue (Cr)'!$C:$FB,77)</f>
        <v>-12</v>
      </c>
      <c r="G91" s="92">
        <f>VLOOKUP(A91,'Data Vlaue (Cr)'!C86:CB300,78,0)</f>
        <v>-9.4999999999999998E-3</v>
      </c>
      <c r="H91" s="91">
        <f>VLOOKUP($A91,'Data Vlaue (Cr)'!$C:$FB,91)</f>
        <v>315</v>
      </c>
      <c r="I91" s="91">
        <f>VLOOKUP($A91,'Data Vlaue (Cr)'!$C:$FB,93)</f>
        <v>-21</v>
      </c>
      <c r="J91" s="92">
        <f>VLOOKUP($A91,'Data Vlaue (Cr)'!$C:$FB,94)</f>
        <v>-6.1899999999999997E-2</v>
      </c>
      <c r="K91" s="91">
        <f>VLOOKUP($A91,'Data Vlaue (Cr)'!$C:$FB,95)</f>
        <v>379</v>
      </c>
      <c r="L91" s="91">
        <f>VLOOKUP($A91,'Data Vlaue (Cr)'!$C:$FB,97)</f>
        <v>-46</v>
      </c>
      <c r="M91" s="92">
        <f>VLOOKUP($A91,'Data Vlaue (Cr)'!$C:$FB,98)</f>
        <v>-0.10780000000000001</v>
      </c>
      <c r="N91" s="91">
        <f>VLOOKUP($A91,'Data Vlaue (Cr)'!$C:$FB,79)</f>
        <v>159</v>
      </c>
      <c r="O91" s="92">
        <f>VLOOKUP($A91,'Data Vlaue (Cr)'!$C:$FB,82)</f>
        <v>-0.66169999999999995</v>
      </c>
    </row>
    <row r="92" spans="1:15" x14ac:dyDescent="0.25">
      <c r="A92" s="97" t="str">
        <f>'Data Vlaue (Cr)'!C87</f>
        <v>ICICIPRULI</v>
      </c>
      <c r="B92" s="142">
        <f>VLOOKUP(A92,'Data Vlaue (Cr)'!C87:CW301,99,0)</f>
        <v>1205</v>
      </c>
      <c r="C92" s="90">
        <f>VLOOKUP(A92,'Data Vlaue (Cr)'!C87:CY301,101,0)</f>
        <v>-3</v>
      </c>
      <c r="D92" s="139">
        <f>VLOOKUP(A92,'Data Vlaue (Cr)'!C87:CZ301,102,0)</f>
        <v>-2.0999999999999999E-3</v>
      </c>
      <c r="E92" s="91">
        <f>VLOOKUP($A92,'Data Vlaue (Cr)'!$C:$FB,75)</f>
        <v>744</v>
      </c>
      <c r="F92" s="91">
        <f>VLOOKUP($A92,'Data Vlaue (Cr)'!$C:$FB,77)</f>
        <v>16</v>
      </c>
      <c r="G92" s="92">
        <f>VLOOKUP(A92,'Data Vlaue (Cr)'!C87:CB301,78,0)</f>
        <v>2.2200000000000001E-2</v>
      </c>
      <c r="H92" s="91">
        <f>VLOOKUP($A92,'Data Vlaue (Cr)'!$C:$FB,91)</f>
        <v>290</v>
      </c>
      <c r="I92" s="91">
        <f>VLOOKUP($A92,'Data Vlaue (Cr)'!$C:$FB,93)</f>
        <v>-10</v>
      </c>
      <c r="J92" s="92">
        <f>VLOOKUP($A92,'Data Vlaue (Cr)'!$C:$FB,94)</f>
        <v>-3.4500000000000003E-2</v>
      </c>
      <c r="K92" s="91">
        <f>VLOOKUP($A92,'Data Vlaue (Cr)'!$C:$FB,95)</f>
        <v>171</v>
      </c>
      <c r="L92" s="91">
        <f>VLOOKUP($A92,'Data Vlaue (Cr)'!$C:$FB,97)</f>
        <v>-8</v>
      </c>
      <c r="M92" s="92">
        <f>VLOOKUP($A92,'Data Vlaue (Cr)'!$C:$FB,98)</f>
        <v>-4.6600000000000003E-2</v>
      </c>
      <c r="N92" s="91">
        <f>VLOOKUP($A92,'Data Vlaue (Cr)'!$C:$FB,79)</f>
        <v>88</v>
      </c>
      <c r="O92" s="92">
        <f>VLOOKUP($A92,'Data Vlaue (Cr)'!$C:$FB,82)</f>
        <v>-0.6996</v>
      </c>
    </row>
    <row r="93" spans="1:15" x14ac:dyDescent="0.25">
      <c r="A93" s="97" t="str">
        <f>'Data Vlaue (Cr)'!C88</f>
        <v>IDEA</v>
      </c>
      <c r="B93" s="142">
        <f>VLOOKUP(A93,'Data Vlaue (Cr)'!C88:CW302,99,0)</f>
        <v>10691</v>
      </c>
      <c r="C93" s="90">
        <f>VLOOKUP(A93,'Data Vlaue (Cr)'!C88:CY302,101,0)</f>
        <v>396</v>
      </c>
      <c r="D93" s="139">
        <f>VLOOKUP(A93,'Data Vlaue (Cr)'!C88:CZ302,102,0)</f>
        <v>3.8399999999999997E-2</v>
      </c>
      <c r="E93" s="91">
        <f>VLOOKUP($A93,'Data Vlaue (Cr)'!$C:$FB,75)</f>
        <v>6370</v>
      </c>
      <c r="F93" s="91">
        <f>VLOOKUP($A93,'Data Vlaue (Cr)'!$C:$FB,77)</f>
        <v>95</v>
      </c>
      <c r="G93" s="92">
        <f>VLOOKUP(A93,'Data Vlaue (Cr)'!C88:CB302,78,0)</f>
        <v>1.52E-2</v>
      </c>
      <c r="H93" s="91">
        <f>VLOOKUP($A93,'Data Vlaue (Cr)'!$C:$FB,91)</f>
        <v>2427</v>
      </c>
      <c r="I93" s="91">
        <f>VLOOKUP($A93,'Data Vlaue (Cr)'!$C:$FB,93)</f>
        <v>45</v>
      </c>
      <c r="J93" s="92">
        <f>VLOOKUP($A93,'Data Vlaue (Cr)'!$C:$FB,94)</f>
        <v>1.9E-2</v>
      </c>
      <c r="K93" s="91">
        <f>VLOOKUP($A93,'Data Vlaue (Cr)'!$C:$FB,95)</f>
        <v>1894</v>
      </c>
      <c r="L93" s="91">
        <f>VLOOKUP($A93,'Data Vlaue (Cr)'!$C:$FB,97)</f>
        <v>255</v>
      </c>
      <c r="M93" s="92">
        <f>VLOOKUP($A93,'Data Vlaue (Cr)'!$C:$FB,98)</f>
        <v>0.15570000000000001</v>
      </c>
      <c r="N93" s="91">
        <f>VLOOKUP($A93,'Data Vlaue (Cr)'!$C:$FB,79)</f>
        <v>1201</v>
      </c>
      <c r="O93" s="92">
        <f>VLOOKUP($A93,'Data Vlaue (Cr)'!$C:$FB,82)</f>
        <v>-0.55989999999999995</v>
      </c>
    </row>
    <row r="94" spans="1:15" x14ac:dyDescent="0.25">
      <c r="A94" s="97" t="str">
        <f>'Data Vlaue (Cr)'!C89</f>
        <v>IDFCFIRSTB</v>
      </c>
      <c r="B94" s="142">
        <f>VLOOKUP(A94,'Data Vlaue (Cr)'!C89:CW303,99,0)</f>
        <v>5372</v>
      </c>
      <c r="C94" s="90">
        <f>VLOOKUP(A94,'Data Vlaue (Cr)'!C89:CY303,101,0)</f>
        <v>7</v>
      </c>
      <c r="D94" s="139">
        <f>VLOOKUP(A94,'Data Vlaue (Cr)'!C89:CZ303,102,0)</f>
        <v>1.4E-3</v>
      </c>
      <c r="E94" s="91">
        <f>VLOOKUP($A94,'Data Vlaue (Cr)'!$C:$FB,75)</f>
        <v>3134</v>
      </c>
      <c r="F94" s="91">
        <f>VLOOKUP($A94,'Data Vlaue (Cr)'!$C:$FB,77)</f>
        <v>34</v>
      </c>
      <c r="G94" s="92">
        <f>VLOOKUP(A94,'Data Vlaue (Cr)'!C89:CB303,78,0)</f>
        <v>1.11E-2</v>
      </c>
      <c r="H94" s="91">
        <f>VLOOKUP($A94,'Data Vlaue (Cr)'!$C:$FB,91)</f>
        <v>1137</v>
      </c>
      <c r="I94" s="91">
        <f>VLOOKUP($A94,'Data Vlaue (Cr)'!$C:$FB,93)</f>
        <v>-25</v>
      </c>
      <c r="J94" s="92">
        <f>VLOOKUP($A94,'Data Vlaue (Cr)'!$C:$FB,94)</f>
        <v>-2.12E-2</v>
      </c>
      <c r="K94" s="91">
        <f>VLOOKUP($A94,'Data Vlaue (Cr)'!$C:$FB,95)</f>
        <v>1101</v>
      </c>
      <c r="L94" s="91">
        <f>VLOOKUP($A94,'Data Vlaue (Cr)'!$C:$FB,97)</f>
        <v>-2</v>
      </c>
      <c r="M94" s="92">
        <f>VLOOKUP($A94,'Data Vlaue (Cr)'!$C:$FB,98)</f>
        <v>-2.2000000000000001E-3</v>
      </c>
      <c r="N94" s="91">
        <f>VLOOKUP($A94,'Data Vlaue (Cr)'!$C:$FB,79)</f>
        <v>451</v>
      </c>
      <c r="O94" s="92">
        <f>VLOOKUP($A94,'Data Vlaue (Cr)'!$C:$FB,82)</f>
        <v>-0.55589999999999995</v>
      </c>
    </row>
    <row r="95" spans="1:15" x14ac:dyDescent="0.25">
      <c r="A95" s="97" t="str">
        <f>'Data Vlaue (Cr)'!C90</f>
        <v>IEX</v>
      </c>
      <c r="B95" s="142">
        <f>VLOOKUP(A95,'Data Vlaue (Cr)'!C90:CW304,99,0)</f>
        <v>2051</v>
      </c>
      <c r="C95" s="90">
        <f>VLOOKUP(A95,'Data Vlaue (Cr)'!C90:CY304,101,0)</f>
        <v>87</v>
      </c>
      <c r="D95" s="139">
        <f>VLOOKUP(A95,'Data Vlaue (Cr)'!C90:CZ304,102,0)</f>
        <v>4.41E-2</v>
      </c>
      <c r="E95" s="91">
        <f>VLOOKUP($A95,'Data Vlaue (Cr)'!$C:$FB,75)</f>
        <v>1075</v>
      </c>
      <c r="F95" s="91">
        <f>VLOOKUP($A95,'Data Vlaue (Cr)'!$C:$FB,77)</f>
        <v>19</v>
      </c>
      <c r="G95" s="92">
        <f>VLOOKUP(A95,'Data Vlaue (Cr)'!C90:CB304,78,0)</f>
        <v>1.8499999999999999E-2</v>
      </c>
      <c r="H95" s="91">
        <f>VLOOKUP($A95,'Data Vlaue (Cr)'!$C:$FB,91)</f>
        <v>572</v>
      </c>
      <c r="I95" s="91">
        <f>VLOOKUP($A95,'Data Vlaue (Cr)'!$C:$FB,93)</f>
        <v>58</v>
      </c>
      <c r="J95" s="92">
        <f>VLOOKUP($A95,'Data Vlaue (Cr)'!$C:$FB,94)</f>
        <v>0.1134</v>
      </c>
      <c r="K95" s="91">
        <f>VLOOKUP($A95,'Data Vlaue (Cr)'!$C:$FB,95)</f>
        <v>403</v>
      </c>
      <c r="L95" s="91">
        <f>VLOOKUP($A95,'Data Vlaue (Cr)'!$C:$FB,97)</f>
        <v>9</v>
      </c>
      <c r="M95" s="92">
        <f>VLOOKUP($A95,'Data Vlaue (Cr)'!$C:$FB,98)</f>
        <v>2.2700000000000001E-2</v>
      </c>
      <c r="N95" s="91">
        <f>VLOOKUP($A95,'Data Vlaue (Cr)'!$C:$FB,79)</f>
        <v>179</v>
      </c>
      <c r="O95" s="92">
        <f>VLOOKUP($A95,'Data Vlaue (Cr)'!$C:$FB,82)</f>
        <v>-0.48659999999999998</v>
      </c>
    </row>
    <row r="96" spans="1:15" x14ac:dyDescent="0.25">
      <c r="A96" s="97" t="str">
        <f>'Data Vlaue (Cr)'!C91</f>
        <v>IGL</v>
      </c>
      <c r="B96" s="142">
        <f>VLOOKUP(A96,'Data Vlaue (Cr)'!C91:CW305,99,0)</f>
        <v>1026</v>
      </c>
      <c r="C96" s="90">
        <f>VLOOKUP(A96,'Data Vlaue (Cr)'!C91:CY305,101,0)</f>
        <v>-37</v>
      </c>
      <c r="D96" s="139">
        <f>VLOOKUP(A96,'Data Vlaue (Cr)'!C91:CZ305,102,0)</f>
        <v>-3.5200000000000002E-2</v>
      </c>
      <c r="E96" s="91">
        <f>VLOOKUP($A96,'Data Vlaue (Cr)'!$C:$FB,75)</f>
        <v>449</v>
      </c>
      <c r="F96" s="91">
        <f>VLOOKUP($A96,'Data Vlaue (Cr)'!$C:$FB,77)</f>
        <v>-1</v>
      </c>
      <c r="G96" s="92">
        <f>VLOOKUP(A96,'Data Vlaue (Cr)'!C91:CB305,78,0)</f>
        <v>-2.5999999999999999E-3</v>
      </c>
      <c r="H96" s="91">
        <f>VLOOKUP($A96,'Data Vlaue (Cr)'!$C:$FB,91)</f>
        <v>377</v>
      </c>
      <c r="I96" s="91">
        <f>VLOOKUP($A96,'Data Vlaue (Cr)'!$C:$FB,93)</f>
        <v>-26</v>
      </c>
      <c r="J96" s="92">
        <f>VLOOKUP($A96,'Data Vlaue (Cr)'!$C:$FB,94)</f>
        <v>-6.3799999999999996E-2</v>
      </c>
      <c r="K96" s="91">
        <f>VLOOKUP($A96,'Data Vlaue (Cr)'!$C:$FB,95)</f>
        <v>200</v>
      </c>
      <c r="L96" s="91">
        <f>VLOOKUP($A96,'Data Vlaue (Cr)'!$C:$FB,97)</f>
        <v>-11</v>
      </c>
      <c r="M96" s="92">
        <f>VLOOKUP($A96,'Data Vlaue (Cr)'!$C:$FB,98)</f>
        <v>-5.0299999999999997E-2</v>
      </c>
      <c r="N96" s="91">
        <f>VLOOKUP($A96,'Data Vlaue (Cr)'!$C:$FB,79)</f>
        <v>166</v>
      </c>
      <c r="O96" s="92">
        <f>VLOOKUP($A96,'Data Vlaue (Cr)'!$C:$FB,82)</f>
        <v>-0.28070000000000001</v>
      </c>
    </row>
    <row r="97" spans="1:15" x14ac:dyDescent="0.25">
      <c r="A97" s="97" t="str">
        <f>'Data Vlaue (Cr)'!C92</f>
        <v>IIFL</v>
      </c>
      <c r="B97" s="142">
        <f>VLOOKUP(A97,'Data Vlaue (Cr)'!C92:CW306,99,0)</f>
        <v>1221</v>
      </c>
      <c r="C97" s="90">
        <f>VLOOKUP(A97,'Data Vlaue (Cr)'!C92:CY306,101,0)</f>
        <v>63</v>
      </c>
      <c r="D97" s="139">
        <f>VLOOKUP(A97,'Data Vlaue (Cr)'!C92:CZ306,102,0)</f>
        <v>5.4300000000000001E-2</v>
      </c>
      <c r="E97" s="91">
        <f>VLOOKUP($A97,'Data Vlaue (Cr)'!$C:$FB,75)</f>
        <v>820</v>
      </c>
      <c r="F97" s="91">
        <f>VLOOKUP($A97,'Data Vlaue (Cr)'!$C:$FB,77)</f>
        <v>27</v>
      </c>
      <c r="G97" s="92">
        <f>VLOOKUP(A97,'Data Vlaue (Cr)'!C92:CB306,78,0)</f>
        <v>3.4200000000000001E-2</v>
      </c>
      <c r="H97" s="91">
        <f>VLOOKUP($A97,'Data Vlaue (Cr)'!$C:$FB,91)</f>
        <v>249</v>
      </c>
      <c r="I97" s="91">
        <f>VLOOKUP($A97,'Data Vlaue (Cr)'!$C:$FB,93)</f>
        <v>33</v>
      </c>
      <c r="J97" s="92">
        <f>VLOOKUP($A97,'Data Vlaue (Cr)'!$C:$FB,94)</f>
        <v>0.15110000000000001</v>
      </c>
      <c r="K97" s="91">
        <f>VLOOKUP($A97,'Data Vlaue (Cr)'!$C:$FB,95)</f>
        <v>151</v>
      </c>
      <c r="L97" s="91">
        <f>VLOOKUP($A97,'Data Vlaue (Cr)'!$C:$FB,97)</f>
        <v>3</v>
      </c>
      <c r="M97" s="92">
        <f>VLOOKUP($A97,'Data Vlaue (Cr)'!$C:$FB,98)</f>
        <v>2.0299999999999999E-2</v>
      </c>
      <c r="N97" s="91">
        <f>VLOOKUP($A97,'Data Vlaue (Cr)'!$C:$FB,79)</f>
        <v>100</v>
      </c>
      <c r="O97" s="92">
        <f>VLOOKUP($A97,'Data Vlaue (Cr)'!$C:$FB,82)</f>
        <v>-0.65239999999999998</v>
      </c>
    </row>
    <row r="98" spans="1:15" x14ac:dyDescent="0.25">
      <c r="A98" s="97" t="str">
        <f>'Data Vlaue (Cr)'!C93</f>
        <v>INDHOTEL</v>
      </c>
      <c r="B98" s="142">
        <f>VLOOKUP(A98,'Data Vlaue (Cr)'!C93:CW307,99,0)</f>
        <v>3264</v>
      </c>
      <c r="C98" s="90">
        <f>VLOOKUP(A98,'Data Vlaue (Cr)'!C93:CY307,101,0)</f>
        <v>-272</v>
      </c>
      <c r="D98" s="139">
        <f>VLOOKUP(A98,'Data Vlaue (Cr)'!C93:CZ307,102,0)</f>
        <v>-7.6999999999999999E-2</v>
      </c>
      <c r="E98" s="91">
        <f>VLOOKUP($A98,'Data Vlaue (Cr)'!$C:$FB,75)</f>
        <v>2043</v>
      </c>
      <c r="F98" s="91">
        <f>VLOOKUP($A98,'Data Vlaue (Cr)'!$C:$FB,77)</f>
        <v>-109</v>
      </c>
      <c r="G98" s="92">
        <f>VLOOKUP(A98,'Data Vlaue (Cr)'!C93:CB307,78,0)</f>
        <v>-5.0799999999999998E-2</v>
      </c>
      <c r="H98" s="91">
        <f>VLOOKUP($A98,'Data Vlaue (Cr)'!$C:$FB,91)</f>
        <v>692</v>
      </c>
      <c r="I98" s="91">
        <f>VLOOKUP($A98,'Data Vlaue (Cr)'!$C:$FB,93)</f>
        <v>-172</v>
      </c>
      <c r="J98" s="92">
        <f>VLOOKUP($A98,'Data Vlaue (Cr)'!$C:$FB,94)</f>
        <v>-0.19889999999999999</v>
      </c>
      <c r="K98" s="91">
        <f>VLOOKUP($A98,'Data Vlaue (Cr)'!$C:$FB,95)</f>
        <v>528</v>
      </c>
      <c r="L98" s="91">
        <f>VLOOKUP($A98,'Data Vlaue (Cr)'!$C:$FB,97)</f>
        <v>9</v>
      </c>
      <c r="M98" s="92">
        <f>VLOOKUP($A98,'Data Vlaue (Cr)'!$C:$FB,98)</f>
        <v>1.7000000000000001E-2</v>
      </c>
      <c r="N98" s="91">
        <f>VLOOKUP($A98,'Data Vlaue (Cr)'!$C:$FB,79)</f>
        <v>338</v>
      </c>
      <c r="O98" s="92">
        <f>VLOOKUP($A98,'Data Vlaue (Cr)'!$C:$FB,82)</f>
        <v>-0.67479999999999996</v>
      </c>
    </row>
    <row r="99" spans="1:15" x14ac:dyDescent="0.25">
      <c r="A99" s="97" t="str">
        <f>'Data Vlaue (Cr)'!C94</f>
        <v>INDIANB</v>
      </c>
      <c r="B99" s="142">
        <f>VLOOKUP(A99,'Data Vlaue (Cr)'!C94:CW308,99,0)</f>
        <v>1466</v>
      </c>
      <c r="C99" s="90">
        <f>VLOOKUP(A99,'Data Vlaue (Cr)'!C94:CY308,101,0)</f>
        <v>-44</v>
      </c>
      <c r="D99" s="139">
        <f>VLOOKUP(A99,'Data Vlaue (Cr)'!C94:CZ308,102,0)</f>
        <v>-2.9399999999999999E-2</v>
      </c>
      <c r="E99" s="91">
        <f>VLOOKUP($A99,'Data Vlaue (Cr)'!$C:$FB,75)</f>
        <v>742</v>
      </c>
      <c r="F99" s="91">
        <f>VLOOKUP($A99,'Data Vlaue (Cr)'!$C:$FB,77)</f>
        <v>7</v>
      </c>
      <c r="G99" s="92">
        <f>VLOOKUP(A99,'Data Vlaue (Cr)'!C94:CB308,78,0)</f>
        <v>9.9000000000000008E-3</v>
      </c>
      <c r="H99" s="91">
        <f>VLOOKUP($A99,'Data Vlaue (Cr)'!$C:$FB,91)</f>
        <v>331</v>
      </c>
      <c r="I99" s="91">
        <f>VLOOKUP($A99,'Data Vlaue (Cr)'!$C:$FB,93)</f>
        <v>-38</v>
      </c>
      <c r="J99" s="92">
        <f>VLOOKUP($A99,'Data Vlaue (Cr)'!$C:$FB,94)</f>
        <v>-0.10390000000000001</v>
      </c>
      <c r="K99" s="91">
        <f>VLOOKUP($A99,'Data Vlaue (Cr)'!$C:$FB,95)</f>
        <v>393</v>
      </c>
      <c r="L99" s="91">
        <f>VLOOKUP($A99,'Data Vlaue (Cr)'!$C:$FB,97)</f>
        <v>-13</v>
      </c>
      <c r="M99" s="92">
        <f>VLOOKUP($A99,'Data Vlaue (Cr)'!$C:$FB,98)</f>
        <v>-3.2899999999999999E-2</v>
      </c>
      <c r="N99" s="91">
        <f>VLOOKUP($A99,'Data Vlaue (Cr)'!$C:$FB,79)</f>
        <v>135</v>
      </c>
      <c r="O99" s="92">
        <f>VLOOKUP($A99,'Data Vlaue (Cr)'!$C:$FB,82)</f>
        <v>-0.49740000000000001</v>
      </c>
    </row>
    <row r="100" spans="1:15" x14ac:dyDescent="0.25">
      <c r="A100" s="97" t="str">
        <f>'Data Vlaue (Cr)'!C95</f>
        <v>INDIAVIX</v>
      </c>
      <c r="B100" s="142">
        <f>VLOOKUP(A100,'Data Vlaue (Cr)'!C95:CW309,99,0)</f>
        <v>0</v>
      </c>
      <c r="C100" s="90">
        <f>VLOOKUP(A100,'Data Vlaue (Cr)'!C95:CY309,101,0)</f>
        <v>0</v>
      </c>
      <c r="D100" s="139">
        <f>VLOOKUP(A100,'Data Vlaue (Cr)'!C95:CZ309,102,0)</f>
        <v>0</v>
      </c>
      <c r="E100" s="91">
        <f>VLOOKUP($A100,'Data Vlaue (Cr)'!$C:$FB,75)</f>
        <v>0</v>
      </c>
      <c r="F100" s="91">
        <f>VLOOKUP($A100,'Data Vlaue (Cr)'!$C:$FB,77)</f>
        <v>0</v>
      </c>
      <c r="G100" s="92">
        <f>VLOOKUP(A100,'Data Vlaue (Cr)'!C95:CB309,78,0)</f>
        <v>0</v>
      </c>
      <c r="H100" s="91">
        <f>VLOOKUP($A100,'Data Vlaue (Cr)'!$C:$FB,91)</f>
        <v>0</v>
      </c>
      <c r="I100" s="91">
        <f>VLOOKUP($A100,'Data Vlaue (Cr)'!$C:$FB,93)</f>
        <v>0</v>
      </c>
      <c r="J100" s="92">
        <f>VLOOKUP($A100,'Data Vlaue (Cr)'!$C:$FB,94)</f>
        <v>0</v>
      </c>
      <c r="K100" s="91">
        <f>VLOOKUP($A100,'Data Vlaue (Cr)'!$C:$FB,95)</f>
        <v>0</v>
      </c>
      <c r="L100" s="91">
        <f>VLOOKUP($A100,'Data Vlaue (Cr)'!$C:$FB,97)</f>
        <v>0</v>
      </c>
      <c r="M100" s="92">
        <f>VLOOKUP($A100,'Data Vlaue (Cr)'!$C:$FB,98)</f>
        <v>0</v>
      </c>
      <c r="N100" s="91">
        <f>VLOOKUP($A100,'Data Vlaue (Cr)'!$C:$FB,79)</f>
        <v>0</v>
      </c>
      <c r="O100" s="92">
        <f>VLOOKUP($A100,'Data Vlaue (Cr)'!$C:$FB,82)</f>
        <v>0</v>
      </c>
    </row>
    <row r="101" spans="1:15" x14ac:dyDescent="0.25">
      <c r="A101" s="97" t="str">
        <f>'Data Vlaue (Cr)'!C96</f>
        <v>INDIGO</v>
      </c>
      <c r="B101" s="142">
        <f>VLOOKUP(A101,'Data Vlaue (Cr)'!C96:CW310,99,0)</f>
        <v>6778</v>
      </c>
      <c r="C101" s="90">
        <f>VLOOKUP(A101,'Data Vlaue (Cr)'!C96:CY310,101,0)</f>
        <v>-83</v>
      </c>
      <c r="D101" s="139">
        <f>VLOOKUP(A101,'Data Vlaue (Cr)'!C96:CZ310,102,0)</f>
        <v>-1.21E-2</v>
      </c>
      <c r="E101" s="91">
        <f>VLOOKUP($A101,'Data Vlaue (Cr)'!$C:$FB,75)</f>
        <v>4631</v>
      </c>
      <c r="F101" s="91">
        <f>VLOOKUP($A101,'Data Vlaue (Cr)'!$C:$FB,77)</f>
        <v>-130</v>
      </c>
      <c r="G101" s="92">
        <f>VLOOKUP(A101,'Data Vlaue (Cr)'!C96:CB310,78,0)</f>
        <v>-2.7400000000000001E-2</v>
      </c>
      <c r="H101" s="91">
        <f>VLOOKUP($A101,'Data Vlaue (Cr)'!$C:$FB,91)</f>
        <v>1125</v>
      </c>
      <c r="I101" s="91">
        <f>VLOOKUP($A101,'Data Vlaue (Cr)'!$C:$FB,93)</f>
        <v>-61</v>
      </c>
      <c r="J101" s="92">
        <f>VLOOKUP($A101,'Data Vlaue (Cr)'!$C:$FB,94)</f>
        <v>-5.1299999999999998E-2</v>
      </c>
      <c r="K101" s="91">
        <f>VLOOKUP($A101,'Data Vlaue (Cr)'!$C:$FB,95)</f>
        <v>1022</v>
      </c>
      <c r="L101" s="91">
        <f>VLOOKUP($A101,'Data Vlaue (Cr)'!$C:$FB,97)</f>
        <v>108</v>
      </c>
      <c r="M101" s="92">
        <f>VLOOKUP($A101,'Data Vlaue (Cr)'!$C:$FB,98)</f>
        <v>0.1182</v>
      </c>
      <c r="N101" s="91">
        <f>VLOOKUP($A101,'Data Vlaue (Cr)'!$C:$FB,79)</f>
        <v>698</v>
      </c>
      <c r="O101" s="92">
        <f>VLOOKUP($A101,'Data Vlaue (Cr)'!$C:$FB,82)</f>
        <v>-0.64429999999999998</v>
      </c>
    </row>
    <row r="102" spans="1:15" x14ac:dyDescent="0.25">
      <c r="A102" s="97" t="str">
        <f>'Data Vlaue (Cr)'!C97</f>
        <v>INDUSINDBK</v>
      </c>
      <c r="B102" s="142">
        <f>VLOOKUP(A102,'Data Vlaue (Cr)'!C97:CW311,99,0)</f>
        <v>7151</v>
      </c>
      <c r="C102" s="90">
        <f>VLOOKUP(A102,'Data Vlaue (Cr)'!C97:CY311,101,0)</f>
        <v>19</v>
      </c>
      <c r="D102" s="139">
        <f>VLOOKUP(A102,'Data Vlaue (Cr)'!C97:CZ311,102,0)</f>
        <v>2.7000000000000001E-3</v>
      </c>
      <c r="E102" s="91">
        <f>VLOOKUP($A102,'Data Vlaue (Cr)'!$C:$FB,75)</f>
        <v>4407</v>
      </c>
      <c r="F102" s="91">
        <f>VLOOKUP($A102,'Data Vlaue (Cr)'!$C:$FB,77)</f>
        <v>-50</v>
      </c>
      <c r="G102" s="92">
        <f>VLOOKUP(A102,'Data Vlaue (Cr)'!C97:CB311,78,0)</f>
        <v>-1.12E-2</v>
      </c>
      <c r="H102" s="91">
        <f>VLOOKUP($A102,'Data Vlaue (Cr)'!$C:$FB,91)</f>
        <v>1524</v>
      </c>
      <c r="I102" s="91">
        <f>VLOOKUP($A102,'Data Vlaue (Cr)'!$C:$FB,93)</f>
        <v>-25</v>
      </c>
      <c r="J102" s="92">
        <f>VLOOKUP($A102,'Data Vlaue (Cr)'!$C:$FB,94)</f>
        <v>-1.61E-2</v>
      </c>
      <c r="K102" s="91">
        <f>VLOOKUP($A102,'Data Vlaue (Cr)'!$C:$FB,95)</f>
        <v>1220</v>
      </c>
      <c r="L102" s="91">
        <f>VLOOKUP($A102,'Data Vlaue (Cr)'!$C:$FB,97)</f>
        <v>94</v>
      </c>
      <c r="M102" s="92">
        <f>VLOOKUP($A102,'Data Vlaue (Cr)'!$C:$FB,98)</f>
        <v>8.3599999999999994E-2</v>
      </c>
      <c r="N102" s="91">
        <f>VLOOKUP($A102,'Data Vlaue (Cr)'!$C:$FB,79)</f>
        <v>602</v>
      </c>
      <c r="O102" s="92">
        <f>VLOOKUP($A102,'Data Vlaue (Cr)'!$C:$FB,82)</f>
        <v>-0.64690000000000003</v>
      </c>
    </row>
    <row r="103" spans="1:15" x14ac:dyDescent="0.25">
      <c r="A103" s="97" t="str">
        <f>'Data Vlaue (Cr)'!C98</f>
        <v>INDUSTOWER</v>
      </c>
      <c r="B103" s="142">
        <f>VLOOKUP(A103,'Data Vlaue (Cr)'!C98:CW312,99,0)</f>
        <v>5750</v>
      </c>
      <c r="C103" s="90">
        <f>VLOOKUP(A103,'Data Vlaue (Cr)'!C98:CY312,101,0)</f>
        <v>843</v>
      </c>
      <c r="D103" s="139">
        <f>VLOOKUP(A103,'Data Vlaue (Cr)'!C98:CZ312,102,0)</f>
        <v>0.17180000000000001</v>
      </c>
      <c r="E103" s="91">
        <f>VLOOKUP($A103,'Data Vlaue (Cr)'!$C:$FB,75)</f>
        <v>3720</v>
      </c>
      <c r="F103" s="91">
        <f>VLOOKUP($A103,'Data Vlaue (Cr)'!$C:$FB,77)</f>
        <v>171</v>
      </c>
      <c r="G103" s="92">
        <f>VLOOKUP(A103,'Data Vlaue (Cr)'!C98:CB312,78,0)</f>
        <v>4.8099999999999997E-2</v>
      </c>
      <c r="H103" s="91">
        <f>VLOOKUP($A103,'Data Vlaue (Cr)'!$C:$FB,91)</f>
        <v>1140</v>
      </c>
      <c r="I103" s="91">
        <f>VLOOKUP($A103,'Data Vlaue (Cr)'!$C:$FB,93)</f>
        <v>350</v>
      </c>
      <c r="J103" s="92">
        <f>VLOOKUP($A103,'Data Vlaue (Cr)'!$C:$FB,94)</f>
        <v>0.44350000000000001</v>
      </c>
      <c r="K103" s="91">
        <f>VLOOKUP($A103,'Data Vlaue (Cr)'!$C:$FB,95)</f>
        <v>891</v>
      </c>
      <c r="L103" s="91">
        <f>VLOOKUP($A103,'Data Vlaue (Cr)'!$C:$FB,97)</f>
        <v>322</v>
      </c>
      <c r="M103" s="92">
        <f>VLOOKUP($A103,'Data Vlaue (Cr)'!$C:$FB,98)</f>
        <v>0.56599999999999995</v>
      </c>
      <c r="N103" s="91">
        <f>VLOOKUP($A103,'Data Vlaue (Cr)'!$C:$FB,79)</f>
        <v>533</v>
      </c>
      <c r="O103" s="92">
        <f>VLOOKUP($A103,'Data Vlaue (Cr)'!$C:$FB,82)</f>
        <v>-0.6804</v>
      </c>
    </row>
    <row r="104" spans="1:15" x14ac:dyDescent="0.25">
      <c r="A104" s="97" t="str">
        <f>'Data Vlaue (Cr)'!C99</f>
        <v>INFY</v>
      </c>
      <c r="B104" s="142">
        <f>VLOOKUP(A104,'Data Vlaue (Cr)'!C99:CW313,99,0)</f>
        <v>19770</v>
      </c>
      <c r="C104" s="90">
        <f>VLOOKUP(A104,'Data Vlaue (Cr)'!C99:CY313,101,0)</f>
        <v>-766</v>
      </c>
      <c r="D104" s="139">
        <f>VLOOKUP(A104,'Data Vlaue (Cr)'!C99:CZ313,102,0)</f>
        <v>-3.73E-2</v>
      </c>
      <c r="E104" s="91">
        <f>VLOOKUP($A104,'Data Vlaue (Cr)'!$C:$FB,75)</f>
        <v>9851</v>
      </c>
      <c r="F104" s="91">
        <f>VLOOKUP($A104,'Data Vlaue (Cr)'!$C:$FB,77)</f>
        <v>31</v>
      </c>
      <c r="G104" s="92">
        <f>VLOOKUP(A104,'Data Vlaue (Cr)'!C99:CB313,78,0)</f>
        <v>3.2000000000000002E-3</v>
      </c>
      <c r="H104" s="91">
        <f>VLOOKUP($A104,'Data Vlaue (Cr)'!$C:$FB,91)</f>
        <v>6980</v>
      </c>
      <c r="I104" s="91">
        <f>VLOOKUP($A104,'Data Vlaue (Cr)'!$C:$FB,93)</f>
        <v>-508</v>
      </c>
      <c r="J104" s="92">
        <f>VLOOKUP($A104,'Data Vlaue (Cr)'!$C:$FB,94)</f>
        <v>-6.7799999999999999E-2</v>
      </c>
      <c r="K104" s="91">
        <f>VLOOKUP($A104,'Data Vlaue (Cr)'!$C:$FB,95)</f>
        <v>2938</v>
      </c>
      <c r="L104" s="91">
        <f>VLOOKUP($A104,'Data Vlaue (Cr)'!$C:$FB,97)</f>
        <v>-290</v>
      </c>
      <c r="M104" s="92">
        <f>VLOOKUP($A104,'Data Vlaue (Cr)'!$C:$FB,98)</f>
        <v>-8.9700000000000002E-2</v>
      </c>
      <c r="N104" s="91">
        <f>VLOOKUP($A104,'Data Vlaue (Cr)'!$C:$FB,79)</f>
        <v>1732</v>
      </c>
      <c r="O104" s="92">
        <f>VLOOKUP($A104,'Data Vlaue (Cr)'!$C:$FB,82)</f>
        <v>-0.46860000000000002</v>
      </c>
    </row>
    <row r="105" spans="1:15" x14ac:dyDescent="0.25">
      <c r="A105" s="97" t="str">
        <f>'Data Vlaue (Cr)'!C100</f>
        <v>INOXWIND</v>
      </c>
      <c r="B105" s="142">
        <f>VLOOKUP(A105,'Data Vlaue (Cr)'!C100:CW314,99,0)</f>
        <v>1385</v>
      </c>
      <c r="C105" s="90">
        <f>VLOOKUP(A105,'Data Vlaue (Cr)'!C100:CY314,101,0)</f>
        <v>-42</v>
      </c>
      <c r="D105" s="139">
        <f>VLOOKUP(A105,'Data Vlaue (Cr)'!C100:CZ314,102,0)</f>
        <v>-2.9600000000000001E-2</v>
      </c>
      <c r="E105" s="91">
        <f>VLOOKUP($A105,'Data Vlaue (Cr)'!$C:$FB,75)</f>
        <v>842</v>
      </c>
      <c r="F105" s="91">
        <f>VLOOKUP($A105,'Data Vlaue (Cr)'!$C:$FB,77)</f>
        <v>7</v>
      </c>
      <c r="G105" s="92">
        <f>VLOOKUP(A105,'Data Vlaue (Cr)'!C100:CB314,78,0)</f>
        <v>8.6E-3</v>
      </c>
      <c r="H105" s="91">
        <f>VLOOKUP($A105,'Data Vlaue (Cr)'!$C:$FB,91)</f>
        <v>340</v>
      </c>
      <c r="I105" s="91">
        <f>VLOOKUP($A105,'Data Vlaue (Cr)'!$C:$FB,93)</f>
        <v>-35</v>
      </c>
      <c r="J105" s="92">
        <f>VLOOKUP($A105,'Data Vlaue (Cr)'!$C:$FB,94)</f>
        <v>-9.4500000000000001E-2</v>
      </c>
      <c r="K105" s="91">
        <f>VLOOKUP($A105,'Data Vlaue (Cr)'!$C:$FB,95)</f>
        <v>203</v>
      </c>
      <c r="L105" s="91">
        <f>VLOOKUP($A105,'Data Vlaue (Cr)'!$C:$FB,97)</f>
        <v>-14</v>
      </c>
      <c r="M105" s="92">
        <f>VLOOKUP($A105,'Data Vlaue (Cr)'!$C:$FB,98)</f>
        <v>-6.4199999999999993E-2</v>
      </c>
      <c r="N105" s="91">
        <f>VLOOKUP($A105,'Data Vlaue (Cr)'!$C:$FB,79)</f>
        <v>167</v>
      </c>
      <c r="O105" s="92">
        <f>VLOOKUP($A105,'Data Vlaue (Cr)'!$C:$FB,82)</f>
        <v>-0.54430000000000001</v>
      </c>
    </row>
    <row r="106" spans="1:15" x14ac:dyDescent="0.25">
      <c r="A106" s="97" t="str">
        <f>'Data Vlaue (Cr)'!C101</f>
        <v>IOC</v>
      </c>
      <c r="B106" s="142">
        <f>VLOOKUP(A106,'Data Vlaue (Cr)'!C101:CW315,99,0)</f>
        <v>3630</v>
      </c>
      <c r="C106" s="90">
        <f>VLOOKUP(A106,'Data Vlaue (Cr)'!C101:CY315,101,0)</f>
        <v>190</v>
      </c>
      <c r="D106" s="139">
        <f>VLOOKUP(A106,'Data Vlaue (Cr)'!C101:CZ315,102,0)</f>
        <v>5.5100000000000003E-2</v>
      </c>
      <c r="E106" s="91">
        <f>VLOOKUP($A106,'Data Vlaue (Cr)'!$C:$FB,75)</f>
        <v>1994</v>
      </c>
      <c r="F106" s="91">
        <f>VLOOKUP($A106,'Data Vlaue (Cr)'!$C:$FB,77)</f>
        <v>22</v>
      </c>
      <c r="G106" s="92">
        <f>VLOOKUP(A106,'Data Vlaue (Cr)'!C101:CB315,78,0)</f>
        <v>1.0999999999999999E-2</v>
      </c>
      <c r="H106" s="91">
        <f>VLOOKUP($A106,'Data Vlaue (Cr)'!$C:$FB,91)</f>
        <v>967</v>
      </c>
      <c r="I106" s="91">
        <f>VLOOKUP($A106,'Data Vlaue (Cr)'!$C:$FB,93)</f>
        <v>94</v>
      </c>
      <c r="J106" s="92">
        <f>VLOOKUP($A106,'Data Vlaue (Cr)'!$C:$FB,94)</f>
        <v>0.1071</v>
      </c>
      <c r="K106" s="91">
        <f>VLOOKUP($A106,'Data Vlaue (Cr)'!$C:$FB,95)</f>
        <v>669</v>
      </c>
      <c r="L106" s="91">
        <f>VLOOKUP($A106,'Data Vlaue (Cr)'!$C:$FB,97)</f>
        <v>74</v>
      </c>
      <c r="M106" s="92">
        <f>VLOOKUP($A106,'Data Vlaue (Cr)'!$C:$FB,98)</f>
        <v>0.125</v>
      </c>
      <c r="N106" s="91">
        <f>VLOOKUP($A106,'Data Vlaue (Cr)'!$C:$FB,79)</f>
        <v>690</v>
      </c>
      <c r="O106" s="92">
        <f>VLOOKUP($A106,'Data Vlaue (Cr)'!$C:$FB,82)</f>
        <v>-0.36099999999999999</v>
      </c>
    </row>
    <row r="107" spans="1:15" x14ac:dyDescent="0.25">
      <c r="A107" s="97" t="str">
        <f>'Data Vlaue (Cr)'!C102</f>
        <v>IRCTC</v>
      </c>
      <c r="B107" s="142">
        <f>VLOOKUP(A107,'Data Vlaue (Cr)'!C102:CW316,99,0)</f>
        <v>2210</v>
      </c>
      <c r="C107" s="90">
        <f>VLOOKUP(A107,'Data Vlaue (Cr)'!C102:CY316,101,0)</f>
        <v>10</v>
      </c>
      <c r="D107" s="139">
        <f>VLOOKUP(A107,'Data Vlaue (Cr)'!C102:CZ316,102,0)</f>
        <v>4.4999999999999997E-3</v>
      </c>
      <c r="E107" s="91">
        <f>VLOOKUP($A107,'Data Vlaue (Cr)'!$C:$FB,75)</f>
        <v>1183</v>
      </c>
      <c r="F107" s="91">
        <f>VLOOKUP($A107,'Data Vlaue (Cr)'!$C:$FB,77)</f>
        <v>57</v>
      </c>
      <c r="G107" s="92">
        <f>VLOOKUP(A107,'Data Vlaue (Cr)'!C102:CB316,78,0)</f>
        <v>5.0599999999999999E-2</v>
      </c>
      <c r="H107" s="91">
        <f>VLOOKUP($A107,'Data Vlaue (Cr)'!$C:$FB,91)</f>
        <v>641</v>
      </c>
      <c r="I107" s="91">
        <f>VLOOKUP($A107,'Data Vlaue (Cr)'!$C:$FB,93)</f>
        <v>-49</v>
      </c>
      <c r="J107" s="92">
        <f>VLOOKUP($A107,'Data Vlaue (Cr)'!$C:$FB,94)</f>
        <v>-7.1199999999999999E-2</v>
      </c>
      <c r="K107" s="91">
        <f>VLOOKUP($A107,'Data Vlaue (Cr)'!$C:$FB,95)</f>
        <v>386</v>
      </c>
      <c r="L107" s="91">
        <f>VLOOKUP($A107,'Data Vlaue (Cr)'!$C:$FB,97)</f>
        <v>2</v>
      </c>
      <c r="M107" s="92">
        <f>VLOOKUP($A107,'Data Vlaue (Cr)'!$C:$FB,98)</f>
        <v>5.4000000000000003E-3</v>
      </c>
      <c r="N107" s="91">
        <f>VLOOKUP($A107,'Data Vlaue (Cr)'!$C:$FB,79)</f>
        <v>240</v>
      </c>
      <c r="O107" s="92">
        <f>VLOOKUP($A107,'Data Vlaue (Cr)'!$C:$FB,82)</f>
        <v>-0.36030000000000001</v>
      </c>
    </row>
    <row r="108" spans="1:15" x14ac:dyDescent="0.25">
      <c r="A108" s="97" t="str">
        <f>'Data Vlaue (Cr)'!C103</f>
        <v>IREDA</v>
      </c>
      <c r="B108" s="142">
        <f>VLOOKUP(A108,'Data Vlaue (Cr)'!C103:CW317,99,0)</f>
        <v>1354</v>
      </c>
      <c r="C108" s="90">
        <f>VLOOKUP(A108,'Data Vlaue (Cr)'!C103:CY317,101,0)</f>
        <v>-164</v>
      </c>
      <c r="D108" s="139">
        <f>VLOOKUP(A108,'Data Vlaue (Cr)'!C103:CZ317,102,0)</f>
        <v>-0.10780000000000001</v>
      </c>
      <c r="E108" s="91">
        <f>VLOOKUP($A108,'Data Vlaue (Cr)'!$C:$FB,75)</f>
        <v>660</v>
      </c>
      <c r="F108" s="91">
        <f>VLOOKUP($A108,'Data Vlaue (Cr)'!$C:$FB,77)</f>
        <v>-73</v>
      </c>
      <c r="G108" s="92">
        <f>VLOOKUP(A108,'Data Vlaue (Cr)'!C103:CB317,78,0)</f>
        <v>-9.9699999999999997E-2</v>
      </c>
      <c r="H108" s="91">
        <f>VLOOKUP($A108,'Data Vlaue (Cr)'!$C:$FB,91)</f>
        <v>455</v>
      </c>
      <c r="I108" s="91">
        <f>VLOOKUP($A108,'Data Vlaue (Cr)'!$C:$FB,93)</f>
        <v>-77</v>
      </c>
      <c r="J108" s="92">
        <f>VLOOKUP($A108,'Data Vlaue (Cr)'!$C:$FB,94)</f>
        <v>-0.1452</v>
      </c>
      <c r="K108" s="91">
        <f>VLOOKUP($A108,'Data Vlaue (Cr)'!$C:$FB,95)</f>
        <v>239</v>
      </c>
      <c r="L108" s="91">
        <f>VLOOKUP($A108,'Data Vlaue (Cr)'!$C:$FB,97)</f>
        <v>-13</v>
      </c>
      <c r="M108" s="92">
        <f>VLOOKUP($A108,'Data Vlaue (Cr)'!$C:$FB,98)</f>
        <v>-5.2200000000000003E-2</v>
      </c>
      <c r="N108" s="91">
        <f>VLOOKUP($A108,'Data Vlaue (Cr)'!$C:$FB,79)</f>
        <v>140</v>
      </c>
      <c r="O108" s="92">
        <f>VLOOKUP($A108,'Data Vlaue (Cr)'!$C:$FB,82)</f>
        <v>-0.5423</v>
      </c>
    </row>
    <row r="109" spans="1:15" x14ac:dyDescent="0.25">
      <c r="A109" s="97" t="str">
        <f>'Data Vlaue (Cr)'!C104</f>
        <v>IRFC</v>
      </c>
      <c r="B109" s="142">
        <f>VLOOKUP(A109,'Data Vlaue (Cr)'!C104:CW318,99,0)</f>
        <v>1223</v>
      </c>
      <c r="C109" s="90">
        <f>VLOOKUP(A109,'Data Vlaue (Cr)'!C104:CY318,101,0)</f>
        <v>-29</v>
      </c>
      <c r="D109" s="139">
        <f>VLOOKUP(A109,'Data Vlaue (Cr)'!C104:CZ318,102,0)</f>
        <v>-2.3E-2</v>
      </c>
      <c r="E109" s="91">
        <f>VLOOKUP($A109,'Data Vlaue (Cr)'!$C:$FB,75)</f>
        <v>552</v>
      </c>
      <c r="F109" s="91">
        <f>VLOOKUP($A109,'Data Vlaue (Cr)'!$C:$FB,77)</f>
        <v>-13</v>
      </c>
      <c r="G109" s="92">
        <f>VLOOKUP(A109,'Data Vlaue (Cr)'!C104:CB318,78,0)</f>
        <v>-2.3099999999999999E-2</v>
      </c>
      <c r="H109" s="91">
        <f>VLOOKUP($A109,'Data Vlaue (Cr)'!$C:$FB,91)</f>
        <v>458</v>
      </c>
      <c r="I109" s="91">
        <f>VLOOKUP($A109,'Data Vlaue (Cr)'!$C:$FB,93)</f>
        <v>-13</v>
      </c>
      <c r="J109" s="92">
        <f>VLOOKUP($A109,'Data Vlaue (Cr)'!$C:$FB,94)</f>
        <v>-2.7E-2</v>
      </c>
      <c r="K109" s="91">
        <f>VLOOKUP($A109,'Data Vlaue (Cr)'!$C:$FB,95)</f>
        <v>213</v>
      </c>
      <c r="L109" s="91">
        <f>VLOOKUP($A109,'Data Vlaue (Cr)'!$C:$FB,97)</f>
        <v>-3</v>
      </c>
      <c r="M109" s="92">
        <f>VLOOKUP($A109,'Data Vlaue (Cr)'!$C:$FB,98)</f>
        <v>-1.41E-2</v>
      </c>
      <c r="N109" s="91">
        <f>VLOOKUP($A109,'Data Vlaue (Cr)'!$C:$FB,79)</f>
        <v>150</v>
      </c>
      <c r="O109" s="92">
        <f>VLOOKUP($A109,'Data Vlaue (Cr)'!$C:$FB,82)</f>
        <v>-0.45860000000000001</v>
      </c>
    </row>
    <row r="110" spans="1:15" x14ac:dyDescent="0.25">
      <c r="A110" s="97" t="str">
        <f>'Data Vlaue (Cr)'!C105</f>
        <v>ITC</v>
      </c>
      <c r="B110" s="142">
        <f>VLOOKUP(A110,'Data Vlaue (Cr)'!C105:CW319,99,0)</f>
        <v>9748</v>
      </c>
      <c r="C110" s="90">
        <f>VLOOKUP(A110,'Data Vlaue (Cr)'!C105:CY319,101,0)</f>
        <v>96</v>
      </c>
      <c r="D110" s="139">
        <f>VLOOKUP(A110,'Data Vlaue (Cr)'!C105:CZ319,102,0)</f>
        <v>9.9000000000000008E-3</v>
      </c>
      <c r="E110" s="91">
        <f>VLOOKUP($A110,'Data Vlaue (Cr)'!$C:$FB,75)</f>
        <v>6698</v>
      </c>
      <c r="F110" s="91">
        <f>VLOOKUP($A110,'Data Vlaue (Cr)'!$C:$FB,77)</f>
        <v>113</v>
      </c>
      <c r="G110" s="92">
        <f>VLOOKUP(A110,'Data Vlaue (Cr)'!C105:CB319,78,0)</f>
        <v>1.72E-2</v>
      </c>
      <c r="H110" s="91">
        <f>VLOOKUP($A110,'Data Vlaue (Cr)'!$C:$FB,91)</f>
        <v>1601</v>
      </c>
      <c r="I110" s="91">
        <f>VLOOKUP($A110,'Data Vlaue (Cr)'!$C:$FB,93)</f>
        <v>-83</v>
      </c>
      <c r="J110" s="92">
        <f>VLOOKUP($A110,'Data Vlaue (Cr)'!$C:$FB,94)</f>
        <v>-4.9200000000000001E-2</v>
      </c>
      <c r="K110" s="91">
        <f>VLOOKUP($A110,'Data Vlaue (Cr)'!$C:$FB,95)</f>
        <v>1448</v>
      </c>
      <c r="L110" s="91">
        <f>VLOOKUP($A110,'Data Vlaue (Cr)'!$C:$FB,97)</f>
        <v>65</v>
      </c>
      <c r="M110" s="92">
        <f>VLOOKUP($A110,'Data Vlaue (Cr)'!$C:$FB,98)</f>
        <v>4.7100000000000003E-2</v>
      </c>
      <c r="N110" s="91">
        <f>VLOOKUP($A110,'Data Vlaue (Cr)'!$C:$FB,79)</f>
        <v>1054</v>
      </c>
      <c r="O110" s="92">
        <f>VLOOKUP($A110,'Data Vlaue (Cr)'!$C:$FB,82)</f>
        <v>-0.60699999999999998</v>
      </c>
    </row>
    <row r="111" spans="1:15" x14ac:dyDescent="0.25">
      <c r="A111" s="97" t="str">
        <f>'Data Vlaue (Cr)'!C106</f>
        <v>JINDALSTEL</v>
      </c>
      <c r="B111" s="142">
        <f>VLOOKUP(A111,'Data Vlaue (Cr)'!C106:CW320,99,0)</f>
        <v>2513</v>
      </c>
      <c r="C111" s="90">
        <f>VLOOKUP(A111,'Data Vlaue (Cr)'!C106:CY320,101,0)</f>
        <v>-166</v>
      </c>
      <c r="D111" s="139">
        <f>VLOOKUP(A111,'Data Vlaue (Cr)'!C106:CZ320,102,0)</f>
        <v>-6.2E-2</v>
      </c>
      <c r="E111" s="91">
        <f>VLOOKUP($A111,'Data Vlaue (Cr)'!$C:$FB,75)</f>
        <v>1455</v>
      </c>
      <c r="F111" s="91">
        <f>VLOOKUP($A111,'Data Vlaue (Cr)'!$C:$FB,77)</f>
        <v>-28</v>
      </c>
      <c r="G111" s="92">
        <f>VLOOKUP(A111,'Data Vlaue (Cr)'!C106:CB320,78,0)</f>
        <v>-1.8800000000000001E-2</v>
      </c>
      <c r="H111" s="91">
        <f>VLOOKUP($A111,'Data Vlaue (Cr)'!$C:$FB,91)</f>
        <v>663</v>
      </c>
      <c r="I111" s="91">
        <f>VLOOKUP($A111,'Data Vlaue (Cr)'!$C:$FB,93)</f>
        <v>-141</v>
      </c>
      <c r="J111" s="92">
        <f>VLOOKUP($A111,'Data Vlaue (Cr)'!$C:$FB,94)</f>
        <v>-0.17560000000000001</v>
      </c>
      <c r="K111" s="91">
        <f>VLOOKUP($A111,'Data Vlaue (Cr)'!$C:$FB,95)</f>
        <v>395</v>
      </c>
      <c r="L111" s="91">
        <f>VLOOKUP($A111,'Data Vlaue (Cr)'!$C:$FB,97)</f>
        <v>3</v>
      </c>
      <c r="M111" s="92">
        <f>VLOOKUP($A111,'Data Vlaue (Cr)'!$C:$FB,98)</f>
        <v>7.7999999999999996E-3</v>
      </c>
      <c r="N111" s="91">
        <f>VLOOKUP($A111,'Data Vlaue (Cr)'!$C:$FB,79)</f>
        <v>205</v>
      </c>
      <c r="O111" s="92">
        <f>VLOOKUP($A111,'Data Vlaue (Cr)'!$C:$FB,82)</f>
        <v>-0.63890000000000002</v>
      </c>
    </row>
    <row r="112" spans="1:15" x14ac:dyDescent="0.25">
      <c r="A112" s="97" t="str">
        <f>'Data Vlaue (Cr)'!C107</f>
        <v>JIOFIN</v>
      </c>
      <c r="B112" s="142">
        <f>VLOOKUP(A112,'Data Vlaue (Cr)'!C107:CW321,99,0)</f>
        <v>8380</v>
      </c>
      <c r="C112" s="90">
        <f>VLOOKUP(A112,'Data Vlaue (Cr)'!C107:CY321,101,0)</f>
        <v>110</v>
      </c>
      <c r="D112" s="139">
        <f>VLOOKUP(A112,'Data Vlaue (Cr)'!C107:CZ321,102,0)</f>
        <v>1.34E-2</v>
      </c>
      <c r="E112" s="91">
        <f>VLOOKUP($A112,'Data Vlaue (Cr)'!$C:$FB,75)</f>
        <v>4690</v>
      </c>
      <c r="F112" s="91">
        <f>VLOOKUP($A112,'Data Vlaue (Cr)'!$C:$FB,77)</f>
        <v>107</v>
      </c>
      <c r="G112" s="92">
        <f>VLOOKUP(A112,'Data Vlaue (Cr)'!C107:CB321,78,0)</f>
        <v>2.3400000000000001E-2</v>
      </c>
      <c r="H112" s="91">
        <f>VLOOKUP($A112,'Data Vlaue (Cr)'!$C:$FB,91)</f>
        <v>2378</v>
      </c>
      <c r="I112" s="91">
        <f>VLOOKUP($A112,'Data Vlaue (Cr)'!$C:$FB,93)</f>
        <v>-10</v>
      </c>
      <c r="J112" s="92">
        <f>VLOOKUP($A112,'Data Vlaue (Cr)'!$C:$FB,94)</f>
        <v>-4.4000000000000003E-3</v>
      </c>
      <c r="K112" s="91">
        <f>VLOOKUP($A112,'Data Vlaue (Cr)'!$C:$FB,95)</f>
        <v>1312</v>
      </c>
      <c r="L112" s="91">
        <f>VLOOKUP($A112,'Data Vlaue (Cr)'!$C:$FB,97)</f>
        <v>14</v>
      </c>
      <c r="M112" s="92">
        <f>VLOOKUP($A112,'Data Vlaue (Cr)'!$C:$FB,98)</f>
        <v>1.04E-2</v>
      </c>
      <c r="N112" s="91">
        <f>VLOOKUP($A112,'Data Vlaue (Cr)'!$C:$FB,79)</f>
        <v>945</v>
      </c>
      <c r="O112" s="92">
        <f>VLOOKUP($A112,'Data Vlaue (Cr)'!$C:$FB,82)</f>
        <v>-0.505</v>
      </c>
    </row>
    <row r="113" spans="1:15" x14ac:dyDescent="0.25">
      <c r="A113" s="97" t="str">
        <f>'Data Vlaue (Cr)'!C108</f>
        <v>JSWENERGY</v>
      </c>
      <c r="B113" s="142">
        <f>VLOOKUP(A113,'Data Vlaue (Cr)'!C108:CW322,99,0)</f>
        <v>3062</v>
      </c>
      <c r="C113" s="90">
        <f>VLOOKUP(A113,'Data Vlaue (Cr)'!C108:CY322,101,0)</f>
        <v>91</v>
      </c>
      <c r="D113" s="139">
        <f>VLOOKUP(A113,'Data Vlaue (Cr)'!C108:CZ322,102,0)</f>
        <v>3.0599999999999999E-2</v>
      </c>
      <c r="E113" s="91">
        <f>VLOOKUP($A113,'Data Vlaue (Cr)'!$C:$FB,75)</f>
        <v>2107</v>
      </c>
      <c r="F113" s="91">
        <f>VLOOKUP($A113,'Data Vlaue (Cr)'!$C:$FB,77)</f>
        <v>156</v>
      </c>
      <c r="G113" s="92">
        <f>VLOOKUP(A113,'Data Vlaue (Cr)'!C108:CB322,78,0)</f>
        <v>7.9699999999999993E-2</v>
      </c>
      <c r="H113" s="91">
        <f>VLOOKUP($A113,'Data Vlaue (Cr)'!$C:$FB,91)</f>
        <v>695</v>
      </c>
      <c r="I113" s="91">
        <f>VLOOKUP($A113,'Data Vlaue (Cr)'!$C:$FB,93)</f>
        <v>-67</v>
      </c>
      <c r="J113" s="92">
        <f>VLOOKUP($A113,'Data Vlaue (Cr)'!$C:$FB,94)</f>
        <v>-8.7400000000000005E-2</v>
      </c>
      <c r="K113" s="91">
        <f>VLOOKUP($A113,'Data Vlaue (Cr)'!$C:$FB,95)</f>
        <v>260</v>
      </c>
      <c r="L113" s="91">
        <f>VLOOKUP($A113,'Data Vlaue (Cr)'!$C:$FB,97)</f>
        <v>2</v>
      </c>
      <c r="M113" s="92">
        <f>VLOOKUP($A113,'Data Vlaue (Cr)'!$C:$FB,98)</f>
        <v>8.0000000000000002E-3</v>
      </c>
      <c r="N113" s="91">
        <f>VLOOKUP($A113,'Data Vlaue (Cr)'!$C:$FB,79)</f>
        <v>331</v>
      </c>
      <c r="O113" s="92">
        <f>VLOOKUP($A113,'Data Vlaue (Cr)'!$C:$FB,82)</f>
        <v>-0.54679999999999995</v>
      </c>
    </row>
    <row r="114" spans="1:15" x14ac:dyDescent="0.25">
      <c r="A114" s="97" t="str">
        <f>'Data Vlaue (Cr)'!C109</f>
        <v>JSWSTEEL</v>
      </c>
      <c r="B114" s="142">
        <f>VLOOKUP(A114,'Data Vlaue (Cr)'!C109:CW323,99,0)</f>
        <v>7190</v>
      </c>
      <c r="C114" s="90">
        <f>VLOOKUP(A114,'Data Vlaue (Cr)'!C109:CY323,101,0)</f>
        <v>26</v>
      </c>
      <c r="D114" s="139">
        <f>VLOOKUP(A114,'Data Vlaue (Cr)'!C109:CZ323,102,0)</f>
        <v>3.5999999999999999E-3</v>
      </c>
      <c r="E114" s="91">
        <f>VLOOKUP($A114,'Data Vlaue (Cr)'!$C:$FB,75)</f>
        <v>5483</v>
      </c>
      <c r="F114" s="91">
        <f>VLOOKUP($A114,'Data Vlaue (Cr)'!$C:$FB,77)</f>
        <v>44</v>
      </c>
      <c r="G114" s="92">
        <f>VLOOKUP(A114,'Data Vlaue (Cr)'!C109:CB323,78,0)</f>
        <v>8.0999999999999996E-3</v>
      </c>
      <c r="H114" s="91">
        <f>VLOOKUP($A114,'Data Vlaue (Cr)'!$C:$FB,91)</f>
        <v>1075</v>
      </c>
      <c r="I114" s="91">
        <f>VLOOKUP($A114,'Data Vlaue (Cr)'!$C:$FB,93)</f>
        <v>-30</v>
      </c>
      <c r="J114" s="92">
        <f>VLOOKUP($A114,'Data Vlaue (Cr)'!$C:$FB,94)</f>
        <v>-2.7199999999999998E-2</v>
      </c>
      <c r="K114" s="91">
        <f>VLOOKUP($A114,'Data Vlaue (Cr)'!$C:$FB,95)</f>
        <v>632</v>
      </c>
      <c r="L114" s="91">
        <f>VLOOKUP($A114,'Data Vlaue (Cr)'!$C:$FB,97)</f>
        <v>12</v>
      </c>
      <c r="M114" s="92">
        <f>VLOOKUP($A114,'Data Vlaue (Cr)'!$C:$FB,98)</f>
        <v>1.9099999999999999E-2</v>
      </c>
      <c r="N114" s="91">
        <f>VLOOKUP($A114,'Data Vlaue (Cr)'!$C:$FB,79)</f>
        <v>738</v>
      </c>
      <c r="O114" s="92">
        <f>VLOOKUP($A114,'Data Vlaue (Cr)'!$C:$FB,82)</f>
        <v>-0.57950000000000002</v>
      </c>
    </row>
    <row r="115" spans="1:15" x14ac:dyDescent="0.25">
      <c r="A115" s="97" t="str">
        <f>'Data Vlaue (Cr)'!C110</f>
        <v>JUBLFOOD</v>
      </c>
      <c r="B115" s="142">
        <f>VLOOKUP(A115,'Data Vlaue (Cr)'!C110:CW324,99,0)</f>
        <v>2136</v>
      </c>
      <c r="C115" s="90">
        <f>VLOOKUP(A115,'Data Vlaue (Cr)'!C110:CY324,101,0)</f>
        <v>-154</v>
      </c>
      <c r="D115" s="139">
        <f>VLOOKUP(A115,'Data Vlaue (Cr)'!C110:CZ324,102,0)</f>
        <v>-6.7400000000000002E-2</v>
      </c>
      <c r="E115" s="91">
        <f>VLOOKUP($A115,'Data Vlaue (Cr)'!$C:$FB,75)</f>
        <v>1343</v>
      </c>
      <c r="F115" s="91">
        <f>VLOOKUP($A115,'Data Vlaue (Cr)'!$C:$FB,77)</f>
        <v>-40</v>
      </c>
      <c r="G115" s="92">
        <f>VLOOKUP(A115,'Data Vlaue (Cr)'!C110:CB324,78,0)</f>
        <v>-2.87E-2</v>
      </c>
      <c r="H115" s="91">
        <f>VLOOKUP($A115,'Data Vlaue (Cr)'!$C:$FB,91)</f>
        <v>498</v>
      </c>
      <c r="I115" s="91">
        <f>VLOOKUP($A115,'Data Vlaue (Cr)'!$C:$FB,93)</f>
        <v>-93</v>
      </c>
      <c r="J115" s="92">
        <f>VLOOKUP($A115,'Data Vlaue (Cr)'!$C:$FB,94)</f>
        <v>-0.1578</v>
      </c>
      <c r="K115" s="91">
        <f>VLOOKUP($A115,'Data Vlaue (Cr)'!$C:$FB,95)</f>
        <v>294</v>
      </c>
      <c r="L115" s="91">
        <f>VLOOKUP($A115,'Data Vlaue (Cr)'!$C:$FB,97)</f>
        <v>-21</v>
      </c>
      <c r="M115" s="92">
        <f>VLOOKUP($A115,'Data Vlaue (Cr)'!$C:$FB,98)</f>
        <v>-6.7599999999999993E-2</v>
      </c>
      <c r="N115" s="91">
        <f>VLOOKUP($A115,'Data Vlaue (Cr)'!$C:$FB,79)</f>
        <v>216</v>
      </c>
      <c r="O115" s="92">
        <f>VLOOKUP($A115,'Data Vlaue (Cr)'!$C:$FB,82)</f>
        <v>-0.64259999999999995</v>
      </c>
    </row>
    <row r="116" spans="1:15" x14ac:dyDescent="0.25">
      <c r="A116" s="97" t="str">
        <f>'Data Vlaue (Cr)'!C111</f>
        <v>KALYANKJIL</v>
      </c>
      <c r="B116" s="142">
        <f>VLOOKUP(A116,'Data Vlaue (Cr)'!C111:CW325,99,0)</f>
        <v>2427</v>
      </c>
      <c r="C116" s="90">
        <f>VLOOKUP(A116,'Data Vlaue (Cr)'!C111:CY325,101,0)</f>
        <v>-146</v>
      </c>
      <c r="D116" s="139">
        <f>VLOOKUP(A116,'Data Vlaue (Cr)'!C111:CZ325,102,0)</f>
        <v>-5.6800000000000003E-2</v>
      </c>
      <c r="E116" s="91">
        <f>VLOOKUP($A116,'Data Vlaue (Cr)'!$C:$FB,75)</f>
        <v>1551</v>
      </c>
      <c r="F116" s="91">
        <f>VLOOKUP($A116,'Data Vlaue (Cr)'!$C:$FB,77)</f>
        <v>24</v>
      </c>
      <c r="G116" s="92">
        <f>VLOOKUP(A116,'Data Vlaue (Cr)'!C111:CB325,78,0)</f>
        <v>1.5800000000000002E-2</v>
      </c>
      <c r="H116" s="91">
        <f>VLOOKUP($A116,'Data Vlaue (Cr)'!$C:$FB,91)</f>
        <v>500</v>
      </c>
      <c r="I116" s="91">
        <f>VLOOKUP($A116,'Data Vlaue (Cr)'!$C:$FB,93)</f>
        <v>-149</v>
      </c>
      <c r="J116" s="92">
        <f>VLOOKUP($A116,'Data Vlaue (Cr)'!$C:$FB,94)</f>
        <v>-0.2301</v>
      </c>
      <c r="K116" s="91">
        <f>VLOOKUP($A116,'Data Vlaue (Cr)'!$C:$FB,95)</f>
        <v>377</v>
      </c>
      <c r="L116" s="91">
        <f>VLOOKUP($A116,'Data Vlaue (Cr)'!$C:$FB,97)</f>
        <v>-21</v>
      </c>
      <c r="M116" s="92">
        <f>VLOOKUP($A116,'Data Vlaue (Cr)'!$C:$FB,98)</f>
        <v>-5.2699999999999997E-2</v>
      </c>
      <c r="N116" s="91">
        <f>VLOOKUP($A116,'Data Vlaue (Cr)'!$C:$FB,79)</f>
        <v>228</v>
      </c>
      <c r="O116" s="92">
        <f>VLOOKUP($A116,'Data Vlaue (Cr)'!$C:$FB,82)</f>
        <v>-0.67549999999999999</v>
      </c>
    </row>
    <row r="117" spans="1:15" x14ac:dyDescent="0.25">
      <c r="A117" s="97" t="str">
        <f>'Data Vlaue (Cr)'!C112</f>
        <v>KAYNES</v>
      </c>
      <c r="B117" s="142">
        <f>VLOOKUP(A117,'Data Vlaue (Cr)'!C112:CW326,99,0)</f>
        <v>2456</v>
      </c>
      <c r="C117" s="90">
        <f>VLOOKUP(A117,'Data Vlaue (Cr)'!C112:CY326,101,0)</f>
        <v>-304</v>
      </c>
      <c r="D117" s="139">
        <f>VLOOKUP(A117,'Data Vlaue (Cr)'!C112:CZ326,102,0)</f>
        <v>-0.1101</v>
      </c>
      <c r="E117" s="91">
        <f>VLOOKUP($A117,'Data Vlaue (Cr)'!$C:$FB,75)</f>
        <v>835</v>
      </c>
      <c r="F117" s="91">
        <f>VLOOKUP($A117,'Data Vlaue (Cr)'!$C:$FB,77)</f>
        <v>-55</v>
      </c>
      <c r="G117" s="92">
        <f>VLOOKUP(A117,'Data Vlaue (Cr)'!C112:CB326,78,0)</f>
        <v>-6.1600000000000002E-2</v>
      </c>
      <c r="H117" s="91">
        <f>VLOOKUP($A117,'Data Vlaue (Cr)'!$C:$FB,91)</f>
        <v>1150</v>
      </c>
      <c r="I117" s="91">
        <f>VLOOKUP($A117,'Data Vlaue (Cr)'!$C:$FB,93)</f>
        <v>-179</v>
      </c>
      <c r="J117" s="92">
        <f>VLOOKUP($A117,'Data Vlaue (Cr)'!$C:$FB,94)</f>
        <v>-0.1348</v>
      </c>
      <c r="K117" s="91">
        <f>VLOOKUP($A117,'Data Vlaue (Cr)'!$C:$FB,95)</f>
        <v>472</v>
      </c>
      <c r="L117" s="91">
        <f>VLOOKUP($A117,'Data Vlaue (Cr)'!$C:$FB,97)</f>
        <v>-70</v>
      </c>
      <c r="M117" s="92">
        <f>VLOOKUP($A117,'Data Vlaue (Cr)'!$C:$FB,98)</f>
        <v>-0.1293</v>
      </c>
      <c r="N117" s="91">
        <f>VLOOKUP($A117,'Data Vlaue (Cr)'!$C:$FB,79)</f>
        <v>247</v>
      </c>
      <c r="O117" s="92">
        <f>VLOOKUP($A117,'Data Vlaue (Cr)'!$C:$FB,82)</f>
        <v>-0.4395</v>
      </c>
    </row>
    <row r="118" spans="1:15" x14ac:dyDescent="0.25">
      <c r="A118" s="97" t="str">
        <f>'Data Vlaue (Cr)'!C113</f>
        <v>KEI</v>
      </c>
      <c r="B118" s="142">
        <f>VLOOKUP(A118,'Data Vlaue (Cr)'!C113:CW327,99,0)</f>
        <v>1258</v>
      </c>
      <c r="C118" s="90">
        <f>VLOOKUP(A118,'Data Vlaue (Cr)'!C113:CY327,101,0)</f>
        <v>-199</v>
      </c>
      <c r="D118" s="139">
        <f>VLOOKUP(A118,'Data Vlaue (Cr)'!C113:CZ327,102,0)</f>
        <v>-0.13669999999999999</v>
      </c>
      <c r="E118" s="91">
        <f>VLOOKUP($A118,'Data Vlaue (Cr)'!$C:$FB,75)</f>
        <v>548</v>
      </c>
      <c r="F118" s="91">
        <f>VLOOKUP($A118,'Data Vlaue (Cr)'!$C:$FB,77)</f>
        <v>-52</v>
      </c>
      <c r="G118" s="92">
        <f>VLOOKUP(A118,'Data Vlaue (Cr)'!C113:CB327,78,0)</f>
        <v>-8.6999999999999994E-2</v>
      </c>
      <c r="H118" s="91">
        <f>VLOOKUP($A118,'Data Vlaue (Cr)'!$C:$FB,91)</f>
        <v>520</v>
      </c>
      <c r="I118" s="91">
        <f>VLOOKUP($A118,'Data Vlaue (Cr)'!$C:$FB,93)</f>
        <v>-96</v>
      </c>
      <c r="J118" s="92">
        <f>VLOOKUP($A118,'Data Vlaue (Cr)'!$C:$FB,94)</f>
        <v>-0.15540000000000001</v>
      </c>
      <c r="K118" s="91">
        <f>VLOOKUP($A118,'Data Vlaue (Cr)'!$C:$FB,95)</f>
        <v>190</v>
      </c>
      <c r="L118" s="91">
        <f>VLOOKUP($A118,'Data Vlaue (Cr)'!$C:$FB,97)</f>
        <v>-51</v>
      </c>
      <c r="M118" s="92">
        <f>VLOOKUP($A118,'Data Vlaue (Cr)'!$C:$FB,98)</f>
        <v>-0.2127</v>
      </c>
      <c r="N118" s="91">
        <f>VLOOKUP($A118,'Data Vlaue (Cr)'!$C:$FB,79)</f>
        <v>124</v>
      </c>
      <c r="O118" s="92">
        <f>VLOOKUP($A118,'Data Vlaue (Cr)'!$C:$FB,82)</f>
        <v>-0.46429999999999999</v>
      </c>
    </row>
    <row r="119" spans="1:15" x14ac:dyDescent="0.25">
      <c r="A119" s="97" t="str">
        <f>'Data Vlaue (Cr)'!C114</f>
        <v>KFINTECH</v>
      </c>
      <c r="B119" s="142">
        <f>VLOOKUP(A119,'Data Vlaue (Cr)'!C114:CW328,99,0)</f>
        <v>928</v>
      </c>
      <c r="C119" s="90">
        <f>VLOOKUP(A119,'Data Vlaue (Cr)'!C114:CY328,101,0)</f>
        <v>94</v>
      </c>
      <c r="D119" s="139">
        <f>VLOOKUP(A119,'Data Vlaue (Cr)'!C114:CZ328,102,0)</f>
        <v>0.1123</v>
      </c>
      <c r="E119" s="91">
        <f>VLOOKUP($A119,'Data Vlaue (Cr)'!$C:$FB,75)</f>
        <v>327</v>
      </c>
      <c r="F119" s="91">
        <f>VLOOKUP($A119,'Data Vlaue (Cr)'!$C:$FB,77)</f>
        <v>-26</v>
      </c>
      <c r="G119" s="92">
        <f>VLOOKUP(A119,'Data Vlaue (Cr)'!C114:CB328,78,0)</f>
        <v>-7.2300000000000003E-2</v>
      </c>
      <c r="H119" s="91">
        <f>VLOOKUP($A119,'Data Vlaue (Cr)'!$C:$FB,91)</f>
        <v>368</v>
      </c>
      <c r="I119" s="91">
        <f>VLOOKUP($A119,'Data Vlaue (Cr)'!$C:$FB,93)</f>
        <v>88</v>
      </c>
      <c r="J119" s="92">
        <f>VLOOKUP($A119,'Data Vlaue (Cr)'!$C:$FB,94)</f>
        <v>0.31390000000000001</v>
      </c>
      <c r="K119" s="91">
        <f>VLOOKUP($A119,'Data Vlaue (Cr)'!$C:$FB,95)</f>
        <v>233</v>
      </c>
      <c r="L119" s="91">
        <f>VLOOKUP($A119,'Data Vlaue (Cr)'!$C:$FB,97)</f>
        <v>31</v>
      </c>
      <c r="M119" s="92">
        <f>VLOOKUP($A119,'Data Vlaue (Cr)'!$C:$FB,98)</f>
        <v>0.1555</v>
      </c>
      <c r="N119" s="91">
        <f>VLOOKUP($A119,'Data Vlaue (Cr)'!$C:$FB,79)</f>
        <v>58</v>
      </c>
      <c r="O119" s="92">
        <f>VLOOKUP($A119,'Data Vlaue (Cr)'!$C:$FB,82)</f>
        <v>-0.60070000000000001</v>
      </c>
    </row>
    <row r="120" spans="1:15" x14ac:dyDescent="0.25">
      <c r="A120" s="97" t="str">
        <f>'Data Vlaue (Cr)'!C115</f>
        <v>KOTAKBANK</v>
      </c>
      <c r="B120" s="142">
        <f>VLOOKUP(A120,'Data Vlaue (Cr)'!C115:CW329,99,0)</f>
        <v>11348</v>
      </c>
      <c r="C120" s="90">
        <f>VLOOKUP(A120,'Data Vlaue (Cr)'!C115:CY329,101,0)</f>
        <v>-94</v>
      </c>
      <c r="D120" s="139">
        <f>VLOOKUP(A120,'Data Vlaue (Cr)'!C115:CZ329,102,0)</f>
        <v>-8.3000000000000001E-3</v>
      </c>
      <c r="E120" s="91">
        <f>VLOOKUP($A120,'Data Vlaue (Cr)'!$C:$FB,75)</f>
        <v>6822</v>
      </c>
      <c r="F120" s="91">
        <f>VLOOKUP($A120,'Data Vlaue (Cr)'!$C:$FB,77)</f>
        <v>61</v>
      </c>
      <c r="G120" s="92">
        <f>VLOOKUP(A120,'Data Vlaue (Cr)'!C115:CB329,78,0)</f>
        <v>8.9999999999999993E-3</v>
      </c>
      <c r="H120" s="91">
        <f>VLOOKUP($A120,'Data Vlaue (Cr)'!$C:$FB,91)</f>
        <v>2476</v>
      </c>
      <c r="I120" s="91">
        <f>VLOOKUP($A120,'Data Vlaue (Cr)'!$C:$FB,93)</f>
        <v>185</v>
      </c>
      <c r="J120" s="92">
        <f>VLOOKUP($A120,'Data Vlaue (Cr)'!$C:$FB,94)</f>
        <v>8.1000000000000003E-2</v>
      </c>
      <c r="K120" s="91">
        <f>VLOOKUP($A120,'Data Vlaue (Cr)'!$C:$FB,95)</f>
        <v>2051</v>
      </c>
      <c r="L120" s="91">
        <f>VLOOKUP($A120,'Data Vlaue (Cr)'!$C:$FB,97)</f>
        <v>-341</v>
      </c>
      <c r="M120" s="92">
        <f>VLOOKUP($A120,'Data Vlaue (Cr)'!$C:$FB,98)</f>
        <v>-0.1426</v>
      </c>
      <c r="N120" s="91">
        <f>VLOOKUP($A120,'Data Vlaue (Cr)'!$C:$FB,79)</f>
        <v>1264</v>
      </c>
      <c r="O120" s="92">
        <f>VLOOKUP($A120,'Data Vlaue (Cr)'!$C:$FB,82)</f>
        <v>-0.58240000000000003</v>
      </c>
    </row>
    <row r="121" spans="1:15" x14ac:dyDescent="0.25">
      <c r="A121" s="97" t="str">
        <f>'Data Vlaue (Cr)'!C116</f>
        <v>KPITTECH</v>
      </c>
      <c r="B121" s="142">
        <f>VLOOKUP(A121,'Data Vlaue (Cr)'!C116:CW330,99,0)</f>
        <v>921</v>
      </c>
      <c r="C121" s="90">
        <f>VLOOKUP(A121,'Data Vlaue (Cr)'!C116:CY330,101,0)</f>
        <v>-109</v>
      </c>
      <c r="D121" s="139">
        <f>VLOOKUP(A121,'Data Vlaue (Cr)'!C116:CZ330,102,0)</f>
        <v>-0.1055</v>
      </c>
      <c r="E121" s="91">
        <f>VLOOKUP($A121,'Data Vlaue (Cr)'!$C:$FB,75)</f>
        <v>516</v>
      </c>
      <c r="F121" s="91">
        <f>VLOOKUP($A121,'Data Vlaue (Cr)'!$C:$FB,77)</f>
        <v>-9</v>
      </c>
      <c r="G121" s="92">
        <f>VLOOKUP(A121,'Data Vlaue (Cr)'!C116:CB330,78,0)</f>
        <v>-1.6400000000000001E-2</v>
      </c>
      <c r="H121" s="91">
        <f>VLOOKUP($A121,'Data Vlaue (Cr)'!$C:$FB,91)</f>
        <v>227</v>
      </c>
      <c r="I121" s="91">
        <f>VLOOKUP($A121,'Data Vlaue (Cr)'!$C:$FB,93)</f>
        <v>-103</v>
      </c>
      <c r="J121" s="92">
        <f>VLOOKUP($A121,'Data Vlaue (Cr)'!$C:$FB,94)</f>
        <v>-0.31209999999999999</v>
      </c>
      <c r="K121" s="91">
        <f>VLOOKUP($A121,'Data Vlaue (Cr)'!$C:$FB,95)</f>
        <v>178</v>
      </c>
      <c r="L121" s="91">
        <f>VLOOKUP($A121,'Data Vlaue (Cr)'!$C:$FB,97)</f>
        <v>3</v>
      </c>
      <c r="M121" s="92">
        <f>VLOOKUP($A121,'Data Vlaue (Cr)'!$C:$FB,98)</f>
        <v>1.77E-2</v>
      </c>
      <c r="N121" s="91">
        <f>VLOOKUP($A121,'Data Vlaue (Cr)'!$C:$FB,79)</f>
        <v>70</v>
      </c>
      <c r="O121" s="92">
        <f>VLOOKUP($A121,'Data Vlaue (Cr)'!$C:$FB,82)</f>
        <v>-0.62539999999999996</v>
      </c>
    </row>
    <row r="122" spans="1:15" x14ac:dyDescent="0.25">
      <c r="A122" s="97" t="str">
        <f>'Data Vlaue (Cr)'!C117</f>
        <v>LAURUSLABS</v>
      </c>
      <c r="B122" s="142">
        <f>VLOOKUP(A122,'Data Vlaue (Cr)'!C117:CW331,99,0)</f>
        <v>5246</v>
      </c>
      <c r="C122" s="90">
        <f>VLOOKUP(A122,'Data Vlaue (Cr)'!C117:CY331,101,0)</f>
        <v>-528</v>
      </c>
      <c r="D122" s="139">
        <f>VLOOKUP(A122,'Data Vlaue (Cr)'!C117:CZ331,102,0)</f>
        <v>-9.1399999999999995E-2</v>
      </c>
      <c r="E122" s="91">
        <f>VLOOKUP($A122,'Data Vlaue (Cr)'!$C:$FB,75)</f>
        <v>2236</v>
      </c>
      <c r="F122" s="91">
        <f>VLOOKUP($A122,'Data Vlaue (Cr)'!$C:$FB,77)</f>
        <v>-81</v>
      </c>
      <c r="G122" s="92">
        <f>VLOOKUP(A122,'Data Vlaue (Cr)'!C117:CB331,78,0)</f>
        <v>-3.5000000000000003E-2</v>
      </c>
      <c r="H122" s="91">
        <f>VLOOKUP($A122,'Data Vlaue (Cr)'!$C:$FB,91)</f>
        <v>1764</v>
      </c>
      <c r="I122" s="91">
        <f>VLOOKUP($A122,'Data Vlaue (Cr)'!$C:$FB,93)</f>
        <v>-368</v>
      </c>
      <c r="J122" s="92">
        <f>VLOOKUP($A122,'Data Vlaue (Cr)'!$C:$FB,94)</f>
        <v>-0.1726</v>
      </c>
      <c r="K122" s="91">
        <f>VLOOKUP($A122,'Data Vlaue (Cr)'!$C:$FB,95)</f>
        <v>1245</v>
      </c>
      <c r="L122" s="91">
        <f>VLOOKUP($A122,'Data Vlaue (Cr)'!$C:$FB,97)</f>
        <v>-78</v>
      </c>
      <c r="M122" s="92">
        <f>VLOOKUP($A122,'Data Vlaue (Cr)'!$C:$FB,98)</f>
        <v>-5.9200000000000003E-2</v>
      </c>
      <c r="N122" s="91">
        <f>VLOOKUP($A122,'Data Vlaue (Cr)'!$C:$FB,79)</f>
        <v>593</v>
      </c>
      <c r="O122" s="92">
        <f>VLOOKUP($A122,'Data Vlaue (Cr)'!$C:$FB,82)</f>
        <v>-0.44350000000000001</v>
      </c>
    </row>
    <row r="123" spans="1:15" x14ac:dyDescent="0.25">
      <c r="A123" s="97" t="str">
        <f>'Data Vlaue (Cr)'!C118</f>
        <v>LICHSGFIN</v>
      </c>
      <c r="B123" s="142">
        <f>VLOOKUP(A123,'Data Vlaue (Cr)'!C118:CW332,99,0)</f>
        <v>2802</v>
      </c>
      <c r="C123" s="90">
        <f>VLOOKUP(A123,'Data Vlaue (Cr)'!C118:CY332,101,0)</f>
        <v>6</v>
      </c>
      <c r="D123" s="139">
        <f>VLOOKUP(A123,'Data Vlaue (Cr)'!C118:CZ332,102,0)</f>
        <v>2.3E-3</v>
      </c>
      <c r="E123" s="91">
        <f>VLOOKUP($A123,'Data Vlaue (Cr)'!$C:$FB,75)</f>
        <v>1855</v>
      </c>
      <c r="F123" s="91">
        <f>VLOOKUP($A123,'Data Vlaue (Cr)'!$C:$FB,77)</f>
        <v>0</v>
      </c>
      <c r="G123" s="92">
        <f>VLOOKUP(A123,'Data Vlaue (Cr)'!C118:CB332,78,0)</f>
        <v>-1E-4</v>
      </c>
      <c r="H123" s="91">
        <f>VLOOKUP($A123,'Data Vlaue (Cr)'!$C:$FB,91)</f>
        <v>526</v>
      </c>
      <c r="I123" s="91">
        <f>VLOOKUP($A123,'Data Vlaue (Cr)'!$C:$FB,93)</f>
        <v>-25</v>
      </c>
      <c r="J123" s="92">
        <f>VLOOKUP($A123,'Data Vlaue (Cr)'!$C:$FB,94)</f>
        <v>-4.4600000000000001E-2</v>
      </c>
      <c r="K123" s="91">
        <f>VLOOKUP($A123,'Data Vlaue (Cr)'!$C:$FB,95)</f>
        <v>420</v>
      </c>
      <c r="L123" s="91">
        <f>VLOOKUP($A123,'Data Vlaue (Cr)'!$C:$FB,97)</f>
        <v>31</v>
      </c>
      <c r="M123" s="92">
        <f>VLOOKUP($A123,'Data Vlaue (Cr)'!$C:$FB,98)</f>
        <v>0.08</v>
      </c>
      <c r="N123" s="91">
        <f>VLOOKUP($A123,'Data Vlaue (Cr)'!$C:$FB,79)</f>
        <v>304</v>
      </c>
      <c r="O123" s="92">
        <f>VLOOKUP($A123,'Data Vlaue (Cr)'!$C:$FB,82)</f>
        <v>-0.69269999999999998</v>
      </c>
    </row>
    <row r="124" spans="1:15" x14ac:dyDescent="0.25">
      <c r="A124" s="97" t="str">
        <f>'Data Vlaue (Cr)'!C119</f>
        <v>LICI</v>
      </c>
      <c r="B124" s="142">
        <f>VLOOKUP(A124,'Data Vlaue (Cr)'!C119:CW333,99,0)</f>
        <v>1304</v>
      </c>
      <c r="C124" s="90">
        <f>VLOOKUP(A124,'Data Vlaue (Cr)'!C119:CY333,101,0)</f>
        <v>-81</v>
      </c>
      <c r="D124" s="139">
        <f>VLOOKUP(A124,'Data Vlaue (Cr)'!C119:CZ333,102,0)</f>
        <v>-5.8599999999999999E-2</v>
      </c>
      <c r="E124" s="91">
        <f>VLOOKUP($A124,'Data Vlaue (Cr)'!$C:$FB,75)</f>
        <v>740</v>
      </c>
      <c r="F124" s="91">
        <f>VLOOKUP($A124,'Data Vlaue (Cr)'!$C:$FB,77)</f>
        <v>-54</v>
      </c>
      <c r="G124" s="92">
        <f>VLOOKUP(A124,'Data Vlaue (Cr)'!C119:CB333,78,0)</f>
        <v>-6.7599999999999993E-2</v>
      </c>
      <c r="H124" s="91">
        <f>VLOOKUP($A124,'Data Vlaue (Cr)'!$C:$FB,91)</f>
        <v>366</v>
      </c>
      <c r="I124" s="91">
        <f>VLOOKUP($A124,'Data Vlaue (Cr)'!$C:$FB,93)</f>
        <v>-29</v>
      </c>
      <c r="J124" s="92">
        <f>VLOOKUP($A124,'Data Vlaue (Cr)'!$C:$FB,94)</f>
        <v>-7.3099999999999998E-2</v>
      </c>
      <c r="K124" s="91">
        <f>VLOOKUP($A124,'Data Vlaue (Cr)'!$C:$FB,95)</f>
        <v>198</v>
      </c>
      <c r="L124" s="91">
        <f>VLOOKUP($A124,'Data Vlaue (Cr)'!$C:$FB,97)</f>
        <v>1</v>
      </c>
      <c r="M124" s="92">
        <f>VLOOKUP($A124,'Data Vlaue (Cr)'!$C:$FB,98)</f>
        <v>6.7000000000000002E-3</v>
      </c>
      <c r="N124" s="91">
        <f>VLOOKUP($A124,'Data Vlaue (Cr)'!$C:$FB,79)</f>
        <v>161</v>
      </c>
      <c r="O124" s="92">
        <f>VLOOKUP($A124,'Data Vlaue (Cr)'!$C:$FB,82)</f>
        <v>-0.5383</v>
      </c>
    </row>
    <row r="125" spans="1:15" x14ac:dyDescent="0.25">
      <c r="A125" s="97" t="str">
        <f>'Data Vlaue (Cr)'!C120</f>
        <v>LODHA</v>
      </c>
      <c r="B125" s="142">
        <f>VLOOKUP(A125,'Data Vlaue (Cr)'!C120:CW334,99,0)</f>
        <v>1961</v>
      </c>
      <c r="C125" s="90">
        <f>VLOOKUP(A125,'Data Vlaue (Cr)'!C120:CY334,101,0)</f>
        <v>-4</v>
      </c>
      <c r="D125" s="139">
        <f>VLOOKUP(A125,'Data Vlaue (Cr)'!C120:CZ334,102,0)</f>
        <v>-1.9E-3</v>
      </c>
      <c r="E125" s="91">
        <f>VLOOKUP($A125,'Data Vlaue (Cr)'!$C:$FB,75)</f>
        <v>1358</v>
      </c>
      <c r="F125" s="91">
        <f>VLOOKUP($A125,'Data Vlaue (Cr)'!$C:$FB,77)</f>
        <v>-5</v>
      </c>
      <c r="G125" s="92">
        <f>VLOOKUP(A125,'Data Vlaue (Cr)'!C120:CB334,78,0)</f>
        <v>-3.3999999999999998E-3</v>
      </c>
      <c r="H125" s="91">
        <f>VLOOKUP($A125,'Data Vlaue (Cr)'!$C:$FB,91)</f>
        <v>382</v>
      </c>
      <c r="I125" s="91">
        <f>VLOOKUP($A125,'Data Vlaue (Cr)'!$C:$FB,93)</f>
        <v>-6</v>
      </c>
      <c r="J125" s="92">
        <f>VLOOKUP($A125,'Data Vlaue (Cr)'!$C:$FB,94)</f>
        <v>-1.4500000000000001E-2</v>
      </c>
      <c r="K125" s="91">
        <f>VLOOKUP($A125,'Data Vlaue (Cr)'!$C:$FB,95)</f>
        <v>221</v>
      </c>
      <c r="L125" s="91">
        <f>VLOOKUP($A125,'Data Vlaue (Cr)'!$C:$FB,97)</f>
        <v>6</v>
      </c>
      <c r="M125" s="92">
        <f>VLOOKUP($A125,'Data Vlaue (Cr)'!$C:$FB,98)</f>
        <v>2.98E-2</v>
      </c>
      <c r="N125" s="91">
        <f>VLOOKUP($A125,'Data Vlaue (Cr)'!$C:$FB,79)</f>
        <v>266</v>
      </c>
      <c r="O125" s="92">
        <f>VLOOKUP($A125,'Data Vlaue (Cr)'!$C:$FB,82)</f>
        <v>-0.59330000000000005</v>
      </c>
    </row>
    <row r="126" spans="1:15" x14ac:dyDescent="0.25">
      <c r="A126" s="97" t="str">
        <f>'Data Vlaue (Cr)'!C121</f>
        <v>LT</v>
      </c>
      <c r="B126" s="142">
        <f>VLOOKUP(A126,'Data Vlaue (Cr)'!C121:CW335,99,0)</f>
        <v>12424</v>
      </c>
      <c r="C126" s="90">
        <f>VLOOKUP(A126,'Data Vlaue (Cr)'!C121:CY335,101,0)</f>
        <v>128</v>
      </c>
      <c r="D126" s="139">
        <f>VLOOKUP(A126,'Data Vlaue (Cr)'!C121:CZ335,102,0)</f>
        <v>1.04E-2</v>
      </c>
      <c r="E126" s="91">
        <f>VLOOKUP($A126,'Data Vlaue (Cr)'!$C:$FB,75)</f>
        <v>6946</v>
      </c>
      <c r="F126" s="91">
        <f>VLOOKUP($A126,'Data Vlaue (Cr)'!$C:$FB,77)</f>
        <v>251</v>
      </c>
      <c r="G126" s="92">
        <f>VLOOKUP(A126,'Data Vlaue (Cr)'!C121:CB335,78,0)</f>
        <v>3.7600000000000001E-2</v>
      </c>
      <c r="H126" s="91">
        <f>VLOOKUP($A126,'Data Vlaue (Cr)'!$C:$FB,91)</f>
        <v>3320</v>
      </c>
      <c r="I126" s="91">
        <f>VLOOKUP($A126,'Data Vlaue (Cr)'!$C:$FB,93)</f>
        <v>-83</v>
      </c>
      <c r="J126" s="92">
        <f>VLOOKUP($A126,'Data Vlaue (Cr)'!$C:$FB,94)</f>
        <v>-2.4500000000000001E-2</v>
      </c>
      <c r="K126" s="91">
        <f>VLOOKUP($A126,'Data Vlaue (Cr)'!$C:$FB,95)</f>
        <v>2158</v>
      </c>
      <c r="L126" s="91">
        <f>VLOOKUP($A126,'Data Vlaue (Cr)'!$C:$FB,97)</f>
        <v>-40</v>
      </c>
      <c r="M126" s="92">
        <f>VLOOKUP($A126,'Data Vlaue (Cr)'!$C:$FB,98)</f>
        <v>-1.84E-2</v>
      </c>
      <c r="N126" s="91">
        <f>VLOOKUP($A126,'Data Vlaue (Cr)'!$C:$FB,79)</f>
        <v>2071</v>
      </c>
      <c r="O126" s="92">
        <f>VLOOKUP($A126,'Data Vlaue (Cr)'!$C:$FB,82)</f>
        <v>-0.38329999999999997</v>
      </c>
    </row>
    <row r="127" spans="1:15" x14ac:dyDescent="0.25">
      <c r="A127" s="97" t="str">
        <f>'Data Vlaue (Cr)'!C122</f>
        <v>LTF</v>
      </c>
      <c r="B127" s="142">
        <f>VLOOKUP(A127,'Data Vlaue (Cr)'!C122:CW336,99,0)</f>
        <v>2805</v>
      </c>
      <c r="C127" s="90">
        <f>VLOOKUP(A127,'Data Vlaue (Cr)'!C122:CY336,101,0)</f>
        <v>-81</v>
      </c>
      <c r="D127" s="139">
        <f>VLOOKUP(A127,'Data Vlaue (Cr)'!C122:CZ336,102,0)</f>
        <v>-2.8199999999999999E-2</v>
      </c>
      <c r="E127" s="91">
        <f>VLOOKUP($A127,'Data Vlaue (Cr)'!$C:$FB,75)</f>
        <v>1289</v>
      </c>
      <c r="F127" s="91">
        <f>VLOOKUP($A127,'Data Vlaue (Cr)'!$C:$FB,77)</f>
        <v>-30</v>
      </c>
      <c r="G127" s="92">
        <f>VLOOKUP(A127,'Data Vlaue (Cr)'!C122:CB336,78,0)</f>
        <v>-2.24E-2</v>
      </c>
      <c r="H127" s="91">
        <f>VLOOKUP($A127,'Data Vlaue (Cr)'!$C:$FB,91)</f>
        <v>785</v>
      </c>
      <c r="I127" s="91">
        <f>VLOOKUP($A127,'Data Vlaue (Cr)'!$C:$FB,93)</f>
        <v>-36</v>
      </c>
      <c r="J127" s="92">
        <f>VLOOKUP($A127,'Data Vlaue (Cr)'!$C:$FB,94)</f>
        <v>-4.3499999999999997E-2</v>
      </c>
      <c r="K127" s="91">
        <f>VLOOKUP($A127,'Data Vlaue (Cr)'!$C:$FB,95)</f>
        <v>732</v>
      </c>
      <c r="L127" s="91">
        <f>VLOOKUP($A127,'Data Vlaue (Cr)'!$C:$FB,97)</f>
        <v>-16</v>
      </c>
      <c r="M127" s="92">
        <f>VLOOKUP($A127,'Data Vlaue (Cr)'!$C:$FB,98)</f>
        <v>-2.1499999999999998E-2</v>
      </c>
      <c r="N127" s="91">
        <f>VLOOKUP($A127,'Data Vlaue (Cr)'!$C:$FB,79)</f>
        <v>169</v>
      </c>
      <c r="O127" s="92">
        <f>VLOOKUP($A127,'Data Vlaue (Cr)'!$C:$FB,82)</f>
        <v>-0.59930000000000005</v>
      </c>
    </row>
    <row r="128" spans="1:15" x14ac:dyDescent="0.25">
      <c r="A128" s="97" t="str">
        <f>'Data Vlaue (Cr)'!C123</f>
        <v>LTIM</v>
      </c>
      <c r="B128" s="142">
        <f>VLOOKUP(A128,'Data Vlaue (Cr)'!C123:CW337,99,0)</f>
        <v>2834</v>
      </c>
      <c r="C128" s="90">
        <f>VLOOKUP(A128,'Data Vlaue (Cr)'!C123:CY337,101,0)</f>
        <v>-365</v>
      </c>
      <c r="D128" s="139">
        <f>VLOOKUP(A128,'Data Vlaue (Cr)'!C123:CZ337,102,0)</f>
        <v>-0.114</v>
      </c>
      <c r="E128" s="91">
        <f>VLOOKUP($A128,'Data Vlaue (Cr)'!$C:$FB,75)</f>
        <v>1470</v>
      </c>
      <c r="F128" s="91">
        <f>VLOOKUP($A128,'Data Vlaue (Cr)'!$C:$FB,77)</f>
        <v>-177</v>
      </c>
      <c r="G128" s="92">
        <f>VLOOKUP(A128,'Data Vlaue (Cr)'!C123:CB337,78,0)</f>
        <v>-0.1074</v>
      </c>
      <c r="H128" s="91">
        <f>VLOOKUP($A128,'Data Vlaue (Cr)'!$C:$FB,91)</f>
        <v>796</v>
      </c>
      <c r="I128" s="91">
        <f>VLOOKUP($A128,'Data Vlaue (Cr)'!$C:$FB,93)</f>
        <v>-182</v>
      </c>
      <c r="J128" s="92">
        <f>VLOOKUP($A128,'Data Vlaue (Cr)'!$C:$FB,94)</f>
        <v>-0.18579999999999999</v>
      </c>
      <c r="K128" s="91">
        <f>VLOOKUP($A128,'Data Vlaue (Cr)'!$C:$FB,95)</f>
        <v>568</v>
      </c>
      <c r="L128" s="91">
        <f>VLOOKUP($A128,'Data Vlaue (Cr)'!$C:$FB,97)</f>
        <v>-6</v>
      </c>
      <c r="M128" s="92">
        <f>VLOOKUP($A128,'Data Vlaue (Cr)'!$C:$FB,98)</f>
        <v>-1.06E-2</v>
      </c>
      <c r="N128" s="91">
        <f>VLOOKUP($A128,'Data Vlaue (Cr)'!$C:$FB,79)</f>
        <v>350</v>
      </c>
      <c r="O128" s="92">
        <f>VLOOKUP($A128,'Data Vlaue (Cr)'!$C:$FB,82)</f>
        <v>-0.46250000000000002</v>
      </c>
    </row>
    <row r="129" spans="1:15" x14ac:dyDescent="0.25">
      <c r="A129" s="97" t="str">
        <f>'Data Vlaue (Cr)'!C124</f>
        <v>LUPIN</v>
      </c>
      <c r="B129" s="142">
        <f>VLOOKUP(A129,'Data Vlaue (Cr)'!C124:CW338,99,0)</f>
        <v>3353</v>
      </c>
      <c r="C129" s="90">
        <f>VLOOKUP(A129,'Data Vlaue (Cr)'!C124:CY338,101,0)</f>
        <v>-34</v>
      </c>
      <c r="D129" s="139">
        <f>VLOOKUP(A129,'Data Vlaue (Cr)'!C124:CZ338,102,0)</f>
        <v>-0.01</v>
      </c>
      <c r="E129" s="91">
        <f>VLOOKUP($A129,'Data Vlaue (Cr)'!$C:$FB,75)</f>
        <v>2287</v>
      </c>
      <c r="F129" s="91">
        <f>VLOOKUP($A129,'Data Vlaue (Cr)'!$C:$FB,77)</f>
        <v>47</v>
      </c>
      <c r="G129" s="92">
        <f>VLOOKUP(A129,'Data Vlaue (Cr)'!C124:CB338,78,0)</f>
        <v>2.1100000000000001E-2</v>
      </c>
      <c r="H129" s="91">
        <f>VLOOKUP($A129,'Data Vlaue (Cr)'!$C:$FB,91)</f>
        <v>656</v>
      </c>
      <c r="I129" s="91">
        <f>VLOOKUP($A129,'Data Vlaue (Cr)'!$C:$FB,93)</f>
        <v>-58</v>
      </c>
      <c r="J129" s="92">
        <f>VLOOKUP($A129,'Data Vlaue (Cr)'!$C:$FB,94)</f>
        <v>-8.1000000000000003E-2</v>
      </c>
      <c r="K129" s="91">
        <f>VLOOKUP($A129,'Data Vlaue (Cr)'!$C:$FB,95)</f>
        <v>409</v>
      </c>
      <c r="L129" s="91">
        <f>VLOOKUP($A129,'Data Vlaue (Cr)'!$C:$FB,97)</f>
        <v>-23</v>
      </c>
      <c r="M129" s="92">
        <f>VLOOKUP($A129,'Data Vlaue (Cr)'!$C:$FB,98)</f>
        <v>-5.4199999999999998E-2</v>
      </c>
      <c r="N129" s="91">
        <f>VLOOKUP($A129,'Data Vlaue (Cr)'!$C:$FB,79)</f>
        <v>543</v>
      </c>
      <c r="O129" s="92">
        <f>VLOOKUP($A129,'Data Vlaue (Cr)'!$C:$FB,82)</f>
        <v>-0.4093</v>
      </c>
    </row>
    <row r="130" spans="1:15" x14ac:dyDescent="0.25">
      <c r="A130" s="97" t="str">
        <f>'Data Vlaue (Cr)'!C125</f>
        <v>M&amp;M</v>
      </c>
      <c r="B130" s="142">
        <f>VLOOKUP(A130,'Data Vlaue (Cr)'!C125:CW339,99,0)</f>
        <v>9848</v>
      </c>
      <c r="C130" s="90">
        <f>VLOOKUP(A130,'Data Vlaue (Cr)'!C125:CY339,101,0)</f>
        <v>-149</v>
      </c>
      <c r="D130" s="139">
        <f>VLOOKUP(A130,'Data Vlaue (Cr)'!C125:CZ339,102,0)</f>
        <v>-1.49E-2</v>
      </c>
      <c r="E130" s="91">
        <f>VLOOKUP($A130,'Data Vlaue (Cr)'!$C:$FB,75)</f>
        <v>7071</v>
      </c>
      <c r="F130" s="91">
        <f>VLOOKUP($A130,'Data Vlaue (Cr)'!$C:$FB,77)</f>
        <v>39</v>
      </c>
      <c r="G130" s="92">
        <f>VLOOKUP(A130,'Data Vlaue (Cr)'!C125:CB339,78,0)</f>
        <v>5.4999999999999997E-3</v>
      </c>
      <c r="H130" s="91">
        <f>VLOOKUP($A130,'Data Vlaue (Cr)'!$C:$FB,91)</f>
        <v>1582</v>
      </c>
      <c r="I130" s="91">
        <f>VLOOKUP($A130,'Data Vlaue (Cr)'!$C:$FB,93)</f>
        <v>-125</v>
      </c>
      <c r="J130" s="92">
        <f>VLOOKUP($A130,'Data Vlaue (Cr)'!$C:$FB,94)</f>
        <v>-7.3200000000000001E-2</v>
      </c>
      <c r="K130" s="91">
        <f>VLOOKUP($A130,'Data Vlaue (Cr)'!$C:$FB,95)</f>
        <v>1195</v>
      </c>
      <c r="L130" s="91">
        <f>VLOOKUP($A130,'Data Vlaue (Cr)'!$C:$FB,97)</f>
        <v>-63</v>
      </c>
      <c r="M130" s="92">
        <f>VLOOKUP($A130,'Data Vlaue (Cr)'!$C:$FB,98)</f>
        <v>-5.0200000000000002E-2</v>
      </c>
      <c r="N130" s="91">
        <f>VLOOKUP($A130,'Data Vlaue (Cr)'!$C:$FB,79)</f>
        <v>1352</v>
      </c>
      <c r="O130" s="92">
        <f>VLOOKUP($A130,'Data Vlaue (Cr)'!$C:$FB,82)</f>
        <v>-0.5383</v>
      </c>
    </row>
    <row r="131" spans="1:15" x14ac:dyDescent="0.25">
      <c r="A131" s="97" t="str">
        <f>'Data Vlaue (Cr)'!C126</f>
        <v>MANAPPURAM</v>
      </c>
      <c r="B131" s="142">
        <f>VLOOKUP(A131,'Data Vlaue (Cr)'!C126:CW340,99,0)</f>
        <v>1488</v>
      </c>
      <c r="C131" s="90">
        <f>VLOOKUP(A131,'Data Vlaue (Cr)'!C126:CY340,101,0)</f>
        <v>-24</v>
      </c>
      <c r="D131" s="139">
        <f>VLOOKUP(A131,'Data Vlaue (Cr)'!C126:CZ340,102,0)</f>
        <v>-1.5900000000000001E-2</v>
      </c>
      <c r="E131" s="91">
        <f>VLOOKUP($A131,'Data Vlaue (Cr)'!$C:$FB,75)</f>
        <v>848</v>
      </c>
      <c r="F131" s="91">
        <f>VLOOKUP($A131,'Data Vlaue (Cr)'!$C:$FB,77)</f>
        <v>-2</v>
      </c>
      <c r="G131" s="92">
        <f>VLOOKUP(A131,'Data Vlaue (Cr)'!C126:CB340,78,0)</f>
        <v>-2.5000000000000001E-3</v>
      </c>
      <c r="H131" s="91">
        <f>VLOOKUP($A131,'Data Vlaue (Cr)'!$C:$FB,91)</f>
        <v>413</v>
      </c>
      <c r="I131" s="91">
        <f>VLOOKUP($A131,'Data Vlaue (Cr)'!$C:$FB,93)</f>
        <v>-6</v>
      </c>
      <c r="J131" s="92">
        <f>VLOOKUP($A131,'Data Vlaue (Cr)'!$C:$FB,94)</f>
        <v>-1.52E-2</v>
      </c>
      <c r="K131" s="91">
        <f>VLOOKUP($A131,'Data Vlaue (Cr)'!$C:$FB,95)</f>
        <v>227</v>
      </c>
      <c r="L131" s="91">
        <f>VLOOKUP($A131,'Data Vlaue (Cr)'!$C:$FB,97)</f>
        <v>-16</v>
      </c>
      <c r="M131" s="92">
        <f>VLOOKUP($A131,'Data Vlaue (Cr)'!$C:$FB,98)</f>
        <v>-6.4199999999999993E-2</v>
      </c>
      <c r="N131" s="91">
        <f>VLOOKUP($A131,'Data Vlaue (Cr)'!$C:$FB,79)</f>
        <v>155</v>
      </c>
      <c r="O131" s="92">
        <f>VLOOKUP($A131,'Data Vlaue (Cr)'!$C:$FB,82)</f>
        <v>-0.52190000000000003</v>
      </c>
    </row>
    <row r="132" spans="1:15" x14ac:dyDescent="0.25">
      <c r="A132" s="97" t="str">
        <f>'Data Vlaue (Cr)'!C127</f>
        <v>MANKIND</v>
      </c>
      <c r="B132" s="142">
        <f>VLOOKUP(A132,'Data Vlaue (Cr)'!C127:CW341,99,0)</f>
        <v>697</v>
      </c>
      <c r="C132" s="90">
        <f>VLOOKUP(A132,'Data Vlaue (Cr)'!C127:CY341,101,0)</f>
        <v>-53</v>
      </c>
      <c r="D132" s="139">
        <f>VLOOKUP(A132,'Data Vlaue (Cr)'!C127:CZ341,102,0)</f>
        <v>-7.0900000000000005E-2</v>
      </c>
      <c r="E132" s="91">
        <f>VLOOKUP($A132,'Data Vlaue (Cr)'!$C:$FB,75)</f>
        <v>409</v>
      </c>
      <c r="F132" s="91">
        <f>VLOOKUP($A132,'Data Vlaue (Cr)'!$C:$FB,77)</f>
        <v>-24</v>
      </c>
      <c r="G132" s="92">
        <f>VLOOKUP(A132,'Data Vlaue (Cr)'!C127:CB341,78,0)</f>
        <v>-5.6099999999999997E-2</v>
      </c>
      <c r="H132" s="91">
        <f>VLOOKUP($A132,'Data Vlaue (Cr)'!$C:$FB,91)</f>
        <v>197</v>
      </c>
      <c r="I132" s="91">
        <f>VLOOKUP($A132,'Data Vlaue (Cr)'!$C:$FB,93)</f>
        <v>-27</v>
      </c>
      <c r="J132" s="92">
        <f>VLOOKUP($A132,'Data Vlaue (Cr)'!$C:$FB,94)</f>
        <v>-0.1187</v>
      </c>
      <c r="K132" s="91">
        <f>VLOOKUP($A132,'Data Vlaue (Cr)'!$C:$FB,95)</f>
        <v>91</v>
      </c>
      <c r="L132" s="91">
        <f>VLOOKUP($A132,'Data Vlaue (Cr)'!$C:$FB,97)</f>
        <v>-2</v>
      </c>
      <c r="M132" s="92">
        <f>VLOOKUP($A132,'Data Vlaue (Cr)'!$C:$FB,98)</f>
        <v>-2.5100000000000001E-2</v>
      </c>
      <c r="N132" s="91">
        <f>VLOOKUP($A132,'Data Vlaue (Cr)'!$C:$FB,79)</f>
        <v>61</v>
      </c>
      <c r="O132" s="92">
        <f>VLOOKUP($A132,'Data Vlaue (Cr)'!$C:$FB,82)</f>
        <v>-0.58689999999999998</v>
      </c>
    </row>
    <row r="133" spans="1:15" x14ac:dyDescent="0.25">
      <c r="A133" s="97" t="str">
        <f>'Data Vlaue (Cr)'!C128</f>
        <v>MARICO</v>
      </c>
      <c r="B133" s="142">
        <f>VLOOKUP(A133,'Data Vlaue (Cr)'!C128:CW342,99,0)</f>
        <v>2377</v>
      </c>
      <c r="C133" s="90">
        <f>VLOOKUP(A133,'Data Vlaue (Cr)'!C128:CY342,101,0)</f>
        <v>-27</v>
      </c>
      <c r="D133" s="139">
        <f>VLOOKUP(A133,'Data Vlaue (Cr)'!C128:CZ342,102,0)</f>
        <v>-1.14E-2</v>
      </c>
      <c r="E133" s="91">
        <f>VLOOKUP($A133,'Data Vlaue (Cr)'!$C:$FB,75)</f>
        <v>1996</v>
      </c>
      <c r="F133" s="91">
        <f>VLOOKUP($A133,'Data Vlaue (Cr)'!$C:$FB,77)</f>
        <v>-6</v>
      </c>
      <c r="G133" s="92">
        <f>VLOOKUP(A133,'Data Vlaue (Cr)'!C128:CB342,78,0)</f>
        <v>-2.8999999999999998E-3</v>
      </c>
      <c r="H133" s="91">
        <f>VLOOKUP($A133,'Data Vlaue (Cr)'!$C:$FB,91)</f>
        <v>216</v>
      </c>
      <c r="I133" s="91">
        <f>VLOOKUP($A133,'Data Vlaue (Cr)'!$C:$FB,93)</f>
        <v>-12</v>
      </c>
      <c r="J133" s="92">
        <f>VLOOKUP($A133,'Data Vlaue (Cr)'!$C:$FB,94)</f>
        <v>-5.3600000000000002E-2</v>
      </c>
      <c r="K133" s="91">
        <f>VLOOKUP($A133,'Data Vlaue (Cr)'!$C:$FB,95)</f>
        <v>165</v>
      </c>
      <c r="L133" s="91">
        <f>VLOOKUP($A133,'Data Vlaue (Cr)'!$C:$FB,97)</f>
        <v>-10</v>
      </c>
      <c r="M133" s="92">
        <f>VLOOKUP($A133,'Data Vlaue (Cr)'!$C:$FB,98)</f>
        <v>-5.4699999999999999E-2</v>
      </c>
      <c r="N133" s="91">
        <f>VLOOKUP($A133,'Data Vlaue (Cr)'!$C:$FB,79)</f>
        <v>250</v>
      </c>
      <c r="O133" s="92">
        <f>VLOOKUP($A133,'Data Vlaue (Cr)'!$C:$FB,82)</f>
        <v>-0.6</v>
      </c>
    </row>
    <row r="134" spans="1:15" x14ac:dyDescent="0.25">
      <c r="A134" s="97" t="str">
        <f>'Data Vlaue (Cr)'!C129</f>
        <v>MARUTI</v>
      </c>
      <c r="B134" s="142">
        <f>VLOOKUP(A134,'Data Vlaue (Cr)'!C129:CW343,99,0)</f>
        <v>11284</v>
      </c>
      <c r="C134" s="90">
        <f>VLOOKUP(A134,'Data Vlaue (Cr)'!C129:CY343,101,0)</f>
        <v>-1133</v>
      </c>
      <c r="D134" s="139">
        <f>VLOOKUP(A134,'Data Vlaue (Cr)'!C129:CZ343,102,0)</f>
        <v>-9.1300000000000006E-2</v>
      </c>
      <c r="E134" s="91">
        <f>VLOOKUP($A134,'Data Vlaue (Cr)'!$C:$FB,75)</f>
        <v>4853</v>
      </c>
      <c r="F134" s="91">
        <f>VLOOKUP($A134,'Data Vlaue (Cr)'!$C:$FB,77)</f>
        <v>53</v>
      </c>
      <c r="G134" s="92">
        <f>VLOOKUP(A134,'Data Vlaue (Cr)'!C129:CB343,78,0)</f>
        <v>1.11E-2</v>
      </c>
      <c r="H134" s="91">
        <f>VLOOKUP($A134,'Data Vlaue (Cr)'!$C:$FB,91)</f>
        <v>3789</v>
      </c>
      <c r="I134" s="91">
        <f>VLOOKUP($A134,'Data Vlaue (Cr)'!$C:$FB,93)</f>
        <v>-1059</v>
      </c>
      <c r="J134" s="92">
        <f>VLOOKUP($A134,'Data Vlaue (Cr)'!$C:$FB,94)</f>
        <v>-0.2185</v>
      </c>
      <c r="K134" s="91">
        <f>VLOOKUP($A134,'Data Vlaue (Cr)'!$C:$FB,95)</f>
        <v>2643</v>
      </c>
      <c r="L134" s="91">
        <f>VLOOKUP($A134,'Data Vlaue (Cr)'!$C:$FB,97)</f>
        <v>-127</v>
      </c>
      <c r="M134" s="92">
        <f>VLOOKUP($A134,'Data Vlaue (Cr)'!$C:$FB,98)</f>
        <v>-4.5900000000000003E-2</v>
      </c>
      <c r="N134" s="91">
        <f>VLOOKUP($A134,'Data Vlaue (Cr)'!$C:$FB,79)</f>
        <v>1126</v>
      </c>
      <c r="O134" s="92">
        <f>VLOOKUP($A134,'Data Vlaue (Cr)'!$C:$FB,82)</f>
        <v>-0.51900000000000002</v>
      </c>
    </row>
    <row r="135" spans="1:15" x14ac:dyDescent="0.25">
      <c r="A135" s="97" t="str">
        <f>'Data Vlaue (Cr)'!C130</f>
        <v>MAXHEALTH</v>
      </c>
      <c r="B135" s="142">
        <f>VLOOKUP(A135,'Data Vlaue (Cr)'!C130:CW344,99,0)</f>
        <v>2556</v>
      </c>
      <c r="C135" s="90">
        <f>VLOOKUP(A135,'Data Vlaue (Cr)'!C130:CY344,101,0)</f>
        <v>-41</v>
      </c>
      <c r="D135" s="139">
        <f>VLOOKUP(A135,'Data Vlaue (Cr)'!C130:CZ344,102,0)</f>
        <v>-1.5900000000000001E-2</v>
      </c>
      <c r="E135" s="91">
        <f>VLOOKUP($A135,'Data Vlaue (Cr)'!$C:$FB,75)</f>
        <v>1940</v>
      </c>
      <c r="F135" s="91">
        <f>VLOOKUP($A135,'Data Vlaue (Cr)'!$C:$FB,77)</f>
        <v>5</v>
      </c>
      <c r="G135" s="92">
        <f>VLOOKUP(A135,'Data Vlaue (Cr)'!C130:CB344,78,0)</f>
        <v>2.3999999999999998E-3</v>
      </c>
      <c r="H135" s="91">
        <f>VLOOKUP($A135,'Data Vlaue (Cr)'!$C:$FB,91)</f>
        <v>367</v>
      </c>
      <c r="I135" s="91">
        <f>VLOOKUP($A135,'Data Vlaue (Cr)'!$C:$FB,93)</f>
        <v>-8</v>
      </c>
      <c r="J135" s="92">
        <f>VLOOKUP($A135,'Data Vlaue (Cr)'!$C:$FB,94)</f>
        <v>-2.0299999999999999E-2</v>
      </c>
      <c r="K135" s="91">
        <f>VLOOKUP($A135,'Data Vlaue (Cr)'!$C:$FB,95)</f>
        <v>249</v>
      </c>
      <c r="L135" s="91">
        <f>VLOOKUP($A135,'Data Vlaue (Cr)'!$C:$FB,97)</f>
        <v>-38</v>
      </c>
      <c r="M135" s="92">
        <f>VLOOKUP($A135,'Data Vlaue (Cr)'!$C:$FB,98)</f>
        <v>-0.13350000000000001</v>
      </c>
      <c r="N135" s="91">
        <f>VLOOKUP($A135,'Data Vlaue (Cr)'!$C:$FB,79)</f>
        <v>245</v>
      </c>
      <c r="O135" s="92">
        <f>VLOOKUP($A135,'Data Vlaue (Cr)'!$C:$FB,82)</f>
        <v>-0.64870000000000005</v>
      </c>
    </row>
    <row r="136" spans="1:15" x14ac:dyDescent="0.25">
      <c r="A136" s="97" t="str">
        <f>'Data Vlaue (Cr)'!C131</f>
        <v>MAZDOCK</v>
      </c>
      <c r="B136" s="142">
        <f>VLOOKUP(A136,'Data Vlaue (Cr)'!C131:CW345,99,0)</f>
        <v>2485</v>
      </c>
      <c r="C136" s="90">
        <f>VLOOKUP(A136,'Data Vlaue (Cr)'!C131:CY345,101,0)</f>
        <v>151</v>
      </c>
      <c r="D136" s="139">
        <f>VLOOKUP(A136,'Data Vlaue (Cr)'!C131:CZ345,102,0)</f>
        <v>6.4899999999999999E-2</v>
      </c>
      <c r="E136" s="91">
        <f>VLOOKUP($A136,'Data Vlaue (Cr)'!$C:$FB,75)</f>
        <v>1114</v>
      </c>
      <c r="F136" s="91">
        <f>VLOOKUP($A136,'Data Vlaue (Cr)'!$C:$FB,77)</f>
        <v>33</v>
      </c>
      <c r="G136" s="92">
        <f>VLOOKUP(A136,'Data Vlaue (Cr)'!C131:CB345,78,0)</f>
        <v>3.0599999999999999E-2</v>
      </c>
      <c r="H136" s="91">
        <f>VLOOKUP($A136,'Data Vlaue (Cr)'!$C:$FB,91)</f>
        <v>876</v>
      </c>
      <c r="I136" s="91">
        <f>VLOOKUP($A136,'Data Vlaue (Cr)'!$C:$FB,93)</f>
        <v>56</v>
      </c>
      <c r="J136" s="92">
        <f>VLOOKUP($A136,'Data Vlaue (Cr)'!$C:$FB,94)</f>
        <v>6.8000000000000005E-2</v>
      </c>
      <c r="K136" s="91">
        <f>VLOOKUP($A136,'Data Vlaue (Cr)'!$C:$FB,95)</f>
        <v>495</v>
      </c>
      <c r="L136" s="91">
        <f>VLOOKUP($A136,'Data Vlaue (Cr)'!$C:$FB,97)</f>
        <v>63</v>
      </c>
      <c r="M136" s="92">
        <f>VLOOKUP($A136,'Data Vlaue (Cr)'!$C:$FB,98)</f>
        <v>0.14460000000000001</v>
      </c>
      <c r="N136" s="91">
        <f>VLOOKUP($A136,'Data Vlaue (Cr)'!$C:$FB,79)</f>
        <v>249</v>
      </c>
      <c r="O136" s="92">
        <f>VLOOKUP($A136,'Data Vlaue (Cr)'!$C:$FB,82)</f>
        <v>-0.4677</v>
      </c>
    </row>
    <row r="137" spans="1:15" x14ac:dyDescent="0.25">
      <c r="A137" s="97" t="str">
        <f>'Data Vlaue (Cr)'!C132</f>
        <v>MCX</v>
      </c>
      <c r="B137" s="142">
        <f>VLOOKUP(A137,'Data Vlaue (Cr)'!C132:CW346,99,0)</f>
        <v>8471</v>
      </c>
      <c r="C137" s="90">
        <f>VLOOKUP(A137,'Data Vlaue (Cr)'!C132:CY346,101,0)</f>
        <v>-259</v>
      </c>
      <c r="D137" s="139">
        <f>VLOOKUP(A137,'Data Vlaue (Cr)'!C132:CZ346,102,0)</f>
        <v>-2.9700000000000001E-2</v>
      </c>
      <c r="E137" s="91">
        <f>VLOOKUP($A137,'Data Vlaue (Cr)'!$C:$FB,75)</f>
        <v>2713</v>
      </c>
      <c r="F137" s="91">
        <f>VLOOKUP($A137,'Data Vlaue (Cr)'!$C:$FB,77)</f>
        <v>106</v>
      </c>
      <c r="G137" s="92">
        <f>VLOOKUP(A137,'Data Vlaue (Cr)'!C132:CB346,78,0)</f>
        <v>4.0500000000000001E-2</v>
      </c>
      <c r="H137" s="91">
        <f>VLOOKUP($A137,'Data Vlaue (Cr)'!$C:$FB,91)</f>
        <v>3543</v>
      </c>
      <c r="I137" s="91">
        <f>VLOOKUP($A137,'Data Vlaue (Cr)'!$C:$FB,93)</f>
        <v>-358</v>
      </c>
      <c r="J137" s="92">
        <f>VLOOKUP($A137,'Data Vlaue (Cr)'!$C:$FB,94)</f>
        <v>-9.1800000000000007E-2</v>
      </c>
      <c r="K137" s="91">
        <f>VLOOKUP($A137,'Data Vlaue (Cr)'!$C:$FB,95)</f>
        <v>2215</v>
      </c>
      <c r="L137" s="91">
        <f>VLOOKUP($A137,'Data Vlaue (Cr)'!$C:$FB,97)</f>
        <v>-7</v>
      </c>
      <c r="M137" s="92">
        <f>VLOOKUP($A137,'Data Vlaue (Cr)'!$C:$FB,98)</f>
        <v>-3.0000000000000001E-3</v>
      </c>
      <c r="N137" s="91">
        <f>VLOOKUP($A137,'Data Vlaue (Cr)'!$C:$FB,79)</f>
        <v>563</v>
      </c>
      <c r="O137" s="92">
        <f>VLOOKUP($A137,'Data Vlaue (Cr)'!$C:$FB,82)</f>
        <v>-0.45400000000000001</v>
      </c>
    </row>
    <row r="138" spans="1:15" x14ac:dyDescent="0.25">
      <c r="A138" s="97" t="str">
        <f>'Data Vlaue (Cr)'!C133</f>
        <v>MFSL</v>
      </c>
      <c r="B138" s="142">
        <f>VLOOKUP(A138,'Data Vlaue (Cr)'!C133:CW347,99,0)</f>
        <v>1338</v>
      </c>
      <c r="C138" s="90">
        <f>VLOOKUP(A138,'Data Vlaue (Cr)'!C133:CY347,101,0)</f>
        <v>-6</v>
      </c>
      <c r="D138" s="139">
        <f>VLOOKUP(A138,'Data Vlaue (Cr)'!C133:CZ347,102,0)</f>
        <v>-4.3E-3</v>
      </c>
      <c r="E138" s="91">
        <f>VLOOKUP($A138,'Data Vlaue (Cr)'!$C:$FB,75)</f>
        <v>904</v>
      </c>
      <c r="F138" s="91">
        <f>VLOOKUP($A138,'Data Vlaue (Cr)'!$C:$FB,77)</f>
        <v>17</v>
      </c>
      <c r="G138" s="92">
        <f>VLOOKUP(A138,'Data Vlaue (Cr)'!C133:CB347,78,0)</f>
        <v>1.9199999999999998E-2</v>
      </c>
      <c r="H138" s="91">
        <f>VLOOKUP($A138,'Data Vlaue (Cr)'!$C:$FB,91)</f>
        <v>254</v>
      </c>
      <c r="I138" s="91">
        <f>VLOOKUP($A138,'Data Vlaue (Cr)'!$C:$FB,93)</f>
        <v>-7</v>
      </c>
      <c r="J138" s="92">
        <f>VLOOKUP($A138,'Data Vlaue (Cr)'!$C:$FB,94)</f>
        <v>-2.5100000000000001E-2</v>
      </c>
      <c r="K138" s="91">
        <f>VLOOKUP($A138,'Data Vlaue (Cr)'!$C:$FB,95)</f>
        <v>181</v>
      </c>
      <c r="L138" s="91">
        <f>VLOOKUP($A138,'Data Vlaue (Cr)'!$C:$FB,97)</f>
        <v>-16</v>
      </c>
      <c r="M138" s="92">
        <f>VLOOKUP($A138,'Data Vlaue (Cr)'!$C:$FB,98)</f>
        <v>-8.2900000000000001E-2</v>
      </c>
      <c r="N138" s="91">
        <f>VLOOKUP($A138,'Data Vlaue (Cr)'!$C:$FB,79)</f>
        <v>133</v>
      </c>
      <c r="O138" s="92">
        <f>VLOOKUP($A138,'Data Vlaue (Cr)'!$C:$FB,82)</f>
        <v>-0.59189999999999998</v>
      </c>
    </row>
    <row r="139" spans="1:15" x14ac:dyDescent="0.25">
      <c r="A139" s="97" t="str">
        <f>'Data Vlaue (Cr)'!C134</f>
        <v>MIDCPNIFTY</v>
      </c>
      <c r="B139" s="142">
        <f>VLOOKUP(A139,'Data Vlaue (Cr)'!C134:CW348,99,0)</f>
        <v>41469</v>
      </c>
      <c r="C139" s="90">
        <f>VLOOKUP(A139,'Data Vlaue (Cr)'!C134:CY348,101,0)</f>
        <v>3595</v>
      </c>
      <c r="D139" s="139">
        <f>VLOOKUP(A139,'Data Vlaue (Cr)'!C134:CZ348,102,0)</f>
        <v>9.4899999999999998E-2</v>
      </c>
      <c r="E139" s="91">
        <f>VLOOKUP($A139,'Data Vlaue (Cr)'!$C:$FB,75)</f>
        <v>3393</v>
      </c>
      <c r="F139" s="91">
        <f>VLOOKUP($A139,'Data Vlaue (Cr)'!$C:$FB,77)</f>
        <v>202</v>
      </c>
      <c r="G139" s="92">
        <f>VLOOKUP(A139,'Data Vlaue (Cr)'!C134:CB348,78,0)</f>
        <v>6.3299999999999995E-2</v>
      </c>
      <c r="H139" s="91">
        <f>VLOOKUP($A139,'Data Vlaue (Cr)'!$C:$FB,91)</f>
        <v>17369</v>
      </c>
      <c r="I139" s="91">
        <f>VLOOKUP($A139,'Data Vlaue (Cr)'!$C:$FB,93)</f>
        <v>-1027</v>
      </c>
      <c r="J139" s="92">
        <f>VLOOKUP($A139,'Data Vlaue (Cr)'!$C:$FB,94)</f>
        <v>-5.5800000000000002E-2</v>
      </c>
      <c r="K139" s="91">
        <f>VLOOKUP($A139,'Data Vlaue (Cr)'!$C:$FB,95)</f>
        <v>20708</v>
      </c>
      <c r="L139" s="91">
        <f>VLOOKUP($A139,'Data Vlaue (Cr)'!$C:$FB,97)</f>
        <v>4420</v>
      </c>
      <c r="M139" s="92">
        <f>VLOOKUP($A139,'Data Vlaue (Cr)'!$C:$FB,98)</f>
        <v>0.27139999999999997</v>
      </c>
      <c r="N139" s="91">
        <f>VLOOKUP($A139,'Data Vlaue (Cr)'!$C:$FB,79)</f>
        <v>1122</v>
      </c>
      <c r="O139" s="92">
        <f>VLOOKUP($A139,'Data Vlaue (Cr)'!$C:$FB,82)</f>
        <v>-0.34360000000000002</v>
      </c>
    </row>
    <row r="140" spans="1:15" x14ac:dyDescent="0.25">
      <c r="A140" s="97" t="str">
        <f>'Data Vlaue (Cr)'!C135</f>
        <v>MOTHERSON</v>
      </c>
      <c r="B140" s="142">
        <f>VLOOKUP(A140,'Data Vlaue (Cr)'!C135:CW349,99,0)</f>
        <v>3267</v>
      </c>
      <c r="C140" s="90">
        <f>VLOOKUP(A140,'Data Vlaue (Cr)'!C135:CY349,101,0)</f>
        <v>-64</v>
      </c>
      <c r="D140" s="139">
        <f>VLOOKUP(A140,'Data Vlaue (Cr)'!C135:CZ349,102,0)</f>
        <v>-1.9099999999999999E-2</v>
      </c>
      <c r="E140" s="91">
        <f>VLOOKUP($A140,'Data Vlaue (Cr)'!$C:$FB,75)</f>
        <v>1788</v>
      </c>
      <c r="F140" s="91">
        <f>VLOOKUP($A140,'Data Vlaue (Cr)'!$C:$FB,77)</f>
        <v>-28</v>
      </c>
      <c r="G140" s="92">
        <f>VLOOKUP(A140,'Data Vlaue (Cr)'!C135:CB349,78,0)</f>
        <v>-1.54E-2</v>
      </c>
      <c r="H140" s="91">
        <f>VLOOKUP($A140,'Data Vlaue (Cr)'!$C:$FB,91)</f>
        <v>976</v>
      </c>
      <c r="I140" s="91">
        <f>VLOOKUP($A140,'Data Vlaue (Cr)'!$C:$FB,93)</f>
        <v>-43</v>
      </c>
      <c r="J140" s="92">
        <f>VLOOKUP($A140,'Data Vlaue (Cr)'!$C:$FB,94)</f>
        <v>-4.1799999999999997E-2</v>
      </c>
      <c r="K140" s="91">
        <f>VLOOKUP($A140,'Data Vlaue (Cr)'!$C:$FB,95)</f>
        <v>503</v>
      </c>
      <c r="L140" s="91">
        <f>VLOOKUP($A140,'Data Vlaue (Cr)'!$C:$FB,97)</f>
        <v>7</v>
      </c>
      <c r="M140" s="92">
        <f>VLOOKUP($A140,'Data Vlaue (Cr)'!$C:$FB,98)</f>
        <v>1.4200000000000001E-2</v>
      </c>
      <c r="N140" s="91">
        <f>VLOOKUP($A140,'Data Vlaue (Cr)'!$C:$FB,79)</f>
        <v>322</v>
      </c>
      <c r="O140" s="92">
        <f>VLOOKUP($A140,'Data Vlaue (Cr)'!$C:$FB,82)</f>
        <v>-0.5806</v>
      </c>
    </row>
    <row r="141" spans="1:15" x14ac:dyDescent="0.25">
      <c r="A141" s="97" t="str">
        <f>'Data Vlaue (Cr)'!C136</f>
        <v>MPHASIS</v>
      </c>
      <c r="B141" s="142">
        <f>VLOOKUP(A141,'Data Vlaue (Cr)'!C136:CW350,99,0)</f>
        <v>1708</v>
      </c>
      <c r="C141" s="90">
        <f>VLOOKUP(A141,'Data Vlaue (Cr)'!C136:CY350,101,0)</f>
        <v>-51</v>
      </c>
      <c r="D141" s="139">
        <f>VLOOKUP(A141,'Data Vlaue (Cr)'!C136:CZ350,102,0)</f>
        <v>-2.8799999999999999E-2</v>
      </c>
      <c r="E141" s="91">
        <f>VLOOKUP($A141,'Data Vlaue (Cr)'!$C:$FB,75)</f>
        <v>1231</v>
      </c>
      <c r="F141" s="91">
        <f>VLOOKUP($A141,'Data Vlaue (Cr)'!$C:$FB,77)</f>
        <v>40</v>
      </c>
      <c r="G141" s="92">
        <f>VLOOKUP(A141,'Data Vlaue (Cr)'!C136:CB350,78,0)</f>
        <v>3.3300000000000003E-2</v>
      </c>
      <c r="H141" s="91">
        <f>VLOOKUP($A141,'Data Vlaue (Cr)'!$C:$FB,91)</f>
        <v>250</v>
      </c>
      <c r="I141" s="91">
        <f>VLOOKUP($A141,'Data Vlaue (Cr)'!$C:$FB,93)</f>
        <v>-94</v>
      </c>
      <c r="J141" s="92">
        <f>VLOOKUP($A141,'Data Vlaue (Cr)'!$C:$FB,94)</f>
        <v>-0.2737</v>
      </c>
      <c r="K141" s="91">
        <f>VLOOKUP($A141,'Data Vlaue (Cr)'!$C:$FB,95)</f>
        <v>227</v>
      </c>
      <c r="L141" s="91">
        <f>VLOOKUP($A141,'Data Vlaue (Cr)'!$C:$FB,97)</f>
        <v>4</v>
      </c>
      <c r="M141" s="92">
        <f>VLOOKUP($A141,'Data Vlaue (Cr)'!$C:$FB,98)</f>
        <v>1.8599999999999998E-2</v>
      </c>
      <c r="N141" s="91">
        <f>VLOOKUP($A141,'Data Vlaue (Cr)'!$C:$FB,79)</f>
        <v>262</v>
      </c>
      <c r="O141" s="92">
        <f>VLOOKUP($A141,'Data Vlaue (Cr)'!$C:$FB,82)</f>
        <v>-0.49490000000000001</v>
      </c>
    </row>
    <row r="142" spans="1:15" x14ac:dyDescent="0.25">
      <c r="A142" s="97" t="str">
        <f>'Data Vlaue (Cr)'!C137</f>
        <v>MUTHOOTFIN</v>
      </c>
      <c r="B142" s="142">
        <f>VLOOKUP(A142,'Data Vlaue (Cr)'!C137:CW351,99,0)</f>
        <v>2477</v>
      </c>
      <c r="C142" s="90">
        <f>VLOOKUP(A142,'Data Vlaue (Cr)'!C137:CY351,101,0)</f>
        <v>-233</v>
      </c>
      <c r="D142" s="139">
        <f>VLOOKUP(A142,'Data Vlaue (Cr)'!C137:CZ351,102,0)</f>
        <v>-8.5900000000000004E-2</v>
      </c>
      <c r="E142" s="91">
        <f>VLOOKUP($A142,'Data Vlaue (Cr)'!$C:$FB,75)</f>
        <v>1015</v>
      </c>
      <c r="F142" s="91">
        <f>VLOOKUP($A142,'Data Vlaue (Cr)'!$C:$FB,77)</f>
        <v>10</v>
      </c>
      <c r="G142" s="92">
        <f>VLOOKUP(A142,'Data Vlaue (Cr)'!C137:CB351,78,0)</f>
        <v>9.7000000000000003E-3</v>
      </c>
      <c r="H142" s="91">
        <f>VLOOKUP($A142,'Data Vlaue (Cr)'!$C:$FB,91)</f>
        <v>896</v>
      </c>
      <c r="I142" s="91">
        <f>VLOOKUP($A142,'Data Vlaue (Cr)'!$C:$FB,93)</f>
        <v>-147</v>
      </c>
      <c r="J142" s="92">
        <f>VLOOKUP($A142,'Data Vlaue (Cr)'!$C:$FB,94)</f>
        <v>-0.14119999999999999</v>
      </c>
      <c r="K142" s="91">
        <f>VLOOKUP($A142,'Data Vlaue (Cr)'!$C:$FB,95)</f>
        <v>566</v>
      </c>
      <c r="L142" s="91">
        <f>VLOOKUP($A142,'Data Vlaue (Cr)'!$C:$FB,97)</f>
        <v>-95</v>
      </c>
      <c r="M142" s="92">
        <f>VLOOKUP($A142,'Data Vlaue (Cr)'!$C:$FB,98)</f>
        <v>-0.14419999999999999</v>
      </c>
      <c r="N142" s="91">
        <f>VLOOKUP($A142,'Data Vlaue (Cr)'!$C:$FB,79)</f>
        <v>185</v>
      </c>
      <c r="O142" s="92">
        <f>VLOOKUP($A142,'Data Vlaue (Cr)'!$C:$FB,82)</f>
        <v>-0.49059999999999998</v>
      </c>
    </row>
    <row r="143" spans="1:15" x14ac:dyDescent="0.25">
      <c r="A143" s="97" t="str">
        <f>'Data Vlaue (Cr)'!C138</f>
        <v>NATIONALUM</v>
      </c>
      <c r="B143" s="142">
        <f>VLOOKUP(A143,'Data Vlaue (Cr)'!C138:CW352,99,0)</f>
        <v>3488</v>
      </c>
      <c r="C143" s="90">
        <f>VLOOKUP(A143,'Data Vlaue (Cr)'!C138:CY352,101,0)</f>
        <v>-27</v>
      </c>
      <c r="D143" s="139">
        <f>VLOOKUP(A143,'Data Vlaue (Cr)'!C138:CZ352,102,0)</f>
        <v>-7.7000000000000002E-3</v>
      </c>
      <c r="E143" s="91">
        <f>VLOOKUP($A143,'Data Vlaue (Cr)'!$C:$FB,75)</f>
        <v>1944</v>
      </c>
      <c r="F143" s="91">
        <f>VLOOKUP($A143,'Data Vlaue (Cr)'!$C:$FB,77)</f>
        <v>48</v>
      </c>
      <c r="G143" s="92">
        <f>VLOOKUP(A143,'Data Vlaue (Cr)'!C138:CB352,78,0)</f>
        <v>2.5600000000000001E-2</v>
      </c>
      <c r="H143" s="91">
        <f>VLOOKUP($A143,'Data Vlaue (Cr)'!$C:$FB,91)</f>
        <v>812</v>
      </c>
      <c r="I143" s="91">
        <f>VLOOKUP($A143,'Data Vlaue (Cr)'!$C:$FB,93)</f>
        <v>-75</v>
      </c>
      <c r="J143" s="92">
        <f>VLOOKUP($A143,'Data Vlaue (Cr)'!$C:$FB,94)</f>
        <v>-8.4699999999999998E-2</v>
      </c>
      <c r="K143" s="91">
        <f>VLOOKUP($A143,'Data Vlaue (Cr)'!$C:$FB,95)</f>
        <v>733</v>
      </c>
      <c r="L143" s="91">
        <f>VLOOKUP($A143,'Data Vlaue (Cr)'!$C:$FB,97)</f>
        <v>0</v>
      </c>
      <c r="M143" s="92">
        <f>VLOOKUP($A143,'Data Vlaue (Cr)'!$C:$FB,98)</f>
        <v>-5.0000000000000001E-4</v>
      </c>
      <c r="N143" s="91">
        <f>VLOOKUP($A143,'Data Vlaue (Cr)'!$C:$FB,79)</f>
        <v>530</v>
      </c>
      <c r="O143" s="92">
        <f>VLOOKUP($A143,'Data Vlaue (Cr)'!$C:$FB,82)</f>
        <v>-0.54510000000000003</v>
      </c>
    </row>
    <row r="144" spans="1:15" x14ac:dyDescent="0.25">
      <c r="A144" s="97" t="str">
        <f>'Data Vlaue (Cr)'!C139</f>
        <v>NAUKRI</v>
      </c>
      <c r="B144" s="142">
        <f>VLOOKUP(A144,'Data Vlaue (Cr)'!C139:CW353,99,0)</f>
        <v>1723</v>
      </c>
      <c r="C144" s="90">
        <f>VLOOKUP(A144,'Data Vlaue (Cr)'!C139:CY353,101,0)</f>
        <v>-50</v>
      </c>
      <c r="D144" s="139">
        <f>VLOOKUP(A144,'Data Vlaue (Cr)'!C139:CZ353,102,0)</f>
        <v>-2.7900000000000001E-2</v>
      </c>
      <c r="E144" s="91">
        <f>VLOOKUP($A144,'Data Vlaue (Cr)'!$C:$FB,75)</f>
        <v>1290</v>
      </c>
      <c r="F144" s="91">
        <f>VLOOKUP($A144,'Data Vlaue (Cr)'!$C:$FB,77)</f>
        <v>-3</v>
      </c>
      <c r="G144" s="92">
        <f>VLOOKUP(A144,'Data Vlaue (Cr)'!C139:CB353,78,0)</f>
        <v>-1.9E-3</v>
      </c>
      <c r="H144" s="91">
        <f>VLOOKUP($A144,'Data Vlaue (Cr)'!$C:$FB,91)</f>
        <v>266</v>
      </c>
      <c r="I144" s="91">
        <f>VLOOKUP($A144,'Data Vlaue (Cr)'!$C:$FB,93)</f>
        <v>-32</v>
      </c>
      <c r="J144" s="92">
        <f>VLOOKUP($A144,'Data Vlaue (Cr)'!$C:$FB,94)</f>
        <v>-0.106</v>
      </c>
      <c r="K144" s="91">
        <f>VLOOKUP($A144,'Data Vlaue (Cr)'!$C:$FB,95)</f>
        <v>167</v>
      </c>
      <c r="L144" s="91">
        <f>VLOOKUP($A144,'Data Vlaue (Cr)'!$C:$FB,97)</f>
        <v>-15</v>
      </c>
      <c r="M144" s="92">
        <f>VLOOKUP($A144,'Data Vlaue (Cr)'!$C:$FB,98)</f>
        <v>-8.5000000000000006E-2</v>
      </c>
      <c r="N144" s="91">
        <f>VLOOKUP($A144,'Data Vlaue (Cr)'!$C:$FB,79)</f>
        <v>173</v>
      </c>
      <c r="O144" s="92">
        <f>VLOOKUP($A144,'Data Vlaue (Cr)'!$C:$FB,82)</f>
        <v>-0.64090000000000003</v>
      </c>
    </row>
    <row r="145" spans="1:15" x14ac:dyDescent="0.25">
      <c r="A145" s="97" t="str">
        <f>'Data Vlaue (Cr)'!C140</f>
        <v>NBCC</v>
      </c>
      <c r="B145" s="142">
        <f>VLOOKUP(A145,'Data Vlaue (Cr)'!C140:CW354,99,0)</f>
        <v>1205</v>
      </c>
      <c r="C145" s="90">
        <f>VLOOKUP(A145,'Data Vlaue (Cr)'!C140:CY354,101,0)</f>
        <v>-2</v>
      </c>
      <c r="D145" s="139">
        <f>VLOOKUP(A145,'Data Vlaue (Cr)'!C140:CZ354,102,0)</f>
        <v>-1.6000000000000001E-3</v>
      </c>
      <c r="E145" s="91">
        <f>VLOOKUP($A145,'Data Vlaue (Cr)'!$C:$FB,75)</f>
        <v>689</v>
      </c>
      <c r="F145" s="91">
        <f>VLOOKUP($A145,'Data Vlaue (Cr)'!$C:$FB,77)</f>
        <v>6</v>
      </c>
      <c r="G145" s="92">
        <f>VLOOKUP(A145,'Data Vlaue (Cr)'!C140:CB354,78,0)</f>
        <v>8.0999999999999996E-3</v>
      </c>
      <c r="H145" s="91">
        <f>VLOOKUP($A145,'Data Vlaue (Cr)'!$C:$FB,91)</f>
        <v>328</v>
      </c>
      <c r="I145" s="91">
        <f>VLOOKUP($A145,'Data Vlaue (Cr)'!$C:$FB,93)</f>
        <v>-11</v>
      </c>
      <c r="J145" s="92">
        <f>VLOOKUP($A145,'Data Vlaue (Cr)'!$C:$FB,94)</f>
        <v>-3.32E-2</v>
      </c>
      <c r="K145" s="91">
        <f>VLOOKUP($A145,'Data Vlaue (Cr)'!$C:$FB,95)</f>
        <v>188</v>
      </c>
      <c r="L145" s="91">
        <f>VLOOKUP($A145,'Data Vlaue (Cr)'!$C:$FB,97)</f>
        <v>4</v>
      </c>
      <c r="M145" s="92">
        <f>VLOOKUP($A145,'Data Vlaue (Cr)'!$C:$FB,98)</f>
        <v>2.0500000000000001E-2</v>
      </c>
      <c r="N145" s="91">
        <f>VLOOKUP($A145,'Data Vlaue (Cr)'!$C:$FB,79)</f>
        <v>219</v>
      </c>
      <c r="O145" s="92">
        <f>VLOOKUP($A145,'Data Vlaue (Cr)'!$C:$FB,82)</f>
        <v>-0.37409999999999999</v>
      </c>
    </row>
    <row r="146" spans="1:15" x14ac:dyDescent="0.25">
      <c r="A146" s="97" t="str">
        <f>'Data Vlaue (Cr)'!C141</f>
        <v>NCC</v>
      </c>
      <c r="B146" s="142">
        <f>VLOOKUP(A146,'Data Vlaue (Cr)'!C141:CW355,99,0)</f>
        <v>674</v>
      </c>
      <c r="C146" s="90">
        <f>VLOOKUP(A146,'Data Vlaue (Cr)'!C141:CY355,101,0)</f>
        <v>-41</v>
      </c>
      <c r="D146" s="139">
        <f>VLOOKUP(A146,'Data Vlaue (Cr)'!C141:CZ355,102,0)</f>
        <v>-5.7500000000000002E-2</v>
      </c>
      <c r="E146" s="91">
        <f>VLOOKUP($A146,'Data Vlaue (Cr)'!$C:$FB,75)</f>
        <v>416</v>
      </c>
      <c r="F146" s="91">
        <f>VLOOKUP($A146,'Data Vlaue (Cr)'!$C:$FB,77)</f>
        <v>-1</v>
      </c>
      <c r="G146" s="92">
        <f>VLOOKUP(A146,'Data Vlaue (Cr)'!C141:CB355,78,0)</f>
        <v>-2.5000000000000001E-3</v>
      </c>
      <c r="H146" s="91">
        <f>VLOOKUP($A146,'Data Vlaue (Cr)'!$C:$FB,91)</f>
        <v>162</v>
      </c>
      <c r="I146" s="91">
        <f>VLOOKUP($A146,'Data Vlaue (Cr)'!$C:$FB,93)</f>
        <v>-40</v>
      </c>
      <c r="J146" s="92">
        <f>VLOOKUP($A146,'Data Vlaue (Cr)'!$C:$FB,94)</f>
        <v>-0.1961</v>
      </c>
      <c r="K146" s="91">
        <f>VLOOKUP($A146,'Data Vlaue (Cr)'!$C:$FB,95)</f>
        <v>95</v>
      </c>
      <c r="L146" s="91">
        <f>VLOOKUP($A146,'Data Vlaue (Cr)'!$C:$FB,97)</f>
        <v>-1</v>
      </c>
      <c r="M146" s="92">
        <f>VLOOKUP($A146,'Data Vlaue (Cr)'!$C:$FB,98)</f>
        <v>-5.4000000000000003E-3</v>
      </c>
      <c r="N146" s="91">
        <f>VLOOKUP($A146,'Data Vlaue (Cr)'!$C:$FB,79)</f>
        <v>110</v>
      </c>
      <c r="O146" s="92">
        <f>VLOOKUP($A146,'Data Vlaue (Cr)'!$C:$FB,82)</f>
        <v>-0.45090000000000002</v>
      </c>
    </row>
    <row r="147" spans="1:15" x14ac:dyDescent="0.25">
      <c r="A147" s="97" t="str">
        <f>'Data Vlaue (Cr)'!C142</f>
        <v>NESTLEIND</v>
      </c>
      <c r="B147" s="142">
        <f>VLOOKUP(A147,'Data Vlaue (Cr)'!C142:CW356,99,0)</f>
        <v>4459</v>
      </c>
      <c r="C147" s="90">
        <f>VLOOKUP(A147,'Data Vlaue (Cr)'!C142:CY356,101,0)</f>
        <v>-107</v>
      </c>
      <c r="D147" s="139">
        <f>VLOOKUP(A147,'Data Vlaue (Cr)'!C142:CZ356,102,0)</f>
        <v>-2.35E-2</v>
      </c>
      <c r="E147" s="91">
        <f>VLOOKUP($A147,'Data Vlaue (Cr)'!$C:$FB,75)</f>
        <v>2557</v>
      </c>
      <c r="F147" s="91">
        <f>VLOOKUP($A147,'Data Vlaue (Cr)'!$C:$FB,77)</f>
        <v>-17</v>
      </c>
      <c r="G147" s="92">
        <f>VLOOKUP(A147,'Data Vlaue (Cr)'!C142:CB356,78,0)</f>
        <v>-6.7999999999999996E-3</v>
      </c>
      <c r="H147" s="91">
        <f>VLOOKUP($A147,'Data Vlaue (Cr)'!$C:$FB,91)</f>
        <v>1036</v>
      </c>
      <c r="I147" s="91">
        <f>VLOOKUP($A147,'Data Vlaue (Cr)'!$C:$FB,93)</f>
        <v>22</v>
      </c>
      <c r="J147" s="92">
        <f>VLOOKUP($A147,'Data Vlaue (Cr)'!$C:$FB,94)</f>
        <v>2.1700000000000001E-2</v>
      </c>
      <c r="K147" s="91">
        <f>VLOOKUP($A147,'Data Vlaue (Cr)'!$C:$FB,95)</f>
        <v>867</v>
      </c>
      <c r="L147" s="91">
        <f>VLOOKUP($A147,'Data Vlaue (Cr)'!$C:$FB,97)</f>
        <v>-112</v>
      </c>
      <c r="M147" s="92">
        <f>VLOOKUP($A147,'Data Vlaue (Cr)'!$C:$FB,98)</f>
        <v>-0.1145</v>
      </c>
      <c r="N147" s="91">
        <f>VLOOKUP($A147,'Data Vlaue (Cr)'!$C:$FB,79)</f>
        <v>430</v>
      </c>
      <c r="O147" s="92">
        <f>VLOOKUP($A147,'Data Vlaue (Cr)'!$C:$FB,82)</f>
        <v>-0.57789999999999997</v>
      </c>
    </row>
    <row r="148" spans="1:15" x14ac:dyDescent="0.25">
      <c r="A148" s="97" t="str">
        <f>'Data Vlaue (Cr)'!C143</f>
        <v>NHPC</v>
      </c>
      <c r="B148" s="142">
        <f>VLOOKUP(A148,'Data Vlaue (Cr)'!C143:CW357,99,0)</f>
        <v>800</v>
      </c>
      <c r="C148" s="90">
        <f>VLOOKUP(A148,'Data Vlaue (Cr)'!C143:CY357,101,0)</f>
        <v>0</v>
      </c>
      <c r="D148" s="139">
        <f>VLOOKUP(A148,'Data Vlaue (Cr)'!C143:CZ357,102,0)</f>
        <v>5.0000000000000001E-4</v>
      </c>
      <c r="E148" s="91">
        <f>VLOOKUP($A148,'Data Vlaue (Cr)'!$C:$FB,75)</f>
        <v>469</v>
      </c>
      <c r="F148" s="91">
        <f>VLOOKUP($A148,'Data Vlaue (Cr)'!$C:$FB,77)</f>
        <v>-3</v>
      </c>
      <c r="G148" s="92">
        <f>VLOOKUP(A148,'Data Vlaue (Cr)'!C143:CB357,78,0)</f>
        <v>-7.1000000000000004E-3</v>
      </c>
      <c r="H148" s="91">
        <f>VLOOKUP($A148,'Data Vlaue (Cr)'!$C:$FB,91)</f>
        <v>234</v>
      </c>
      <c r="I148" s="91">
        <f>VLOOKUP($A148,'Data Vlaue (Cr)'!$C:$FB,93)</f>
        <v>2</v>
      </c>
      <c r="J148" s="92">
        <f>VLOOKUP($A148,'Data Vlaue (Cr)'!$C:$FB,94)</f>
        <v>7.0000000000000001E-3</v>
      </c>
      <c r="K148" s="91">
        <f>VLOOKUP($A148,'Data Vlaue (Cr)'!$C:$FB,95)</f>
        <v>97</v>
      </c>
      <c r="L148" s="91">
        <f>VLOOKUP($A148,'Data Vlaue (Cr)'!$C:$FB,97)</f>
        <v>2</v>
      </c>
      <c r="M148" s="92">
        <f>VLOOKUP($A148,'Data Vlaue (Cr)'!$C:$FB,98)</f>
        <v>2.3099999999999999E-2</v>
      </c>
      <c r="N148" s="91">
        <f>VLOOKUP($A148,'Data Vlaue (Cr)'!$C:$FB,79)</f>
        <v>64</v>
      </c>
      <c r="O148" s="92">
        <f>VLOOKUP($A148,'Data Vlaue (Cr)'!$C:$FB,82)</f>
        <v>-0.63129999999999997</v>
      </c>
    </row>
    <row r="149" spans="1:15" x14ac:dyDescent="0.25">
      <c r="A149" s="97" t="str">
        <f>'Data Vlaue (Cr)'!C144</f>
        <v>NIFTY</v>
      </c>
      <c r="B149" s="142">
        <f>VLOOKUP(A149,'Data Vlaue (Cr)'!C144:CW358,99,0)</f>
        <v>1623353</v>
      </c>
      <c r="C149" s="90">
        <f>VLOOKUP(A149,'Data Vlaue (Cr)'!C144:CY358,101,0)</f>
        <v>66454</v>
      </c>
      <c r="D149" s="139">
        <f>VLOOKUP(A149,'Data Vlaue (Cr)'!C144:CZ358,102,0)</f>
        <v>4.2700000000000002E-2</v>
      </c>
      <c r="E149" s="91">
        <f>VLOOKUP($A149,'Data Vlaue (Cr)'!$C:$FB,75)</f>
        <v>50122</v>
      </c>
      <c r="F149" s="91">
        <f>VLOOKUP($A149,'Data Vlaue (Cr)'!$C:$FB,77)</f>
        <v>134</v>
      </c>
      <c r="G149" s="92">
        <f>VLOOKUP(A149,'Data Vlaue (Cr)'!C144:CB358,78,0)</f>
        <v>2.7000000000000001E-3</v>
      </c>
      <c r="H149" s="91">
        <f>VLOOKUP($A149,'Data Vlaue (Cr)'!$C:$FB,91)</f>
        <v>759404</v>
      </c>
      <c r="I149" s="91">
        <f>VLOOKUP($A149,'Data Vlaue (Cr)'!$C:$FB,93)</f>
        <v>-99068</v>
      </c>
      <c r="J149" s="92">
        <f>VLOOKUP($A149,'Data Vlaue (Cr)'!$C:$FB,94)</f>
        <v>-0.1154</v>
      </c>
      <c r="K149" s="91">
        <f>VLOOKUP($A149,'Data Vlaue (Cr)'!$C:$FB,95)</f>
        <v>813828</v>
      </c>
      <c r="L149" s="91">
        <f>VLOOKUP($A149,'Data Vlaue (Cr)'!$C:$FB,97)</f>
        <v>165388</v>
      </c>
      <c r="M149" s="92">
        <f>VLOOKUP($A149,'Data Vlaue (Cr)'!$C:$FB,98)</f>
        <v>0.25509999999999999</v>
      </c>
      <c r="N149" s="91">
        <f>VLOOKUP($A149,'Data Vlaue (Cr)'!$C:$FB,79)</f>
        <v>21789</v>
      </c>
      <c r="O149" s="92">
        <f>VLOOKUP($A149,'Data Vlaue (Cr)'!$C:$FB,82)</f>
        <v>-0.34789999999999999</v>
      </c>
    </row>
    <row r="150" spans="1:15" x14ac:dyDescent="0.25">
      <c r="A150" s="97" t="str">
        <f>'Data Vlaue (Cr)'!C145</f>
        <v>NIFTYNXT50</v>
      </c>
      <c r="B150" s="142">
        <f>VLOOKUP(A150,'Data Vlaue (Cr)'!C145:CW359,99,0)</f>
        <v>438</v>
      </c>
      <c r="C150" s="90">
        <f>VLOOKUP(A150,'Data Vlaue (Cr)'!C145:CY359,101,0)</f>
        <v>99</v>
      </c>
      <c r="D150" s="139">
        <f>VLOOKUP(A150,'Data Vlaue (Cr)'!C145:CZ359,102,0)</f>
        <v>0.29220000000000002</v>
      </c>
      <c r="E150" s="91">
        <f>VLOOKUP($A150,'Data Vlaue (Cr)'!$C:$FB,75)</f>
        <v>154</v>
      </c>
      <c r="F150" s="91">
        <f>VLOOKUP($A150,'Data Vlaue (Cr)'!$C:$FB,77)</f>
        <v>4</v>
      </c>
      <c r="G150" s="92">
        <f>VLOOKUP(A150,'Data Vlaue (Cr)'!C145:CB359,78,0)</f>
        <v>2.7900000000000001E-2</v>
      </c>
      <c r="H150" s="91">
        <f>VLOOKUP($A150,'Data Vlaue (Cr)'!$C:$FB,91)</f>
        <v>108</v>
      </c>
      <c r="I150" s="91">
        <f>VLOOKUP($A150,'Data Vlaue (Cr)'!$C:$FB,93)</f>
        <v>30</v>
      </c>
      <c r="J150" s="92">
        <f>VLOOKUP($A150,'Data Vlaue (Cr)'!$C:$FB,94)</f>
        <v>0.37690000000000001</v>
      </c>
      <c r="K150" s="91">
        <f>VLOOKUP($A150,'Data Vlaue (Cr)'!$C:$FB,95)</f>
        <v>177</v>
      </c>
      <c r="L150" s="91">
        <f>VLOOKUP($A150,'Data Vlaue (Cr)'!$C:$FB,97)</f>
        <v>65</v>
      </c>
      <c r="M150" s="92">
        <f>VLOOKUP($A150,'Data Vlaue (Cr)'!$C:$FB,98)</f>
        <v>0.58660000000000001</v>
      </c>
      <c r="N150" s="91">
        <f>VLOOKUP($A150,'Data Vlaue (Cr)'!$C:$FB,79)</f>
        <v>70</v>
      </c>
      <c r="O150" s="92">
        <f>VLOOKUP($A150,'Data Vlaue (Cr)'!$C:$FB,82)</f>
        <v>-0.25790000000000002</v>
      </c>
    </row>
    <row r="151" spans="1:15" x14ac:dyDescent="0.25">
      <c r="A151" s="97" t="str">
        <f>'Data Vlaue (Cr)'!C146</f>
        <v>NMDC</v>
      </c>
      <c r="B151" s="142">
        <f>VLOOKUP(A151,'Data Vlaue (Cr)'!C146:CW360,99,0)</f>
        <v>4215</v>
      </c>
      <c r="C151" s="90">
        <f>VLOOKUP(A151,'Data Vlaue (Cr)'!C146:CY360,101,0)</f>
        <v>55</v>
      </c>
      <c r="D151" s="139">
        <f>VLOOKUP(A151,'Data Vlaue (Cr)'!C146:CZ360,102,0)</f>
        <v>1.3299999999999999E-2</v>
      </c>
      <c r="E151" s="91">
        <f>VLOOKUP($A151,'Data Vlaue (Cr)'!$C:$FB,75)</f>
        <v>2262</v>
      </c>
      <c r="F151" s="91">
        <f>VLOOKUP($A151,'Data Vlaue (Cr)'!$C:$FB,77)</f>
        <v>13</v>
      </c>
      <c r="G151" s="92">
        <f>VLOOKUP(A151,'Data Vlaue (Cr)'!C146:CB360,78,0)</f>
        <v>5.5999999999999999E-3</v>
      </c>
      <c r="H151" s="91">
        <f>VLOOKUP($A151,'Data Vlaue (Cr)'!$C:$FB,91)</f>
        <v>1201</v>
      </c>
      <c r="I151" s="91">
        <f>VLOOKUP($A151,'Data Vlaue (Cr)'!$C:$FB,93)</f>
        <v>8</v>
      </c>
      <c r="J151" s="92">
        <f>VLOOKUP($A151,'Data Vlaue (Cr)'!$C:$FB,94)</f>
        <v>6.4000000000000003E-3</v>
      </c>
      <c r="K151" s="91">
        <f>VLOOKUP($A151,'Data Vlaue (Cr)'!$C:$FB,95)</f>
        <v>752</v>
      </c>
      <c r="L151" s="91">
        <f>VLOOKUP($A151,'Data Vlaue (Cr)'!$C:$FB,97)</f>
        <v>35</v>
      </c>
      <c r="M151" s="92">
        <f>VLOOKUP($A151,'Data Vlaue (Cr)'!$C:$FB,98)</f>
        <v>4.8800000000000003E-2</v>
      </c>
      <c r="N151" s="91">
        <f>VLOOKUP($A151,'Data Vlaue (Cr)'!$C:$FB,79)</f>
        <v>365</v>
      </c>
      <c r="O151" s="92">
        <f>VLOOKUP($A151,'Data Vlaue (Cr)'!$C:$FB,82)</f>
        <v>-0.67569999999999997</v>
      </c>
    </row>
    <row r="152" spans="1:15" x14ac:dyDescent="0.25">
      <c r="A152" s="97" t="str">
        <f>'Data Vlaue (Cr)'!C147</f>
        <v>NTPC</v>
      </c>
      <c r="B152" s="142">
        <f>VLOOKUP(A152,'Data Vlaue (Cr)'!C147:CW361,99,0)</f>
        <v>5878</v>
      </c>
      <c r="C152" s="90">
        <f>VLOOKUP(A152,'Data Vlaue (Cr)'!C147:CY361,101,0)</f>
        <v>54</v>
      </c>
      <c r="D152" s="139">
        <f>VLOOKUP(A152,'Data Vlaue (Cr)'!C147:CZ361,102,0)</f>
        <v>9.1999999999999998E-3</v>
      </c>
      <c r="E152" s="91">
        <f>VLOOKUP($A152,'Data Vlaue (Cr)'!$C:$FB,75)</f>
        <v>3556</v>
      </c>
      <c r="F152" s="91">
        <f>VLOOKUP($A152,'Data Vlaue (Cr)'!$C:$FB,77)</f>
        <v>19</v>
      </c>
      <c r="G152" s="92">
        <f>VLOOKUP(A152,'Data Vlaue (Cr)'!C147:CB361,78,0)</f>
        <v>5.1999999999999998E-3</v>
      </c>
      <c r="H152" s="91">
        <f>VLOOKUP($A152,'Data Vlaue (Cr)'!$C:$FB,91)</f>
        <v>1612</v>
      </c>
      <c r="I152" s="91">
        <f>VLOOKUP($A152,'Data Vlaue (Cr)'!$C:$FB,93)</f>
        <v>-33</v>
      </c>
      <c r="J152" s="92">
        <f>VLOOKUP($A152,'Data Vlaue (Cr)'!$C:$FB,94)</f>
        <v>-1.9800000000000002E-2</v>
      </c>
      <c r="K152" s="91">
        <f>VLOOKUP($A152,'Data Vlaue (Cr)'!$C:$FB,95)</f>
        <v>710</v>
      </c>
      <c r="L152" s="91">
        <f>VLOOKUP($A152,'Data Vlaue (Cr)'!$C:$FB,97)</f>
        <v>68</v>
      </c>
      <c r="M152" s="92">
        <f>VLOOKUP($A152,'Data Vlaue (Cr)'!$C:$FB,98)</f>
        <v>0.1057</v>
      </c>
      <c r="N152" s="91">
        <f>VLOOKUP($A152,'Data Vlaue (Cr)'!$C:$FB,79)</f>
        <v>803</v>
      </c>
      <c r="O152" s="92">
        <f>VLOOKUP($A152,'Data Vlaue (Cr)'!$C:$FB,82)</f>
        <v>-0.5484</v>
      </c>
    </row>
    <row r="153" spans="1:15" x14ac:dyDescent="0.25">
      <c r="A153" s="97" t="str">
        <f>'Data Vlaue (Cr)'!C148</f>
        <v>NUVAMA</v>
      </c>
      <c r="B153" s="142">
        <f>VLOOKUP(A153,'Data Vlaue (Cr)'!C148:CW362,99,0)</f>
        <v>822</v>
      </c>
      <c r="C153" s="90">
        <f>VLOOKUP(A153,'Data Vlaue (Cr)'!C148:CY362,101,0)</f>
        <v>-42</v>
      </c>
      <c r="D153" s="139">
        <f>VLOOKUP(A153,'Data Vlaue (Cr)'!C148:CZ362,102,0)</f>
        <v>-4.8599999999999997E-2</v>
      </c>
      <c r="E153" s="91">
        <f>VLOOKUP($A153,'Data Vlaue (Cr)'!$C:$FB,75)</f>
        <v>388</v>
      </c>
      <c r="F153" s="91">
        <f>VLOOKUP($A153,'Data Vlaue (Cr)'!$C:$FB,77)</f>
        <v>31</v>
      </c>
      <c r="G153" s="92">
        <f>VLOOKUP(A153,'Data Vlaue (Cr)'!C148:CB362,78,0)</f>
        <v>8.7800000000000003E-2</v>
      </c>
      <c r="H153" s="91">
        <f>VLOOKUP($A153,'Data Vlaue (Cr)'!$C:$FB,91)</f>
        <v>247</v>
      </c>
      <c r="I153" s="91">
        <f>VLOOKUP($A153,'Data Vlaue (Cr)'!$C:$FB,93)</f>
        <v>-52</v>
      </c>
      <c r="J153" s="92">
        <f>VLOOKUP($A153,'Data Vlaue (Cr)'!$C:$FB,94)</f>
        <v>-0.17419999999999999</v>
      </c>
      <c r="K153" s="91">
        <f>VLOOKUP($A153,'Data Vlaue (Cr)'!$C:$FB,95)</f>
        <v>188</v>
      </c>
      <c r="L153" s="91">
        <f>VLOOKUP($A153,'Data Vlaue (Cr)'!$C:$FB,97)</f>
        <v>-21</v>
      </c>
      <c r="M153" s="92">
        <f>VLOOKUP($A153,'Data Vlaue (Cr)'!$C:$FB,98)</f>
        <v>-0.1019</v>
      </c>
      <c r="N153" s="91">
        <f>VLOOKUP($A153,'Data Vlaue (Cr)'!$C:$FB,79)</f>
        <v>133</v>
      </c>
      <c r="O153" s="92">
        <f>VLOOKUP($A153,'Data Vlaue (Cr)'!$C:$FB,82)</f>
        <v>-0.28520000000000001</v>
      </c>
    </row>
    <row r="154" spans="1:15" x14ac:dyDescent="0.25">
      <c r="A154" s="97" t="str">
        <f>'Data Vlaue (Cr)'!C149</f>
        <v>NYKAA</v>
      </c>
      <c r="B154" s="142">
        <f>VLOOKUP(A154,'Data Vlaue (Cr)'!C149:CW363,99,0)</f>
        <v>2303</v>
      </c>
      <c r="C154" s="90">
        <f>VLOOKUP(A154,'Data Vlaue (Cr)'!C149:CY363,101,0)</f>
        <v>-118</v>
      </c>
      <c r="D154" s="139">
        <f>VLOOKUP(A154,'Data Vlaue (Cr)'!C149:CZ363,102,0)</f>
        <v>-4.8899999999999999E-2</v>
      </c>
      <c r="E154" s="91">
        <f>VLOOKUP($A154,'Data Vlaue (Cr)'!$C:$FB,75)</f>
        <v>1686</v>
      </c>
      <c r="F154" s="91">
        <f>VLOOKUP($A154,'Data Vlaue (Cr)'!$C:$FB,77)</f>
        <v>-108</v>
      </c>
      <c r="G154" s="92">
        <f>VLOOKUP(A154,'Data Vlaue (Cr)'!C149:CB363,78,0)</f>
        <v>-6.0199999999999997E-2</v>
      </c>
      <c r="H154" s="91">
        <f>VLOOKUP($A154,'Data Vlaue (Cr)'!$C:$FB,91)</f>
        <v>348</v>
      </c>
      <c r="I154" s="91">
        <f>VLOOKUP($A154,'Data Vlaue (Cr)'!$C:$FB,93)</f>
        <v>-14</v>
      </c>
      <c r="J154" s="92">
        <f>VLOOKUP($A154,'Data Vlaue (Cr)'!$C:$FB,94)</f>
        <v>-3.8100000000000002E-2</v>
      </c>
      <c r="K154" s="91">
        <f>VLOOKUP($A154,'Data Vlaue (Cr)'!$C:$FB,95)</f>
        <v>269</v>
      </c>
      <c r="L154" s="91">
        <f>VLOOKUP($A154,'Data Vlaue (Cr)'!$C:$FB,97)</f>
        <v>3</v>
      </c>
      <c r="M154" s="92">
        <f>VLOOKUP($A154,'Data Vlaue (Cr)'!$C:$FB,98)</f>
        <v>1.29E-2</v>
      </c>
      <c r="N154" s="91">
        <f>VLOOKUP($A154,'Data Vlaue (Cr)'!$C:$FB,79)</f>
        <v>244</v>
      </c>
      <c r="O154" s="92">
        <f>VLOOKUP($A154,'Data Vlaue (Cr)'!$C:$FB,82)</f>
        <v>-0.60550000000000004</v>
      </c>
    </row>
    <row r="155" spans="1:15" x14ac:dyDescent="0.25">
      <c r="A155" s="97" t="str">
        <f>'Data Vlaue (Cr)'!C150</f>
        <v>OBEROIRLTY</v>
      </c>
      <c r="B155" s="142">
        <f>VLOOKUP(A155,'Data Vlaue (Cr)'!C150:CW364,99,0)</f>
        <v>1463</v>
      </c>
      <c r="C155" s="90">
        <f>VLOOKUP(A155,'Data Vlaue (Cr)'!C150:CY364,101,0)</f>
        <v>-37</v>
      </c>
      <c r="D155" s="139">
        <f>VLOOKUP(A155,'Data Vlaue (Cr)'!C150:CZ364,102,0)</f>
        <v>-2.4400000000000002E-2</v>
      </c>
      <c r="E155" s="91">
        <f>VLOOKUP($A155,'Data Vlaue (Cr)'!$C:$FB,75)</f>
        <v>870</v>
      </c>
      <c r="F155" s="91">
        <f>VLOOKUP($A155,'Data Vlaue (Cr)'!$C:$FB,77)</f>
        <v>-14</v>
      </c>
      <c r="G155" s="92">
        <f>VLOOKUP(A155,'Data Vlaue (Cr)'!C150:CB364,78,0)</f>
        <v>-1.5800000000000002E-2</v>
      </c>
      <c r="H155" s="91">
        <f>VLOOKUP($A155,'Data Vlaue (Cr)'!$C:$FB,91)</f>
        <v>349</v>
      </c>
      <c r="I155" s="91">
        <f>VLOOKUP($A155,'Data Vlaue (Cr)'!$C:$FB,93)</f>
        <v>-24</v>
      </c>
      <c r="J155" s="92">
        <f>VLOOKUP($A155,'Data Vlaue (Cr)'!$C:$FB,94)</f>
        <v>-6.3299999999999995E-2</v>
      </c>
      <c r="K155" s="91">
        <f>VLOOKUP($A155,'Data Vlaue (Cr)'!$C:$FB,95)</f>
        <v>243</v>
      </c>
      <c r="L155" s="91">
        <f>VLOOKUP($A155,'Data Vlaue (Cr)'!$C:$FB,97)</f>
        <v>1</v>
      </c>
      <c r="M155" s="92">
        <f>VLOOKUP($A155,'Data Vlaue (Cr)'!$C:$FB,98)</f>
        <v>4.0000000000000001E-3</v>
      </c>
      <c r="N155" s="91">
        <f>VLOOKUP($A155,'Data Vlaue (Cr)'!$C:$FB,79)</f>
        <v>157</v>
      </c>
      <c r="O155" s="92">
        <f>VLOOKUP($A155,'Data Vlaue (Cr)'!$C:$FB,82)</f>
        <v>-0.56820000000000004</v>
      </c>
    </row>
    <row r="156" spans="1:15" x14ac:dyDescent="0.25">
      <c r="A156" s="97" t="str">
        <f>'Data Vlaue (Cr)'!C151</f>
        <v>OFSS</v>
      </c>
      <c r="B156" s="142">
        <f>VLOOKUP(A156,'Data Vlaue (Cr)'!C151:CW365,99,0)</f>
        <v>2312</v>
      </c>
      <c r="C156" s="90">
        <f>VLOOKUP(A156,'Data Vlaue (Cr)'!C151:CY365,101,0)</f>
        <v>-310</v>
      </c>
      <c r="D156" s="139">
        <f>VLOOKUP(A156,'Data Vlaue (Cr)'!C151:CZ365,102,0)</f>
        <v>-0.1183</v>
      </c>
      <c r="E156" s="91">
        <f>VLOOKUP($A156,'Data Vlaue (Cr)'!$C:$FB,75)</f>
        <v>1180</v>
      </c>
      <c r="F156" s="91">
        <f>VLOOKUP($A156,'Data Vlaue (Cr)'!$C:$FB,77)</f>
        <v>-135</v>
      </c>
      <c r="G156" s="92">
        <f>VLOOKUP(A156,'Data Vlaue (Cr)'!C151:CB365,78,0)</f>
        <v>-0.10249999999999999</v>
      </c>
      <c r="H156" s="91">
        <f>VLOOKUP($A156,'Data Vlaue (Cr)'!$C:$FB,91)</f>
        <v>741</v>
      </c>
      <c r="I156" s="91">
        <f>VLOOKUP($A156,'Data Vlaue (Cr)'!$C:$FB,93)</f>
        <v>-140</v>
      </c>
      <c r="J156" s="92">
        <f>VLOOKUP($A156,'Data Vlaue (Cr)'!$C:$FB,94)</f>
        <v>-0.1593</v>
      </c>
      <c r="K156" s="91">
        <f>VLOOKUP($A156,'Data Vlaue (Cr)'!$C:$FB,95)</f>
        <v>390</v>
      </c>
      <c r="L156" s="91">
        <f>VLOOKUP($A156,'Data Vlaue (Cr)'!$C:$FB,97)</f>
        <v>-35</v>
      </c>
      <c r="M156" s="92">
        <f>VLOOKUP($A156,'Data Vlaue (Cr)'!$C:$FB,98)</f>
        <v>-8.2100000000000006E-2</v>
      </c>
      <c r="N156" s="91">
        <f>VLOOKUP($A156,'Data Vlaue (Cr)'!$C:$FB,79)</f>
        <v>313</v>
      </c>
      <c r="O156" s="92">
        <f>VLOOKUP($A156,'Data Vlaue (Cr)'!$C:$FB,82)</f>
        <v>-0.50539999999999996</v>
      </c>
    </row>
    <row r="157" spans="1:15" x14ac:dyDescent="0.25">
      <c r="A157" s="97" t="str">
        <f>'Data Vlaue (Cr)'!C152</f>
        <v>OIL</v>
      </c>
      <c r="B157" s="142">
        <f>VLOOKUP(A157,'Data Vlaue (Cr)'!C152:CW366,99,0)</f>
        <v>819</v>
      </c>
      <c r="C157" s="90">
        <f>VLOOKUP(A157,'Data Vlaue (Cr)'!C152:CY366,101,0)</f>
        <v>-72</v>
      </c>
      <c r="D157" s="139">
        <f>VLOOKUP(A157,'Data Vlaue (Cr)'!C152:CZ366,102,0)</f>
        <v>-8.0799999999999997E-2</v>
      </c>
      <c r="E157" s="91">
        <f>VLOOKUP($A157,'Data Vlaue (Cr)'!$C:$FB,75)</f>
        <v>462</v>
      </c>
      <c r="F157" s="91">
        <f>VLOOKUP($A157,'Data Vlaue (Cr)'!$C:$FB,77)</f>
        <v>-8</v>
      </c>
      <c r="G157" s="92">
        <f>VLOOKUP(A157,'Data Vlaue (Cr)'!C152:CB366,78,0)</f>
        <v>-1.77E-2</v>
      </c>
      <c r="H157" s="91">
        <f>VLOOKUP($A157,'Data Vlaue (Cr)'!$C:$FB,91)</f>
        <v>216</v>
      </c>
      <c r="I157" s="91">
        <f>VLOOKUP($A157,'Data Vlaue (Cr)'!$C:$FB,93)</f>
        <v>-62</v>
      </c>
      <c r="J157" s="92">
        <f>VLOOKUP($A157,'Data Vlaue (Cr)'!$C:$FB,94)</f>
        <v>-0.22159999999999999</v>
      </c>
      <c r="K157" s="91">
        <f>VLOOKUP($A157,'Data Vlaue (Cr)'!$C:$FB,95)</f>
        <v>140</v>
      </c>
      <c r="L157" s="91">
        <f>VLOOKUP($A157,'Data Vlaue (Cr)'!$C:$FB,97)</f>
        <v>-2</v>
      </c>
      <c r="M157" s="92">
        <f>VLOOKUP($A157,'Data Vlaue (Cr)'!$C:$FB,98)</f>
        <v>-1.4500000000000001E-2</v>
      </c>
      <c r="N157" s="91">
        <f>VLOOKUP($A157,'Data Vlaue (Cr)'!$C:$FB,79)</f>
        <v>108</v>
      </c>
      <c r="O157" s="92">
        <f>VLOOKUP($A157,'Data Vlaue (Cr)'!$C:$FB,82)</f>
        <v>-0.43030000000000002</v>
      </c>
    </row>
    <row r="158" spans="1:15" x14ac:dyDescent="0.25">
      <c r="A158" s="97" t="str">
        <f>'Data Vlaue (Cr)'!C153</f>
        <v>ONGC</v>
      </c>
      <c r="B158" s="142">
        <f>VLOOKUP(A158,'Data Vlaue (Cr)'!C153:CW367,99,0)</f>
        <v>5418</v>
      </c>
      <c r="C158" s="90">
        <f>VLOOKUP(A158,'Data Vlaue (Cr)'!C153:CY367,101,0)</f>
        <v>-124</v>
      </c>
      <c r="D158" s="139">
        <f>VLOOKUP(A158,'Data Vlaue (Cr)'!C153:CZ367,102,0)</f>
        <v>-2.24E-2</v>
      </c>
      <c r="E158" s="91">
        <f>VLOOKUP($A158,'Data Vlaue (Cr)'!$C:$FB,75)</f>
        <v>2919</v>
      </c>
      <c r="F158" s="91">
        <f>VLOOKUP($A158,'Data Vlaue (Cr)'!$C:$FB,77)</f>
        <v>21</v>
      </c>
      <c r="G158" s="92">
        <f>VLOOKUP(A158,'Data Vlaue (Cr)'!C153:CB367,78,0)</f>
        <v>7.4000000000000003E-3</v>
      </c>
      <c r="H158" s="91">
        <f>VLOOKUP($A158,'Data Vlaue (Cr)'!$C:$FB,91)</f>
        <v>1478</v>
      </c>
      <c r="I158" s="91">
        <f>VLOOKUP($A158,'Data Vlaue (Cr)'!$C:$FB,93)</f>
        <v>-106</v>
      </c>
      <c r="J158" s="92">
        <f>VLOOKUP($A158,'Data Vlaue (Cr)'!$C:$FB,94)</f>
        <v>-6.6699999999999995E-2</v>
      </c>
      <c r="K158" s="91">
        <f>VLOOKUP($A158,'Data Vlaue (Cr)'!$C:$FB,95)</f>
        <v>1021</v>
      </c>
      <c r="L158" s="91">
        <f>VLOOKUP($A158,'Data Vlaue (Cr)'!$C:$FB,97)</f>
        <v>-40</v>
      </c>
      <c r="M158" s="92">
        <f>VLOOKUP($A158,'Data Vlaue (Cr)'!$C:$FB,98)</f>
        <v>-3.7400000000000003E-2</v>
      </c>
      <c r="N158" s="91">
        <f>VLOOKUP($A158,'Data Vlaue (Cr)'!$C:$FB,79)</f>
        <v>909</v>
      </c>
      <c r="O158" s="92">
        <f>VLOOKUP($A158,'Data Vlaue (Cr)'!$C:$FB,82)</f>
        <v>-0.43869999999999998</v>
      </c>
    </row>
    <row r="159" spans="1:15" x14ac:dyDescent="0.25">
      <c r="A159" s="97" t="str">
        <f>'Data Vlaue (Cr)'!C154</f>
        <v>PAGEIND</v>
      </c>
      <c r="B159" s="142">
        <f>VLOOKUP(A159,'Data Vlaue (Cr)'!C154:CW368,99,0)</f>
        <v>1471</v>
      </c>
      <c r="C159" s="90">
        <f>VLOOKUP(A159,'Data Vlaue (Cr)'!C154:CY368,101,0)</f>
        <v>-104</v>
      </c>
      <c r="D159" s="139">
        <f>VLOOKUP(A159,'Data Vlaue (Cr)'!C154:CZ368,102,0)</f>
        <v>-6.6000000000000003E-2</v>
      </c>
      <c r="E159" s="91">
        <f>VLOOKUP($A159,'Data Vlaue (Cr)'!$C:$FB,75)</f>
        <v>933</v>
      </c>
      <c r="F159" s="91">
        <f>VLOOKUP($A159,'Data Vlaue (Cr)'!$C:$FB,77)</f>
        <v>-25</v>
      </c>
      <c r="G159" s="92">
        <f>VLOOKUP(A159,'Data Vlaue (Cr)'!C154:CB368,78,0)</f>
        <v>-2.64E-2</v>
      </c>
      <c r="H159" s="91">
        <f>VLOOKUP($A159,'Data Vlaue (Cr)'!$C:$FB,91)</f>
        <v>368</v>
      </c>
      <c r="I159" s="91">
        <f>VLOOKUP($A159,'Data Vlaue (Cr)'!$C:$FB,93)</f>
        <v>-74</v>
      </c>
      <c r="J159" s="92">
        <f>VLOOKUP($A159,'Data Vlaue (Cr)'!$C:$FB,94)</f>
        <v>-0.1681</v>
      </c>
      <c r="K159" s="91">
        <f>VLOOKUP($A159,'Data Vlaue (Cr)'!$C:$FB,95)</f>
        <v>170</v>
      </c>
      <c r="L159" s="91">
        <f>VLOOKUP($A159,'Data Vlaue (Cr)'!$C:$FB,97)</f>
        <v>-4</v>
      </c>
      <c r="M159" s="92">
        <f>VLOOKUP($A159,'Data Vlaue (Cr)'!$C:$FB,98)</f>
        <v>-2.47E-2</v>
      </c>
      <c r="N159" s="91">
        <f>VLOOKUP($A159,'Data Vlaue (Cr)'!$C:$FB,79)</f>
        <v>117</v>
      </c>
      <c r="O159" s="92">
        <f>VLOOKUP($A159,'Data Vlaue (Cr)'!$C:$FB,82)</f>
        <v>-0.65820000000000001</v>
      </c>
    </row>
    <row r="160" spans="1:15" x14ac:dyDescent="0.25">
      <c r="A160" s="97" t="str">
        <f>'Data Vlaue (Cr)'!C155</f>
        <v>PATANJALI</v>
      </c>
      <c r="B160" s="142">
        <f>VLOOKUP(A160,'Data Vlaue (Cr)'!C155:CW369,99,0)</f>
        <v>2462</v>
      </c>
      <c r="C160" s="90">
        <f>VLOOKUP(A160,'Data Vlaue (Cr)'!C155:CY369,101,0)</f>
        <v>-32</v>
      </c>
      <c r="D160" s="139">
        <f>VLOOKUP(A160,'Data Vlaue (Cr)'!C155:CZ369,102,0)</f>
        <v>-1.2699999999999999E-2</v>
      </c>
      <c r="E160" s="91">
        <f>VLOOKUP($A160,'Data Vlaue (Cr)'!$C:$FB,75)</f>
        <v>1993</v>
      </c>
      <c r="F160" s="91">
        <f>VLOOKUP($A160,'Data Vlaue (Cr)'!$C:$FB,77)</f>
        <v>16</v>
      </c>
      <c r="G160" s="92">
        <f>VLOOKUP(A160,'Data Vlaue (Cr)'!C155:CB369,78,0)</f>
        <v>8.0000000000000002E-3</v>
      </c>
      <c r="H160" s="91">
        <f>VLOOKUP($A160,'Data Vlaue (Cr)'!$C:$FB,91)</f>
        <v>299</v>
      </c>
      <c r="I160" s="91">
        <f>VLOOKUP($A160,'Data Vlaue (Cr)'!$C:$FB,93)</f>
        <v>-48</v>
      </c>
      <c r="J160" s="92">
        <f>VLOOKUP($A160,'Data Vlaue (Cr)'!$C:$FB,94)</f>
        <v>-0.1389</v>
      </c>
      <c r="K160" s="91">
        <f>VLOOKUP($A160,'Data Vlaue (Cr)'!$C:$FB,95)</f>
        <v>171</v>
      </c>
      <c r="L160" s="91">
        <f>VLOOKUP($A160,'Data Vlaue (Cr)'!$C:$FB,97)</f>
        <v>1</v>
      </c>
      <c r="M160" s="92">
        <f>VLOOKUP($A160,'Data Vlaue (Cr)'!$C:$FB,98)</f>
        <v>4.1000000000000003E-3</v>
      </c>
      <c r="N160" s="91">
        <f>VLOOKUP($A160,'Data Vlaue (Cr)'!$C:$FB,79)</f>
        <v>555</v>
      </c>
      <c r="O160" s="92">
        <f>VLOOKUP($A160,'Data Vlaue (Cr)'!$C:$FB,82)</f>
        <v>-0.52829999999999999</v>
      </c>
    </row>
    <row r="161" spans="1:15" x14ac:dyDescent="0.25">
      <c r="A161" s="97" t="str">
        <f>'Data Vlaue (Cr)'!C156</f>
        <v>PAYTM</v>
      </c>
      <c r="B161" s="142">
        <f>VLOOKUP(A161,'Data Vlaue (Cr)'!C156:CW370,99,0)</f>
        <v>4797</v>
      </c>
      <c r="C161" s="90">
        <f>VLOOKUP(A161,'Data Vlaue (Cr)'!C156:CY370,101,0)</f>
        <v>-54</v>
      </c>
      <c r="D161" s="139">
        <f>VLOOKUP(A161,'Data Vlaue (Cr)'!C156:CZ370,102,0)</f>
        <v>-1.11E-2</v>
      </c>
      <c r="E161" s="91">
        <f>VLOOKUP($A161,'Data Vlaue (Cr)'!$C:$FB,75)</f>
        <v>3016</v>
      </c>
      <c r="F161" s="91">
        <f>VLOOKUP($A161,'Data Vlaue (Cr)'!$C:$FB,77)</f>
        <v>7</v>
      </c>
      <c r="G161" s="92">
        <f>VLOOKUP(A161,'Data Vlaue (Cr)'!C156:CB370,78,0)</f>
        <v>2.5000000000000001E-3</v>
      </c>
      <c r="H161" s="91">
        <f>VLOOKUP($A161,'Data Vlaue (Cr)'!$C:$FB,91)</f>
        <v>967</v>
      </c>
      <c r="I161" s="91">
        <f>VLOOKUP($A161,'Data Vlaue (Cr)'!$C:$FB,93)</f>
        <v>-12</v>
      </c>
      <c r="J161" s="92">
        <f>VLOOKUP($A161,'Data Vlaue (Cr)'!$C:$FB,94)</f>
        <v>-1.26E-2</v>
      </c>
      <c r="K161" s="91">
        <f>VLOOKUP($A161,'Data Vlaue (Cr)'!$C:$FB,95)</f>
        <v>814</v>
      </c>
      <c r="L161" s="91">
        <f>VLOOKUP($A161,'Data Vlaue (Cr)'!$C:$FB,97)</f>
        <v>-49</v>
      </c>
      <c r="M161" s="92">
        <f>VLOOKUP($A161,'Data Vlaue (Cr)'!$C:$FB,98)</f>
        <v>-5.6399999999999999E-2</v>
      </c>
      <c r="N161" s="91">
        <f>VLOOKUP($A161,'Data Vlaue (Cr)'!$C:$FB,79)</f>
        <v>392</v>
      </c>
      <c r="O161" s="92">
        <f>VLOOKUP($A161,'Data Vlaue (Cr)'!$C:$FB,82)</f>
        <v>-0.6704</v>
      </c>
    </row>
    <row r="162" spans="1:15" x14ac:dyDescent="0.25">
      <c r="A162" s="97" t="str">
        <f>'Data Vlaue (Cr)'!C157</f>
        <v>PERSISTENT</v>
      </c>
      <c r="B162" s="142">
        <f>VLOOKUP(A162,'Data Vlaue (Cr)'!C157:CW371,99,0)</f>
        <v>3256</v>
      </c>
      <c r="C162" s="90">
        <f>VLOOKUP(A162,'Data Vlaue (Cr)'!C157:CY371,101,0)</f>
        <v>-358</v>
      </c>
      <c r="D162" s="139">
        <f>VLOOKUP(A162,'Data Vlaue (Cr)'!C157:CZ371,102,0)</f>
        <v>-9.9000000000000005E-2</v>
      </c>
      <c r="E162" s="91">
        <f>VLOOKUP($A162,'Data Vlaue (Cr)'!$C:$FB,75)</f>
        <v>1765</v>
      </c>
      <c r="F162" s="91">
        <f>VLOOKUP($A162,'Data Vlaue (Cr)'!$C:$FB,77)</f>
        <v>-38</v>
      </c>
      <c r="G162" s="92">
        <f>VLOOKUP(A162,'Data Vlaue (Cr)'!C157:CB371,78,0)</f>
        <v>-2.1299999999999999E-2</v>
      </c>
      <c r="H162" s="91">
        <f>VLOOKUP($A162,'Data Vlaue (Cr)'!$C:$FB,91)</f>
        <v>770</v>
      </c>
      <c r="I162" s="91">
        <f>VLOOKUP($A162,'Data Vlaue (Cr)'!$C:$FB,93)</f>
        <v>-126</v>
      </c>
      <c r="J162" s="92">
        <f>VLOOKUP($A162,'Data Vlaue (Cr)'!$C:$FB,94)</f>
        <v>-0.1404</v>
      </c>
      <c r="K162" s="91">
        <f>VLOOKUP($A162,'Data Vlaue (Cr)'!$C:$FB,95)</f>
        <v>721</v>
      </c>
      <c r="L162" s="91">
        <f>VLOOKUP($A162,'Data Vlaue (Cr)'!$C:$FB,97)</f>
        <v>-194</v>
      </c>
      <c r="M162" s="92">
        <f>VLOOKUP($A162,'Data Vlaue (Cr)'!$C:$FB,98)</f>
        <v>-0.2117</v>
      </c>
      <c r="N162" s="91">
        <f>VLOOKUP($A162,'Data Vlaue (Cr)'!$C:$FB,79)</f>
        <v>398</v>
      </c>
      <c r="O162" s="92">
        <f>VLOOKUP($A162,'Data Vlaue (Cr)'!$C:$FB,82)</f>
        <v>-0.51329999999999998</v>
      </c>
    </row>
    <row r="163" spans="1:15" x14ac:dyDescent="0.25">
      <c r="A163" s="97" t="str">
        <f>'Data Vlaue (Cr)'!C158</f>
        <v>PETRONET</v>
      </c>
      <c r="B163" s="142">
        <f>VLOOKUP(A163,'Data Vlaue (Cr)'!C158:CW372,99,0)</f>
        <v>2134</v>
      </c>
      <c r="C163" s="90">
        <f>VLOOKUP(A163,'Data Vlaue (Cr)'!C158:CY372,101,0)</f>
        <v>57</v>
      </c>
      <c r="D163" s="139">
        <f>VLOOKUP(A163,'Data Vlaue (Cr)'!C158:CZ372,102,0)</f>
        <v>2.7300000000000001E-2</v>
      </c>
      <c r="E163" s="91">
        <f>VLOOKUP($A163,'Data Vlaue (Cr)'!$C:$FB,75)</f>
        <v>1226</v>
      </c>
      <c r="F163" s="91">
        <f>VLOOKUP($A163,'Data Vlaue (Cr)'!$C:$FB,77)</f>
        <v>15</v>
      </c>
      <c r="G163" s="92">
        <f>VLOOKUP(A163,'Data Vlaue (Cr)'!C158:CB372,78,0)</f>
        <v>1.2200000000000001E-2</v>
      </c>
      <c r="H163" s="91">
        <f>VLOOKUP($A163,'Data Vlaue (Cr)'!$C:$FB,91)</f>
        <v>434</v>
      </c>
      <c r="I163" s="91">
        <f>VLOOKUP($A163,'Data Vlaue (Cr)'!$C:$FB,93)</f>
        <v>19</v>
      </c>
      <c r="J163" s="92">
        <f>VLOOKUP($A163,'Data Vlaue (Cr)'!$C:$FB,94)</f>
        <v>4.65E-2</v>
      </c>
      <c r="K163" s="91">
        <f>VLOOKUP($A163,'Data Vlaue (Cr)'!$C:$FB,95)</f>
        <v>474</v>
      </c>
      <c r="L163" s="91">
        <f>VLOOKUP($A163,'Data Vlaue (Cr)'!$C:$FB,97)</f>
        <v>23</v>
      </c>
      <c r="M163" s="92">
        <f>VLOOKUP($A163,'Data Vlaue (Cr)'!$C:$FB,98)</f>
        <v>5.0299999999999997E-2</v>
      </c>
      <c r="N163" s="91">
        <f>VLOOKUP($A163,'Data Vlaue (Cr)'!$C:$FB,79)</f>
        <v>133</v>
      </c>
      <c r="O163" s="92">
        <f>VLOOKUP($A163,'Data Vlaue (Cr)'!$C:$FB,82)</f>
        <v>-0.68159999999999998</v>
      </c>
    </row>
    <row r="164" spans="1:15" x14ac:dyDescent="0.25">
      <c r="A164" s="97" t="str">
        <f>'Data Vlaue (Cr)'!C159</f>
        <v>PFC</v>
      </c>
      <c r="B164" s="142">
        <f>VLOOKUP(A164,'Data Vlaue (Cr)'!C159:CW373,99,0)</f>
        <v>4466</v>
      </c>
      <c r="C164" s="90">
        <f>VLOOKUP(A164,'Data Vlaue (Cr)'!C159:CY373,101,0)</f>
        <v>-36</v>
      </c>
      <c r="D164" s="139">
        <f>VLOOKUP(A164,'Data Vlaue (Cr)'!C159:CZ373,102,0)</f>
        <v>-7.9000000000000008E-3</v>
      </c>
      <c r="E164" s="91">
        <f>VLOOKUP($A164,'Data Vlaue (Cr)'!$C:$FB,75)</f>
        <v>2494</v>
      </c>
      <c r="F164" s="91">
        <f>VLOOKUP($A164,'Data Vlaue (Cr)'!$C:$FB,77)</f>
        <v>7</v>
      </c>
      <c r="G164" s="92">
        <f>VLOOKUP(A164,'Data Vlaue (Cr)'!C159:CB373,78,0)</f>
        <v>2.7000000000000001E-3</v>
      </c>
      <c r="H164" s="91">
        <f>VLOOKUP($A164,'Data Vlaue (Cr)'!$C:$FB,91)</f>
        <v>1075</v>
      </c>
      <c r="I164" s="91">
        <f>VLOOKUP($A164,'Data Vlaue (Cr)'!$C:$FB,93)</f>
        <v>-38</v>
      </c>
      <c r="J164" s="92">
        <f>VLOOKUP($A164,'Data Vlaue (Cr)'!$C:$FB,94)</f>
        <v>-3.4200000000000001E-2</v>
      </c>
      <c r="K164" s="91">
        <f>VLOOKUP($A164,'Data Vlaue (Cr)'!$C:$FB,95)</f>
        <v>897</v>
      </c>
      <c r="L164" s="91">
        <f>VLOOKUP($A164,'Data Vlaue (Cr)'!$C:$FB,97)</f>
        <v>-4</v>
      </c>
      <c r="M164" s="92">
        <f>VLOOKUP($A164,'Data Vlaue (Cr)'!$C:$FB,98)</f>
        <v>-4.8999999999999998E-3</v>
      </c>
      <c r="N164" s="91">
        <f>VLOOKUP($A164,'Data Vlaue (Cr)'!$C:$FB,79)</f>
        <v>738</v>
      </c>
      <c r="O164" s="92">
        <f>VLOOKUP($A164,'Data Vlaue (Cr)'!$C:$FB,82)</f>
        <v>-0.37859999999999999</v>
      </c>
    </row>
    <row r="165" spans="1:15" x14ac:dyDescent="0.25">
      <c r="A165" s="97" t="str">
        <f>'Data Vlaue (Cr)'!C160</f>
        <v>PGEL</v>
      </c>
      <c r="B165" s="142">
        <f>VLOOKUP(A165,'Data Vlaue (Cr)'!C160:CW374,99,0)</f>
        <v>1026</v>
      </c>
      <c r="C165" s="90">
        <f>VLOOKUP(A165,'Data Vlaue (Cr)'!C160:CY374,101,0)</f>
        <v>-73</v>
      </c>
      <c r="D165" s="139">
        <f>VLOOKUP(A165,'Data Vlaue (Cr)'!C160:CZ374,102,0)</f>
        <v>-6.6100000000000006E-2</v>
      </c>
      <c r="E165" s="91">
        <f>VLOOKUP($A165,'Data Vlaue (Cr)'!$C:$FB,75)</f>
        <v>464</v>
      </c>
      <c r="F165" s="91">
        <f>VLOOKUP($A165,'Data Vlaue (Cr)'!$C:$FB,77)</f>
        <v>-11</v>
      </c>
      <c r="G165" s="92">
        <f>VLOOKUP(A165,'Data Vlaue (Cr)'!C160:CB374,78,0)</f>
        <v>-2.2700000000000001E-2</v>
      </c>
      <c r="H165" s="91">
        <f>VLOOKUP($A165,'Data Vlaue (Cr)'!$C:$FB,91)</f>
        <v>334</v>
      </c>
      <c r="I165" s="91">
        <f>VLOOKUP($A165,'Data Vlaue (Cr)'!$C:$FB,93)</f>
        <v>-37</v>
      </c>
      <c r="J165" s="92">
        <f>VLOOKUP($A165,'Data Vlaue (Cr)'!$C:$FB,94)</f>
        <v>-0.1004</v>
      </c>
      <c r="K165" s="91">
        <f>VLOOKUP($A165,'Data Vlaue (Cr)'!$C:$FB,95)</f>
        <v>228</v>
      </c>
      <c r="L165" s="91">
        <f>VLOOKUP($A165,'Data Vlaue (Cr)'!$C:$FB,97)</f>
        <v>-25</v>
      </c>
      <c r="M165" s="92">
        <f>VLOOKUP($A165,'Data Vlaue (Cr)'!$C:$FB,98)</f>
        <v>-9.7500000000000003E-2</v>
      </c>
      <c r="N165" s="91">
        <f>VLOOKUP($A165,'Data Vlaue (Cr)'!$C:$FB,79)</f>
        <v>125</v>
      </c>
      <c r="O165" s="92">
        <f>VLOOKUP($A165,'Data Vlaue (Cr)'!$C:$FB,82)</f>
        <v>-0.51139999999999997</v>
      </c>
    </row>
    <row r="166" spans="1:15" x14ac:dyDescent="0.25">
      <c r="A166" s="97" t="str">
        <f>'Data Vlaue (Cr)'!C161</f>
        <v>PHOENIXLTD</v>
      </c>
      <c r="B166" s="142">
        <f>VLOOKUP(A166,'Data Vlaue (Cr)'!C161:CW375,99,0)</f>
        <v>1075</v>
      </c>
      <c r="C166" s="90">
        <f>VLOOKUP(A166,'Data Vlaue (Cr)'!C161:CY375,101,0)</f>
        <v>-2</v>
      </c>
      <c r="D166" s="139">
        <f>VLOOKUP(A166,'Data Vlaue (Cr)'!C161:CZ375,102,0)</f>
        <v>-1.6999999999999999E-3</v>
      </c>
      <c r="E166" s="91">
        <f>VLOOKUP($A166,'Data Vlaue (Cr)'!$C:$FB,75)</f>
        <v>736</v>
      </c>
      <c r="F166" s="91">
        <f>VLOOKUP($A166,'Data Vlaue (Cr)'!$C:$FB,77)</f>
        <v>42</v>
      </c>
      <c r="G166" s="92">
        <f>VLOOKUP(A166,'Data Vlaue (Cr)'!C161:CB375,78,0)</f>
        <v>6.0100000000000001E-2</v>
      </c>
      <c r="H166" s="91">
        <f>VLOOKUP($A166,'Data Vlaue (Cr)'!$C:$FB,91)</f>
        <v>206</v>
      </c>
      <c r="I166" s="91">
        <f>VLOOKUP($A166,'Data Vlaue (Cr)'!$C:$FB,93)</f>
        <v>-27</v>
      </c>
      <c r="J166" s="92">
        <f>VLOOKUP($A166,'Data Vlaue (Cr)'!$C:$FB,94)</f>
        <v>-0.1144</v>
      </c>
      <c r="K166" s="91">
        <f>VLOOKUP($A166,'Data Vlaue (Cr)'!$C:$FB,95)</f>
        <v>132</v>
      </c>
      <c r="L166" s="91">
        <f>VLOOKUP($A166,'Data Vlaue (Cr)'!$C:$FB,97)</f>
        <v>-17</v>
      </c>
      <c r="M166" s="92">
        <f>VLOOKUP($A166,'Data Vlaue (Cr)'!$C:$FB,98)</f>
        <v>-0.1133</v>
      </c>
      <c r="N166" s="91">
        <f>VLOOKUP($A166,'Data Vlaue (Cr)'!$C:$FB,79)</f>
        <v>77</v>
      </c>
      <c r="O166" s="92">
        <f>VLOOKUP($A166,'Data Vlaue (Cr)'!$C:$FB,82)</f>
        <v>-0.73350000000000004</v>
      </c>
    </row>
    <row r="167" spans="1:15" x14ac:dyDescent="0.25">
      <c r="A167" s="97" t="str">
        <f>'Data Vlaue (Cr)'!C162</f>
        <v>PIDILITIND</v>
      </c>
      <c r="B167" s="142">
        <f>VLOOKUP(A167,'Data Vlaue (Cr)'!C162:CW376,99,0)</f>
        <v>1790</v>
      </c>
      <c r="C167" s="90">
        <f>VLOOKUP(A167,'Data Vlaue (Cr)'!C162:CY376,101,0)</f>
        <v>-93</v>
      </c>
      <c r="D167" s="139">
        <f>VLOOKUP(A167,'Data Vlaue (Cr)'!C162:CZ376,102,0)</f>
        <v>-4.9599999999999998E-2</v>
      </c>
      <c r="E167" s="91">
        <f>VLOOKUP($A167,'Data Vlaue (Cr)'!$C:$FB,75)</f>
        <v>1446</v>
      </c>
      <c r="F167" s="91">
        <f>VLOOKUP($A167,'Data Vlaue (Cr)'!$C:$FB,77)</f>
        <v>-25</v>
      </c>
      <c r="G167" s="92">
        <f>VLOOKUP(A167,'Data Vlaue (Cr)'!C162:CB376,78,0)</f>
        <v>-1.7100000000000001E-2</v>
      </c>
      <c r="H167" s="91">
        <f>VLOOKUP($A167,'Data Vlaue (Cr)'!$C:$FB,91)</f>
        <v>181</v>
      </c>
      <c r="I167" s="91">
        <f>VLOOKUP($A167,'Data Vlaue (Cr)'!$C:$FB,93)</f>
        <v>-22</v>
      </c>
      <c r="J167" s="92">
        <f>VLOOKUP($A167,'Data Vlaue (Cr)'!$C:$FB,94)</f>
        <v>-0.1082</v>
      </c>
      <c r="K167" s="91">
        <f>VLOOKUP($A167,'Data Vlaue (Cr)'!$C:$FB,95)</f>
        <v>163</v>
      </c>
      <c r="L167" s="91">
        <f>VLOOKUP($A167,'Data Vlaue (Cr)'!$C:$FB,97)</f>
        <v>-46</v>
      </c>
      <c r="M167" s="92">
        <f>VLOOKUP($A167,'Data Vlaue (Cr)'!$C:$FB,98)</f>
        <v>-0.22090000000000001</v>
      </c>
      <c r="N167" s="91">
        <f>VLOOKUP($A167,'Data Vlaue (Cr)'!$C:$FB,79)</f>
        <v>255</v>
      </c>
      <c r="O167" s="92">
        <f>VLOOKUP($A167,'Data Vlaue (Cr)'!$C:$FB,82)</f>
        <v>-0.61929999999999996</v>
      </c>
    </row>
    <row r="168" spans="1:15" x14ac:dyDescent="0.25">
      <c r="A168" s="97" t="str">
        <f>'Data Vlaue (Cr)'!C163</f>
        <v>PIIND</v>
      </c>
      <c r="B168" s="142">
        <f>VLOOKUP(A168,'Data Vlaue (Cr)'!C163:CW377,99,0)</f>
        <v>978</v>
      </c>
      <c r="C168" s="90">
        <f>VLOOKUP(A168,'Data Vlaue (Cr)'!C163:CY377,101,0)</f>
        <v>-19</v>
      </c>
      <c r="D168" s="139">
        <f>VLOOKUP(A168,'Data Vlaue (Cr)'!C163:CZ377,102,0)</f>
        <v>-1.9099999999999999E-2</v>
      </c>
      <c r="E168" s="91">
        <f>VLOOKUP($A168,'Data Vlaue (Cr)'!$C:$FB,75)</f>
        <v>631</v>
      </c>
      <c r="F168" s="91">
        <f>VLOOKUP($A168,'Data Vlaue (Cr)'!$C:$FB,77)</f>
        <v>-14</v>
      </c>
      <c r="G168" s="92">
        <f>VLOOKUP(A168,'Data Vlaue (Cr)'!C163:CB377,78,0)</f>
        <v>-2.1299999999999999E-2</v>
      </c>
      <c r="H168" s="91">
        <f>VLOOKUP($A168,'Data Vlaue (Cr)'!$C:$FB,91)</f>
        <v>211</v>
      </c>
      <c r="I168" s="91">
        <f>VLOOKUP($A168,'Data Vlaue (Cr)'!$C:$FB,93)</f>
        <v>-6</v>
      </c>
      <c r="J168" s="92">
        <f>VLOOKUP($A168,'Data Vlaue (Cr)'!$C:$FB,94)</f>
        <v>-2.8799999999999999E-2</v>
      </c>
      <c r="K168" s="91">
        <f>VLOOKUP($A168,'Data Vlaue (Cr)'!$C:$FB,95)</f>
        <v>137</v>
      </c>
      <c r="L168" s="91">
        <f>VLOOKUP($A168,'Data Vlaue (Cr)'!$C:$FB,97)</f>
        <v>1</v>
      </c>
      <c r="M168" s="92">
        <f>VLOOKUP($A168,'Data Vlaue (Cr)'!$C:$FB,98)</f>
        <v>7.0000000000000001E-3</v>
      </c>
      <c r="N168" s="91">
        <f>VLOOKUP($A168,'Data Vlaue (Cr)'!$C:$FB,79)</f>
        <v>60</v>
      </c>
      <c r="O168" s="92">
        <f>VLOOKUP($A168,'Data Vlaue (Cr)'!$C:$FB,82)</f>
        <v>-0.68600000000000005</v>
      </c>
    </row>
    <row r="169" spans="1:15" x14ac:dyDescent="0.25">
      <c r="A169" s="97" t="str">
        <f>'Data Vlaue (Cr)'!C164</f>
        <v>PNB</v>
      </c>
      <c r="B169" s="142">
        <f>VLOOKUP(A169,'Data Vlaue (Cr)'!C164:CW378,99,0)</f>
        <v>6196</v>
      </c>
      <c r="C169" s="90">
        <f>VLOOKUP(A169,'Data Vlaue (Cr)'!C164:CY378,101,0)</f>
        <v>-192</v>
      </c>
      <c r="D169" s="139">
        <f>VLOOKUP(A169,'Data Vlaue (Cr)'!C164:CZ378,102,0)</f>
        <v>-0.03</v>
      </c>
      <c r="E169" s="91">
        <f>VLOOKUP($A169,'Data Vlaue (Cr)'!$C:$FB,75)</f>
        <v>2761</v>
      </c>
      <c r="F169" s="91">
        <f>VLOOKUP($A169,'Data Vlaue (Cr)'!$C:$FB,77)</f>
        <v>-99</v>
      </c>
      <c r="G169" s="92">
        <f>VLOOKUP(A169,'Data Vlaue (Cr)'!C164:CB378,78,0)</f>
        <v>-3.4700000000000002E-2</v>
      </c>
      <c r="H169" s="91">
        <f>VLOOKUP($A169,'Data Vlaue (Cr)'!$C:$FB,91)</f>
        <v>1846</v>
      </c>
      <c r="I169" s="91">
        <f>VLOOKUP($A169,'Data Vlaue (Cr)'!$C:$FB,93)</f>
        <v>-159</v>
      </c>
      <c r="J169" s="92">
        <f>VLOOKUP($A169,'Data Vlaue (Cr)'!$C:$FB,94)</f>
        <v>-7.9200000000000007E-2</v>
      </c>
      <c r="K169" s="91">
        <f>VLOOKUP($A169,'Data Vlaue (Cr)'!$C:$FB,95)</f>
        <v>1589</v>
      </c>
      <c r="L169" s="91">
        <f>VLOOKUP($A169,'Data Vlaue (Cr)'!$C:$FB,97)</f>
        <v>66</v>
      </c>
      <c r="M169" s="92">
        <f>VLOOKUP($A169,'Data Vlaue (Cr)'!$C:$FB,98)</f>
        <v>4.3400000000000001E-2</v>
      </c>
      <c r="N169" s="91">
        <f>VLOOKUP($A169,'Data Vlaue (Cr)'!$C:$FB,79)</f>
        <v>453</v>
      </c>
      <c r="O169" s="92">
        <f>VLOOKUP($A169,'Data Vlaue (Cr)'!$C:$FB,82)</f>
        <v>-0.65880000000000005</v>
      </c>
    </row>
    <row r="170" spans="1:15" x14ac:dyDescent="0.25">
      <c r="A170" s="97" t="str">
        <f>'Data Vlaue (Cr)'!C165</f>
        <v>PNBHOUSING</v>
      </c>
      <c r="B170" s="142">
        <f>VLOOKUP(A170,'Data Vlaue (Cr)'!C165:CW379,99,0)</f>
        <v>2713</v>
      </c>
      <c r="C170" s="90">
        <f>VLOOKUP(A170,'Data Vlaue (Cr)'!C165:CY379,101,0)</f>
        <v>259</v>
      </c>
      <c r="D170" s="139">
        <f>VLOOKUP(A170,'Data Vlaue (Cr)'!C165:CZ379,102,0)</f>
        <v>0.1057</v>
      </c>
      <c r="E170" s="91">
        <f>VLOOKUP($A170,'Data Vlaue (Cr)'!$C:$FB,75)</f>
        <v>1561</v>
      </c>
      <c r="F170" s="91">
        <f>VLOOKUP($A170,'Data Vlaue (Cr)'!$C:$FB,77)</f>
        <v>42</v>
      </c>
      <c r="G170" s="92">
        <f>VLOOKUP(A170,'Data Vlaue (Cr)'!C165:CB379,78,0)</f>
        <v>2.7300000000000001E-2</v>
      </c>
      <c r="H170" s="91">
        <f>VLOOKUP($A170,'Data Vlaue (Cr)'!$C:$FB,91)</f>
        <v>616</v>
      </c>
      <c r="I170" s="91">
        <f>VLOOKUP($A170,'Data Vlaue (Cr)'!$C:$FB,93)</f>
        <v>151</v>
      </c>
      <c r="J170" s="92">
        <f>VLOOKUP($A170,'Data Vlaue (Cr)'!$C:$FB,94)</f>
        <v>0.32540000000000002</v>
      </c>
      <c r="K170" s="91">
        <f>VLOOKUP($A170,'Data Vlaue (Cr)'!$C:$FB,95)</f>
        <v>536</v>
      </c>
      <c r="L170" s="91">
        <f>VLOOKUP($A170,'Data Vlaue (Cr)'!$C:$FB,97)</f>
        <v>66</v>
      </c>
      <c r="M170" s="92">
        <f>VLOOKUP($A170,'Data Vlaue (Cr)'!$C:$FB,98)</f>
        <v>0.14149999999999999</v>
      </c>
      <c r="N170" s="91">
        <f>VLOOKUP($A170,'Data Vlaue (Cr)'!$C:$FB,79)</f>
        <v>264</v>
      </c>
      <c r="O170" s="92">
        <f>VLOOKUP($A170,'Data Vlaue (Cr)'!$C:$FB,82)</f>
        <v>-0.60970000000000002</v>
      </c>
    </row>
    <row r="171" spans="1:15" x14ac:dyDescent="0.25">
      <c r="A171" s="97" t="str">
        <f>'Data Vlaue (Cr)'!C166</f>
        <v>POLICYBZR</v>
      </c>
      <c r="B171" s="142">
        <f>VLOOKUP(A171,'Data Vlaue (Cr)'!C166:CW380,99,0)</f>
        <v>1943</v>
      </c>
      <c r="C171" s="90">
        <f>VLOOKUP(A171,'Data Vlaue (Cr)'!C166:CY380,101,0)</f>
        <v>-5</v>
      </c>
      <c r="D171" s="139">
        <f>VLOOKUP(A171,'Data Vlaue (Cr)'!C166:CZ380,102,0)</f>
        <v>-2.5999999999999999E-3</v>
      </c>
      <c r="E171" s="91">
        <f>VLOOKUP($A171,'Data Vlaue (Cr)'!$C:$FB,75)</f>
        <v>1540</v>
      </c>
      <c r="F171" s="91">
        <f>VLOOKUP($A171,'Data Vlaue (Cr)'!$C:$FB,77)</f>
        <v>-17</v>
      </c>
      <c r="G171" s="92">
        <f>VLOOKUP(A171,'Data Vlaue (Cr)'!C166:CB380,78,0)</f>
        <v>-1.0800000000000001E-2</v>
      </c>
      <c r="H171" s="91">
        <f>VLOOKUP($A171,'Data Vlaue (Cr)'!$C:$FB,91)</f>
        <v>235</v>
      </c>
      <c r="I171" s="91">
        <f>VLOOKUP($A171,'Data Vlaue (Cr)'!$C:$FB,93)</f>
        <v>21</v>
      </c>
      <c r="J171" s="92">
        <f>VLOOKUP($A171,'Data Vlaue (Cr)'!$C:$FB,94)</f>
        <v>9.8699999999999996E-2</v>
      </c>
      <c r="K171" s="91">
        <f>VLOOKUP($A171,'Data Vlaue (Cr)'!$C:$FB,95)</f>
        <v>168</v>
      </c>
      <c r="L171" s="91">
        <f>VLOOKUP($A171,'Data Vlaue (Cr)'!$C:$FB,97)</f>
        <v>-9</v>
      </c>
      <c r="M171" s="92">
        <f>VLOOKUP($A171,'Data Vlaue (Cr)'!$C:$FB,98)</f>
        <v>-5.33E-2</v>
      </c>
      <c r="N171" s="91">
        <f>VLOOKUP($A171,'Data Vlaue (Cr)'!$C:$FB,79)</f>
        <v>194</v>
      </c>
      <c r="O171" s="92">
        <f>VLOOKUP($A171,'Data Vlaue (Cr)'!$C:$FB,82)</f>
        <v>-0.7248</v>
      </c>
    </row>
    <row r="172" spans="1:15" x14ac:dyDescent="0.25">
      <c r="A172" s="97" t="str">
        <f>'Data Vlaue (Cr)'!C167</f>
        <v>POLYCAB</v>
      </c>
      <c r="B172" s="142">
        <f>VLOOKUP(A172,'Data Vlaue (Cr)'!C167:CW381,99,0)</f>
        <v>2700</v>
      </c>
      <c r="C172" s="90">
        <f>VLOOKUP(A172,'Data Vlaue (Cr)'!C167:CY381,101,0)</f>
        <v>-212</v>
      </c>
      <c r="D172" s="139">
        <f>VLOOKUP(A172,'Data Vlaue (Cr)'!C167:CZ381,102,0)</f>
        <v>-7.2900000000000006E-2</v>
      </c>
      <c r="E172" s="91">
        <f>VLOOKUP($A172,'Data Vlaue (Cr)'!$C:$FB,75)</f>
        <v>1400</v>
      </c>
      <c r="F172" s="91">
        <f>VLOOKUP($A172,'Data Vlaue (Cr)'!$C:$FB,77)</f>
        <v>21</v>
      </c>
      <c r="G172" s="92">
        <f>VLOOKUP(A172,'Data Vlaue (Cr)'!C167:CB381,78,0)</f>
        <v>1.5599999999999999E-2</v>
      </c>
      <c r="H172" s="91">
        <f>VLOOKUP($A172,'Data Vlaue (Cr)'!$C:$FB,91)</f>
        <v>736</v>
      </c>
      <c r="I172" s="91">
        <f>VLOOKUP($A172,'Data Vlaue (Cr)'!$C:$FB,93)</f>
        <v>-215</v>
      </c>
      <c r="J172" s="92">
        <f>VLOOKUP($A172,'Data Vlaue (Cr)'!$C:$FB,94)</f>
        <v>-0.22600000000000001</v>
      </c>
      <c r="K172" s="91">
        <f>VLOOKUP($A172,'Data Vlaue (Cr)'!$C:$FB,95)</f>
        <v>564</v>
      </c>
      <c r="L172" s="91">
        <f>VLOOKUP($A172,'Data Vlaue (Cr)'!$C:$FB,97)</f>
        <v>-19</v>
      </c>
      <c r="M172" s="92">
        <f>VLOOKUP($A172,'Data Vlaue (Cr)'!$C:$FB,98)</f>
        <v>-3.2099999999999997E-2</v>
      </c>
      <c r="N172" s="91">
        <f>VLOOKUP($A172,'Data Vlaue (Cr)'!$C:$FB,79)</f>
        <v>351</v>
      </c>
      <c r="O172" s="92">
        <f>VLOOKUP($A172,'Data Vlaue (Cr)'!$C:$FB,82)</f>
        <v>-0.37090000000000001</v>
      </c>
    </row>
    <row r="173" spans="1:15" x14ac:dyDescent="0.25">
      <c r="A173" s="97" t="str">
        <f>'Data Vlaue (Cr)'!C168</f>
        <v>POWERGRID</v>
      </c>
      <c r="B173" s="142">
        <f>VLOOKUP(A173,'Data Vlaue (Cr)'!C168:CW382,99,0)</f>
        <v>3662</v>
      </c>
      <c r="C173" s="90">
        <f>VLOOKUP(A173,'Data Vlaue (Cr)'!C168:CY382,101,0)</f>
        <v>41</v>
      </c>
      <c r="D173" s="139">
        <f>VLOOKUP(A173,'Data Vlaue (Cr)'!C168:CZ382,102,0)</f>
        <v>1.12E-2</v>
      </c>
      <c r="E173" s="91">
        <f>VLOOKUP($A173,'Data Vlaue (Cr)'!$C:$FB,75)</f>
        <v>2425</v>
      </c>
      <c r="F173" s="91">
        <f>VLOOKUP($A173,'Data Vlaue (Cr)'!$C:$FB,77)</f>
        <v>74</v>
      </c>
      <c r="G173" s="92">
        <f>VLOOKUP(A173,'Data Vlaue (Cr)'!C168:CB382,78,0)</f>
        <v>3.15E-2</v>
      </c>
      <c r="H173" s="91">
        <f>VLOOKUP($A173,'Data Vlaue (Cr)'!$C:$FB,91)</f>
        <v>792</v>
      </c>
      <c r="I173" s="91">
        <f>VLOOKUP($A173,'Data Vlaue (Cr)'!$C:$FB,93)</f>
        <v>-37</v>
      </c>
      <c r="J173" s="92">
        <f>VLOOKUP($A173,'Data Vlaue (Cr)'!$C:$FB,94)</f>
        <v>-4.48E-2</v>
      </c>
      <c r="K173" s="91">
        <f>VLOOKUP($A173,'Data Vlaue (Cr)'!$C:$FB,95)</f>
        <v>444</v>
      </c>
      <c r="L173" s="91">
        <f>VLOOKUP($A173,'Data Vlaue (Cr)'!$C:$FB,97)</f>
        <v>4</v>
      </c>
      <c r="M173" s="92">
        <f>VLOOKUP($A173,'Data Vlaue (Cr)'!$C:$FB,98)</f>
        <v>8.6E-3</v>
      </c>
      <c r="N173" s="91">
        <f>VLOOKUP($A173,'Data Vlaue (Cr)'!$C:$FB,79)</f>
        <v>750</v>
      </c>
      <c r="O173" s="92">
        <f>VLOOKUP($A173,'Data Vlaue (Cr)'!$C:$FB,82)</f>
        <v>-0.41599999999999998</v>
      </c>
    </row>
    <row r="174" spans="1:15" x14ac:dyDescent="0.25">
      <c r="A174" s="97" t="str">
        <f>'Data Vlaue (Cr)'!C169</f>
        <v>POWERINDIA</v>
      </c>
      <c r="B174" s="142">
        <f>VLOOKUP(A174,'Data Vlaue (Cr)'!C169:CW383,99,0)</f>
        <v>426</v>
      </c>
      <c r="C174" s="90">
        <f>VLOOKUP(A174,'Data Vlaue (Cr)'!C169:CY383,101,0)</f>
        <v>29</v>
      </c>
      <c r="D174" s="139">
        <f>VLOOKUP(A174,'Data Vlaue (Cr)'!C169:CZ383,102,0)</f>
        <v>7.2099999999999997E-2</v>
      </c>
      <c r="E174" s="91">
        <f>VLOOKUP($A174,'Data Vlaue (Cr)'!$C:$FB,75)</f>
        <v>251</v>
      </c>
      <c r="F174" s="91">
        <f>VLOOKUP($A174,'Data Vlaue (Cr)'!$C:$FB,77)</f>
        <v>43</v>
      </c>
      <c r="G174" s="92">
        <f>VLOOKUP(A174,'Data Vlaue (Cr)'!C169:CB383,78,0)</f>
        <v>0.2092</v>
      </c>
      <c r="H174" s="91">
        <f>VLOOKUP($A174,'Data Vlaue (Cr)'!$C:$FB,91)</f>
        <v>140</v>
      </c>
      <c r="I174" s="91">
        <f>VLOOKUP($A174,'Data Vlaue (Cr)'!$C:$FB,93)</f>
        <v>-17</v>
      </c>
      <c r="J174" s="92">
        <f>VLOOKUP($A174,'Data Vlaue (Cr)'!$C:$FB,94)</f>
        <v>-0.1105</v>
      </c>
      <c r="K174" s="91">
        <f>VLOOKUP($A174,'Data Vlaue (Cr)'!$C:$FB,95)</f>
        <v>35</v>
      </c>
      <c r="L174" s="91">
        <f>VLOOKUP($A174,'Data Vlaue (Cr)'!$C:$FB,97)</f>
        <v>3</v>
      </c>
      <c r="M174" s="92">
        <f>VLOOKUP($A174,'Data Vlaue (Cr)'!$C:$FB,98)</f>
        <v>7.7700000000000005E-2</v>
      </c>
      <c r="N174" s="91">
        <f>VLOOKUP($A174,'Data Vlaue (Cr)'!$C:$FB,79)</f>
        <v>38</v>
      </c>
      <c r="O174" s="92">
        <f>VLOOKUP($A174,'Data Vlaue (Cr)'!$C:$FB,82)</f>
        <v>-0.5756</v>
      </c>
    </row>
    <row r="175" spans="1:15" x14ac:dyDescent="0.25">
      <c r="A175" s="97" t="str">
        <f>'Data Vlaue (Cr)'!C170</f>
        <v>PPLPHARMA</v>
      </c>
      <c r="B175" s="142">
        <f>VLOOKUP(A175,'Data Vlaue (Cr)'!C170:CW384,99,0)</f>
        <v>883</v>
      </c>
      <c r="C175" s="90">
        <f>VLOOKUP(A175,'Data Vlaue (Cr)'!C170:CY384,101,0)</f>
        <v>-66</v>
      </c>
      <c r="D175" s="139">
        <f>VLOOKUP(A175,'Data Vlaue (Cr)'!C170:CZ384,102,0)</f>
        <v>-6.9199999999999998E-2</v>
      </c>
      <c r="E175" s="91">
        <f>VLOOKUP($A175,'Data Vlaue (Cr)'!$C:$FB,75)</f>
        <v>455</v>
      </c>
      <c r="F175" s="91">
        <f>VLOOKUP($A175,'Data Vlaue (Cr)'!$C:$FB,77)</f>
        <v>-22</v>
      </c>
      <c r="G175" s="92">
        <f>VLOOKUP(A175,'Data Vlaue (Cr)'!C170:CB384,78,0)</f>
        <v>-4.6300000000000001E-2</v>
      </c>
      <c r="H175" s="91">
        <f>VLOOKUP($A175,'Data Vlaue (Cr)'!$C:$FB,91)</f>
        <v>233</v>
      </c>
      <c r="I175" s="91">
        <f>VLOOKUP($A175,'Data Vlaue (Cr)'!$C:$FB,93)</f>
        <v>-38</v>
      </c>
      <c r="J175" s="92">
        <f>VLOOKUP($A175,'Data Vlaue (Cr)'!$C:$FB,94)</f>
        <v>-0.13930000000000001</v>
      </c>
      <c r="K175" s="91">
        <f>VLOOKUP($A175,'Data Vlaue (Cr)'!$C:$FB,95)</f>
        <v>195</v>
      </c>
      <c r="L175" s="91">
        <f>VLOOKUP($A175,'Data Vlaue (Cr)'!$C:$FB,97)</f>
        <v>-6</v>
      </c>
      <c r="M175" s="92">
        <f>VLOOKUP($A175,'Data Vlaue (Cr)'!$C:$FB,98)</f>
        <v>-2.8899999999999999E-2</v>
      </c>
      <c r="N175" s="91">
        <f>VLOOKUP($A175,'Data Vlaue (Cr)'!$C:$FB,79)</f>
        <v>81</v>
      </c>
      <c r="O175" s="92">
        <f>VLOOKUP($A175,'Data Vlaue (Cr)'!$C:$FB,82)</f>
        <v>-0.55469999999999997</v>
      </c>
    </row>
    <row r="176" spans="1:15" x14ac:dyDescent="0.25">
      <c r="A176" s="97" t="str">
        <f>'Data Vlaue (Cr)'!C171</f>
        <v>PRESTIGE</v>
      </c>
      <c r="B176" s="142">
        <f>VLOOKUP(A176,'Data Vlaue (Cr)'!C171:CW385,99,0)</f>
        <v>1281</v>
      </c>
      <c r="C176" s="90">
        <f>VLOOKUP(A176,'Data Vlaue (Cr)'!C171:CY385,101,0)</f>
        <v>-30</v>
      </c>
      <c r="D176" s="139">
        <f>VLOOKUP(A176,'Data Vlaue (Cr)'!C171:CZ385,102,0)</f>
        <v>-2.2599999999999999E-2</v>
      </c>
      <c r="E176" s="91">
        <f>VLOOKUP($A176,'Data Vlaue (Cr)'!$C:$FB,75)</f>
        <v>772</v>
      </c>
      <c r="F176" s="91">
        <f>VLOOKUP($A176,'Data Vlaue (Cr)'!$C:$FB,77)</f>
        <v>-6</v>
      </c>
      <c r="G176" s="92">
        <f>VLOOKUP(A176,'Data Vlaue (Cr)'!C171:CB385,78,0)</f>
        <v>-7.1000000000000004E-3</v>
      </c>
      <c r="H176" s="91">
        <f>VLOOKUP($A176,'Data Vlaue (Cr)'!$C:$FB,91)</f>
        <v>272</v>
      </c>
      <c r="I176" s="91">
        <f>VLOOKUP($A176,'Data Vlaue (Cr)'!$C:$FB,93)</f>
        <v>-5</v>
      </c>
      <c r="J176" s="92">
        <f>VLOOKUP($A176,'Data Vlaue (Cr)'!$C:$FB,94)</f>
        <v>-1.9400000000000001E-2</v>
      </c>
      <c r="K176" s="91">
        <f>VLOOKUP($A176,'Data Vlaue (Cr)'!$C:$FB,95)</f>
        <v>237</v>
      </c>
      <c r="L176" s="91">
        <f>VLOOKUP($A176,'Data Vlaue (Cr)'!$C:$FB,97)</f>
        <v>-19</v>
      </c>
      <c r="M176" s="92">
        <f>VLOOKUP($A176,'Data Vlaue (Cr)'!$C:$FB,98)</f>
        <v>-7.2999999999999995E-2</v>
      </c>
      <c r="N176" s="91">
        <f>VLOOKUP($A176,'Data Vlaue (Cr)'!$C:$FB,79)</f>
        <v>180</v>
      </c>
      <c r="O176" s="92">
        <f>VLOOKUP($A176,'Data Vlaue (Cr)'!$C:$FB,82)</f>
        <v>-0.56989999999999996</v>
      </c>
    </row>
    <row r="177" spans="1:15" x14ac:dyDescent="0.25">
      <c r="A177" s="97" t="str">
        <f>'Data Vlaue (Cr)'!C172</f>
        <v>RBLBANK</v>
      </c>
      <c r="B177" s="142">
        <f>VLOOKUP(A177,'Data Vlaue (Cr)'!C172:CW386,99,0)</f>
        <v>3692</v>
      </c>
      <c r="C177" s="90">
        <f>VLOOKUP(A177,'Data Vlaue (Cr)'!C172:CY386,101,0)</f>
        <v>232</v>
      </c>
      <c r="D177" s="139">
        <f>VLOOKUP(A177,'Data Vlaue (Cr)'!C172:CZ386,102,0)</f>
        <v>6.7100000000000007E-2</v>
      </c>
      <c r="E177" s="91">
        <f>VLOOKUP($A177,'Data Vlaue (Cr)'!$C:$FB,75)</f>
        <v>2277</v>
      </c>
      <c r="F177" s="91">
        <f>VLOOKUP($A177,'Data Vlaue (Cr)'!$C:$FB,77)</f>
        <v>85</v>
      </c>
      <c r="G177" s="92">
        <f>VLOOKUP(A177,'Data Vlaue (Cr)'!C172:CB386,78,0)</f>
        <v>3.8600000000000002E-2</v>
      </c>
      <c r="H177" s="91">
        <f>VLOOKUP($A177,'Data Vlaue (Cr)'!$C:$FB,91)</f>
        <v>785</v>
      </c>
      <c r="I177" s="91">
        <f>VLOOKUP($A177,'Data Vlaue (Cr)'!$C:$FB,93)</f>
        <v>76</v>
      </c>
      <c r="J177" s="92">
        <f>VLOOKUP($A177,'Data Vlaue (Cr)'!$C:$FB,94)</f>
        <v>0.1079</v>
      </c>
      <c r="K177" s="91">
        <f>VLOOKUP($A177,'Data Vlaue (Cr)'!$C:$FB,95)</f>
        <v>630</v>
      </c>
      <c r="L177" s="91">
        <f>VLOOKUP($A177,'Data Vlaue (Cr)'!$C:$FB,97)</f>
        <v>71</v>
      </c>
      <c r="M177" s="92">
        <f>VLOOKUP($A177,'Data Vlaue (Cr)'!$C:$FB,98)</f>
        <v>0.12740000000000001</v>
      </c>
      <c r="N177" s="91">
        <f>VLOOKUP($A177,'Data Vlaue (Cr)'!$C:$FB,79)</f>
        <v>277</v>
      </c>
      <c r="O177" s="92">
        <f>VLOOKUP($A177,'Data Vlaue (Cr)'!$C:$FB,82)</f>
        <v>-0.52829999999999999</v>
      </c>
    </row>
    <row r="178" spans="1:15" x14ac:dyDescent="0.25">
      <c r="A178" s="97" t="str">
        <f>'Data Vlaue (Cr)'!C173</f>
        <v>RECLTD</v>
      </c>
      <c r="B178" s="142">
        <f>VLOOKUP(A178,'Data Vlaue (Cr)'!C173:CW387,99,0)</f>
        <v>5552</v>
      </c>
      <c r="C178" s="90">
        <f>VLOOKUP(A178,'Data Vlaue (Cr)'!C173:CY387,101,0)</f>
        <v>-46</v>
      </c>
      <c r="D178" s="139">
        <f>VLOOKUP(A178,'Data Vlaue (Cr)'!C173:CZ387,102,0)</f>
        <v>-8.2000000000000007E-3</v>
      </c>
      <c r="E178" s="91">
        <f>VLOOKUP($A178,'Data Vlaue (Cr)'!$C:$FB,75)</f>
        <v>3254</v>
      </c>
      <c r="F178" s="91">
        <f>VLOOKUP($A178,'Data Vlaue (Cr)'!$C:$FB,77)</f>
        <v>6</v>
      </c>
      <c r="G178" s="92">
        <f>VLOOKUP(A178,'Data Vlaue (Cr)'!C173:CB387,78,0)</f>
        <v>1.9E-3</v>
      </c>
      <c r="H178" s="91">
        <f>VLOOKUP($A178,'Data Vlaue (Cr)'!$C:$FB,91)</f>
        <v>1247</v>
      </c>
      <c r="I178" s="91">
        <f>VLOOKUP($A178,'Data Vlaue (Cr)'!$C:$FB,93)</f>
        <v>-18</v>
      </c>
      <c r="J178" s="92">
        <f>VLOOKUP($A178,'Data Vlaue (Cr)'!$C:$FB,94)</f>
        <v>-1.3899999999999999E-2</v>
      </c>
      <c r="K178" s="91">
        <f>VLOOKUP($A178,'Data Vlaue (Cr)'!$C:$FB,95)</f>
        <v>1051</v>
      </c>
      <c r="L178" s="91">
        <f>VLOOKUP($A178,'Data Vlaue (Cr)'!$C:$FB,97)</f>
        <v>-34</v>
      </c>
      <c r="M178" s="92">
        <f>VLOOKUP($A178,'Data Vlaue (Cr)'!$C:$FB,98)</f>
        <v>-3.1699999999999999E-2</v>
      </c>
      <c r="N178" s="91">
        <f>VLOOKUP($A178,'Data Vlaue (Cr)'!$C:$FB,79)</f>
        <v>608</v>
      </c>
      <c r="O178" s="92">
        <f>VLOOKUP($A178,'Data Vlaue (Cr)'!$C:$FB,82)</f>
        <v>-0.56379999999999997</v>
      </c>
    </row>
    <row r="179" spans="1:15" x14ac:dyDescent="0.25">
      <c r="A179" s="97" t="str">
        <f>'Data Vlaue (Cr)'!C174</f>
        <v>RELIANCE</v>
      </c>
      <c r="B179" s="142">
        <f>VLOOKUP(A179,'Data Vlaue (Cr)'!C174:CW388,99,0)</f>
        <v>31306</v>
      </c>
      <c r="C179" s="90">
        <f>VLOOKUP(A179,'Data Vlaue (Cr)'!C174:CY388,101,0)</f>
        <v>27</v>
      </c>
      <c r="D179" s="139">
        <f>VLOOKUP(A179,'Data Vlaue (Cr)'!C174:CZ388,102,0)</f>
        <v>8.9999999999999998E-4</v>
      </c>
      <c r="E179" s="91">
        <f>VLOOKUP($A179,'Data Vlaue (Cr)'!$C:$FB,75)</f>
        <v>18725</v>
      </c>
      <c r="F179" s="91">
        <f>VLOOKUP($A179,'Data Vlaue (Cr)'!$C:$FB,77)</f>
        <v>86</v>
      </c>
      <c r="G179" s="92">
        <f>VLOOKUP(A179,'Data Vlaue (Cr)'!C174:CB388,78,0)</f>
        <v>4.5999999999999999E-3</v>
      </c>
      <c r="H179" s="91">
        <f>VLOOKUP($A179,'Data Vlaue (Cr)'!$C:$FB,91)</f>
        <v>6936</v>
      </c>
      <c r="I179" s="91">
        <f>VLOOKUP($A179,'Data Vlaue (Cr)'!$C:$FB,93)</f>
        <v>-372</v>
      </c>
      <c r="J179" s="92">
        <f>VLOOKUP($A179,'Data Vlaue (Cr)'!$C:$FB,94)</f>
        <v>-5.0900000000000001E-2</v>
      </c>
      <c r="K179" s="91">
        <f>VLOOKUP($A179,'Data Vlaue (Cr)'!$C:$FB,95)</f>
        <v>5644</v>
      </c>
      <c r="L179" s="91">
        <f>VLOOKUP($A179,'Data Vlaue (Cr)'!$C:$FB,97)</f>
        <v>314</v>
      </c>
      <c r="M179" s="92">
        <f>VLOOKUP($A179,'Data Vlaue (Cr)'!$C:$FB,98)</f>
        <v>5.8900000000000001E-2</v>
      </c>
      <c r="N179" s="91">
        <f>VLOOKUP($A179,'Data Vlaue (Cr)'!$C:$FB,79)</f>
        <v>3667</v>
      </c>
      <c r="O179" s="92">
        <f>VLOOKUP($A179,'Data Vlaue (Cr)'!$C:$FB,82)</f>
        <v>-0.52949999999999997</v>
      </c>
    </row>
    <row r="180" spans="1:15" x14ac:dyDescent="0.25">
      <c r="A180" s="97" t="str">
        <f>'Data Vlaue (Cr)'!C175</f>
        <v>RVNL</v>
      </c>
      <c r="B180" s="142">
        <f>VLOOKUP(A180,'Data Vlaue (Cr)'!C175:CW389,99,0)</f>
        <v>2178</v>
      </c>
      <c r="C180" s="90">
        <f>VLOOKUP(A180,'Data Vlaue (Cr)'!C175:CY389,101,0)</f>
        <v>24</v>
      </c>
      <c r="D180" s="139">
        <f>VLOOKUP(A180,'Data Vlaue (Cr)'!C175:CZ389,102,0)</f>
        <v>1.09E-2</v>
      </c>
      <c r="E180" s="91">
        <f>VLOOKUP($A180,'Data Vlaue (Cr)'!$C:$FB,75)</f>
        <v>1302</v>
      </c>
      <c r="F180" s="91">
        <f>VLOOKUP($A180,'Data Vlaue (Cr)'!$C:$FB,77)</f>
        <v>53</v>
      </c>
      <c r="G180" s="92">
        <f>VLOOKUP(A180,'Data Vlaue (Cr)'!C175:CB389,78,0)</f>
        <v>4.24E-2</v>
      </c>
      <c r="H180" s="91">
        <f>VLOOKUP($A180,'Data Vlaue (Cr)'!$C:$FB,91)</f>
        <v>616</v>
      </c>
      <c r="I180" s="91">
        <f>VLOOKUP($A180,'Data Vlaue (Cr)'!$C:$FB,93)</f>
        <v>-21</v>
      </c>
      <c r="J180" s="92">
        <f>VLOOKUP($A180,'Data Vlaue (Cr)'!$C:$FB,94)</f>
        <v>-3.2500000000000001E-2</v>
      </c>
      <c r="K180" s="91">
        <f>VLOOKUP($A180,'Data Vlaue (Cr)'!$C:$FB,95)</f>
        <v>260</v>
      </c>
      <c r="L180" s="91">
        <f>VLOOKUP($A180,'Data Vlaue (Cr)'!$C:$FB,97)</f>
        <v>-9</v>
      </c>
      <c r="M180" s="92">
        <f>VLOOKUP($A180,'Data Vlaue (Cr)'!$C:$FB,98)</f>
        <v>-3.27E-2</v>
      </c>
      <c r="N180" s="91">
        <f>VLOOKUP($A180,'Data Vlaue (Cr)'!$C:$FB,79)</f>
        <v>211</v>
      </c>
      <c r="O180" s="92">
        <f>VLOOKUP($A180,'Data Vlaue (Cr)'!$C:$FB,82)</f>
        <v>-0.4783</v>
      </c>
    </row>
    <row r="181" spans="1:15" x14ac:dyDescent="0.25">
      <c r="A181" s="97" t="str">
        <f>'Data Vlaue (Cr)'!C176</f>
        <v>SAIL</v>
      </c>
      <c r="B181" s="142">
        <f>VLOOKUP(A181,'Data Vlaue (Cr)'!C176:CW390,99,0)</f>
        <v>3835</v>
      </c>
      <c r="C181" s="90">
        <f>VLOOKUP(A181,'Data Vlaue (Cr)'!C176:CY390,101,0)</f>
        <v>-274</v>
      </c>
      <c r="D181" s="139">
        <f>VLOOKUP(A181,'Data Vlaue (Cr)'!C176:CZ390,102,0)</f>
        <v>-6.6600000000000006E-2</v>
      </c>
      <c r="E181" s="91">
        <f>VLOOKUP($A181,'Data Vlaue (Cr)'!$C:$FB,75)</f>
        <v>2623</v>
      </c>
      <c r="F181" s="91">
        <f>VLOOKUP($A181,'Data Vlaue (Cr)'!$C:$FB,77)</f>
        <v>-148</v>
      </c>
      <c r="G181" s="92">
        <f>VLOOKUP(A181,'Data Vlaue (Cr)'!C176:CB390,78,0)</f>
        <v>-5.3400000000000003E-2</v>
      </c>
      <c r="H181" s="91">
        <f>VLOOKUP($A181,'Data Vlaue (Cr)'!$C:$FB,91)</f>
        <v>745</v>
      </c>
      <c r="I181" s="91">
        <f>VLOOKUP($A181,'Data Vlaue (Cr)'!$C:$FB,93)</f>
        <v>-100</v>
      </c>
      <c r="J181" s="92">
        <f>VLOOKUP($A181,'Data Vlaue (Cr)'!$C:$FB,94)</f>
        <v>-0.1187</v>
      </c>
      <c r="K181" s="91">
        <f>VLOOKUP($A181,'Data Vlaue (Cr)'!$C:$FB,95)</f>
        <v>468</v>
      </c>
      <c r="L181" s="91">
        <f>VLOOKUP($A181,'Data Vlaue (Cr)'!$C:$FB,97)</f>
        <v>-26</v>
      </c>
      <c r="M181" s="92">
        <f>VLOOKUP($A181,'Data Vlaue (Cr)'!$C:$FB,98)</f>
        <v>-5.1700000000000003E-2</v>
      </c>
      <c r="N181" s="91">
        <f>VLOOKUP($A181,'Data Vlaue (Cr)'!$C:$FB,79)</f>
        <v>972</v>
      </c>
      <c r="O181" s="92">
        <f>VLOOKUP($A181,'Data Vlaue (Cr)'!$C:$FB,82)</f>
        <v>-0.1318</v>
      </c>
    </row>
    <row r="182" spans="1:15" x14ac:dyDescent="0.25">
      <c r="A182" s="97" t="str">
        <f>'Data Vlaue (Cr)'!C177</f>
        <v>SAMMAANCAP</v>
      </c>
      <c r="B182" s="142">
        <f>VLOOKUP(A182,'Data Vlaue (Cr)'!C177:CW391,99,0)</f>
        <v>3398</v>
      </c>
      <c r="C182" s="90">
        <f>VLOOKUP(A182,'Data Vlaue (Cr)'!C177:CY391,101,0)</f>
        <v>-281</v>
      </c>
      <c r="D182" s="139">
        <f>VLOOKUP(A182,'Data Vlaue (Cr)'!C177:CZ391,102,0)</f>
        <v>-7.6399999999999996E-2</v>
      </c>
      <c r="E182" s="91">
        <f>VLOOKUP($A182,'Data Vlaue (Cr)'!$C:$FB,75)</f>
        <v>2097</v>
      </c>
      <c r="F182" s="91">
        <f>VLOOKUP($A182,'Data Vlaue (Cr)'!$C:$FB,77)</f>
        <v>-134</v>
      </c>
      <c r="G182" s="92">
        <f>VLOOKUP(A182,'Data Vlaue (Cr)'!C177:CB391,78,0)</f>
        <v>-5.9900000000000002E-2</v>
      </c>
      <c r="H182" s="91">
        <f>VLOOKUP($A182,'Data Vlaue (Cr)'!$C:$FB,91)</f>
        <v>600</v>
      </c>
      <c r="I182" s="91">
        <f>VLOOKUP($A182,'Data Vlaue (Cr)'!$C:$FB,93)</f>
        <v>-90</v>
      </c>
      <c r="J182" s="92">
        <f>VLOOKUP($A182,'Data Vlaue (Cr)'!$C:$FB,94)</f>
        <v>-0.1305</v>
      </c>
      <c r="K182" s="91">
        <f>VLOOKUP($A182,'Data Vlaue (Cr)'!$C:$FB,95)</f>
        <v>701</v>
      </c>
      <c r="L182" s="91">
        <f>VLOOKUP($A182,'Data Vlaue (Cr)'!$C:$FB,97)</f>
        <v>-58</v>
      </c>
      <c r="M182" s="92">
        <f>VLOOKUP($A182,'Data Vlaue (Cr)'!$C:$FB,98)</f>
        <v>-7.5899999999999995E-2</v>
      </c>
      <c r="N182" s="91">
        <f>VLOOKUP($A182,'Data Vlaue (Cr)'!$C:$FB,79)</f>
        <v>295</v>
      </c>
      <c r="O182" s="92">
        <f>VLOOKUP($A182,'Data Vlaue (Cr)'!$C:$FB,82)</f>
        <v>-0.23710000000000001</v>
      </c>
    </row>
    <row r="183" spans="1:15" x14ac:dyDescent="0.25">
      <c r="A183" s="97" t="str">
        <f>'Data Vlaue (Cr)'!C178</f>
        <v>SBICARD</v>
      </c>
      <c r="B183" s="142">
        <f>VLOOKUP(A183,'Data Vlaue (Cr)'!C178:CW392,99,0)</f>
        <v>3403</v>
      </c>
      <c r="C183" s="90">
        <f>VLOOKUP(A183,'Data Vlaue (Cr)'!C178:CY392,101,0)</f>
        <v>-17</v>
      </c>
      <c r="D183" s="139">
        <f>VLOOKUP(A183,'Data Vlaue (Cr)'!C178:CZ392,102,0)</f>
        <v>-5.1000000000000004E-3</v>
      </c>
      <c r="E183" s="91">
        <f>VLOOKUP($A183,'Data Vlaue (Cr)'!$C:$FB,75)</f>
        <v>1912</v>
      </c>
      <c r="F183" s="91">
        <f>VLOOKUP($A183,'Data Vlaue (Cr)'!$C:$FB,77)</f>
        <v>-17</v>
      </c>
      <c r="G183" s="92">
        <f>VLOOKUP(A183,'Data Vlaue (Cr)'!C178:CB392,78,0)</f>
        <v>-8.6999999999999994E-3</v>
      </c>
      <c r="H183" s="91">
        <f>VLOOKUP($A183,'Data Vlaue (Cr)'!$C:$FB,91)</f>
        <v>987</v>
      </c>
      <c r="I183" s="91">
        <f>VLOOKUP($A183,'Data Vlaue (Cr)'!$C:$FB,93)</f>
        <v>126</v>
      </c>
      <c r="J183" s="92">
        <f>VLOOKUP($A183,'Data Vlaue (Cr)'!$C:$FB,94)</f>
        <v>0.1469</v>
      </c>
      <c r="K183" s="91">
        <f>VLOOKUP($A183,'Data Vlaue (Cr)'!$C:$FB,95)</f>
        <v>505</v>
      </c>
      <c r="L183" s="91">
        <f>VLOOKUP($A183,'Data Vlaue (Cr)'!$C:$FB,97)</f>
        <v>-127</v>
      </c>
      <c r="M183" s="92">
        <f>VLOOKUP($A183,'Data Vlaue (Cr)'!$C:$FB,98)</f>
        <v>-0.2011</v>
      </c>
      <c r="N183" s="91">
        <f>VLOOKUP($A183,'Data Vlaue (Cr)'!$C:$FB,79)</f>
        <v>207</v>
      </c>
      <c r="O183" s="92">
        <f>VLOOKUP($A183,'Data Vlaue (Cr)'!$C:$FB,82)</f>
        <v>-0.72889999999999999</v>
      </c>
    </row>
    <row r="184" spans="1:15" x14ac:dyDescent="0.25">
      <c r="A184" s="97" t="str">
        <f>'Data Vlaue (Cr)'!C179</f>
        <v>SBILIFE</v>
      </c>
      <c r="B184" s="142">
        <f>VLOOKUP(A184,'Data Vlaue (Cr)'!C179:CW393,99,0)</f>
        <v>2737</v>
      </c>
      <c r="C184" s="90">
        <f>VLOOKUP(A184,'Data Vlaue (Cr)'!C179:CY393,101,0)</f>
        <v>288</v>
      </c>
      <c r="D184" s="139">
        <f>VLOOKUP(A184,'Data Vlaue (Cr)'!C179:CZ393,102,0)</f>
        <v>0.1177</v>
      </c>
      <c r="E184" s="91">
        <f>VLOOKUP($A184,'Data Vlaue (Cr)'!$C:$FB,75)</f>
        <v>1427</v>
      </c>
      <c r="F184" s="91">
        <f>VLOOKUP($A184,'Data Vlaue (Cr)'!$C:$FB,77)</f>
        <v>46</v>
      </c>
      <c r="G184" s="92">
        <f>VLOOKUP(A184,'Data Vlaue (Cr)'!C179:CB393,78,0)</f>
        <v>3.3399999999999999E-2</v>
      </c>
      <c r="H184" s="91">
        <f>VLOOKUP($A184,'Data Vlaue (Cr)'!$C:$FB,91)</f>
        <v>768</v>
      </c>
      <c r="I184" s="91">
        <f>VLOOKUP($A184,'Data Vlaue (Cr)'!$C:$FB,93)</f>
        <v>84</v>
      </c>
      <c r="J184" s="92">
        <f>VLOOKUP($A184,'Data Vlaue (Cr)'!$C:$FB,94)</f>
        <v>0.12239999999999999</v>
      </c>
      <c r="K184" s="91">
        <f>VLOOKUP($A184,'Data Vlaue (Cr)'!$C:$FB,95)</f>
        <v>541</v>
      </c>
      <c r="L184" s="91">
        <f>VLOOKUP($A184,'Data Vlaue (Cr)'!$C:$FB,97)</f>
        <v>158</v>
      </c>
      <c r="M184" s="92">
        <f>VLOOKUP($A184,'Data Vlaue (Cr)'!$C:$FB,98)</f>
        <v>0.41339999999999999</v>
      </c>
      <c r="N184" s="91">
        <f>VLOOKUP($A184,'Data Vlaue (Cr)'!$C:$FB,79)</f>
        <v>197</v>
      </c>
      <c r="O184" s="92">
        <f>VLOOKUP($A184,'Data Vlaue (Cr)'!$C:$FB,82)</f>
        <v>-0.61080000000000001</v>
      </c>
    </row>
    <row r="185" spans="1:15" x14ac:dyDescent="0.25">
      <c r="A185" s="97" t="str">
        <f>'Data Vlaue (Cr)'!C180</f>
        <v>SBIN</v>
      </c>
      <c r="B185" s="142">
        <f>VLOOKUP(A185,'Data Vlaue (Cr)'!C180:CW394,99,0)</f>
        <v>17503</v>
      </c>
      <c r="C185" s="90">
        <f>VLOOKUP(A185,'Data Vlaue (Cr)'!C180:CY394,101,0)</f>
        <v>216</v>
      </c>
      <c r="D185" s="139">
        <f>VLOOKUP(A185,'Data Vlaue (Cr)'!C180:CZ394,102,0)</f>
        <v>1.2500000000000001E-2</v>
      </c>
      <c r="E185" s="91">
        <f>VLOOKUP($A185,'Data Vlaue (Cr)'!$C:$FB,75)</f>
        <v>8540</v>
      </c>
      <c r="F185" s="91">
        <f>VLOOKUP($A185,'Data Vlaue (Cr)'!$C:$FB,77)</f>
        <v>134</v>
      </c>
      <c r="G185" s="92">
        <f>VLOOKUP(A185,'Data Vlaue (Cr)'!C180:CB394,78,0)</f>
        <v>1.6E-2</v>
      </c>
      <c r="H185" s="91">
        <f>VLOOKUP($A185,'Data Vlaue (Cr)'!$C:$FB,91)</f>
        <v>4815</v>
      </c>
      <c r="I185" s="91">
        <f>VLOOKUP($A185,'Data Vlaue (Cr)'!$C:$FB,93)</f>
        <v>-172</v>
      </c>
      <c r="J185" s="92">
        <f>VLOOKUP($A185,'Data Vlaue (Cr)'!$C:$FB,94)</f>
        <v>-3.44E-2</v>
      </c>
      <c r="K185" s="91">
        <f>VLOOKUP($A185,'Data Vlaue (Cr)'!$C:$FB,95)</f>
        <v>4148</v>
      </c>
      <c r="L185" s="91">
        <f>VLOOKUP($A185,'Data Vlaue (Cr)'!$C:$FB,97)</f>
        <v>253</v>
      </c>
      <c r="M185" s="92">
        <f>VLOOKUP($A185,'Data Vlaue (Cr)'!$C:$FB,98)</f>
        <v>6.5100000000000005E-2</v>
      </c>
      <c r="N185" s="91">
        <f>VLOOKUP($A185,'Data Vlaue (Cr)'!$C:$FB,79)</f>
        <v>1851</v>
      </c>
      <c r="O185" s="92">
        <f>VLOOKUP($A185,'Data Vlaue (Cr)'!$C:$FB,82)</f>
        <v>-0.46010000000000001</v>
      </c>
    </row>
    <row r="186" spans="1:15" x14ac:dyDescent="0.25">
      <c r="A186" s="97" t="str">
        <f>'Data Vlaue (Cr)'!C181</f>
        <v>SHREECEM</v>
      </c>
      <c r="B186" s="142">
        <f>VLOOKUP(A186,'Data Vlaue (Cr)'!C181:CW395,99,0)</f>
        <v>1109</v>
      </c>
      <c r="C186" s="90">
        <f>VLOOKUP(A186,'Data Vlaue (Cr)'!C181:CY395,101,0)</f>
        <v>39</v>
      </c>
      <c r="D186" s="139">
        <f>VLOOKUP(A186,'Data Vlaue (Cr)'!C181:CZ395,102,0)</f>
        <v>3.6700000000000003E-2</v>
      </c>
      <c r="E186" s="91">
        <f>VLOOKUP($A186,'Data Vlaue (Cr)'!$C:$FB,75)</f>
        <v>838</v>
      </c>
      <c r="F186" s="91">
        <f>VLOOKUP($A186,'Data Vlaue (Cr)'!$C:$FB,77)</f>
        <v>36</v>
      </c>
      <c r="G186" s="92">
        <f>VLOOKUP(A186,'Data Vlaue (Cr)'!C181:CB395,78,0)</f>
        <v>4.4600000000000001E-2</v>
      </c>
      <c r="H186" s="91">
        <f>VLOOKUP($A186,'Data Vlaue (Cr)'!$C:$FB,91)</f>
        <v>169</v>
      </c>
      <c r="I186" s="91">
        <f>VLOOKUP($A186,'Data Vlaue (Cr)'!$C:$FB,93)</f>
        <v>-3</v>
      </c>
      <c r="J186" s="92">
        <f>VLOOKUP($A186,'Data Vlaue (Cr)'!$C:$FB,94)</f>
        <v>-2.0199999999999999E-2</v>
      </c>
      <c r="K186" s="91">
        <f>VLOOKUP($A186,'Data Vlaue (Cr)'!$C:$FB,95)</f>
        <v>102</v>
      </c>
      <c r="L186" s="91">
        <f>VLOOKUP($A186,'Data Vlaue (Cr)'!$C:$FB,97)</f>
        <v>7</v>
      </c>
      <c r="M186" s="92">
        <f>VLOOKUP($A186,'Data Vlaue (Cr)'!$C:$FB,98)</f>
        <v>7.2800000000000004E-2</v>
      </c>
      <c r="N186" s="91">
        <f>VLOOKUP($A186,'Data Vlaue (Cr)'!$C:$FB,79)</f>
        <v>124</v>
      </c>
      <c r="O186" s="92">
        <f>VLOOKUP($A186,'Data Vlaue (Cr)'!$C:$FB,82)</f>
        <v>-0.54610000000000003</v>
      </c>
    </row>
    <row r="187" spans="1:15" x14ac:dyDescent="0.25">
      <c r="A187" s="97" t="str">
        <f>'Data Vlaue (Cr)'!C182</f>
        <v>SHRIRAMFIN</v>
      </c>
      <c r="B187" s="142">
        <f>VLOOKUP(A187,'Data Vlaue (Cr)'!C182:CW396,99,0)</f>
        <v>5129</v>
      </c>
      <c r="C187" s="90">
        <f>VLOOKUP(A187,'Data Vlaue (Cr)'!C182:CY396,101,0)</f>
        <v>30</v>
      </c>
      <c r="D187" s="139">
        <f>VLOOKUP(A187,'Data Vlaue (Cr)'!C182:CZ396,102,0)</f>
        <v>5.7999999999999996E-3</v>
      </c>
      <c r="E187" s="91">
        <f>VLOOKUP($A187,'Data Vlaue (Cr)'!$C:$FB,75)</f>
        <v>3819</v>
      </c>
      <c r="F187" s="91">
        <f>VLOOKUP($A187,'Data Vlaue (Cr)'!$C:$FB,77)</f>
        <v>1</v>
      </c>
      <c r="G187" s="92">
        <f>VLOOKUP(A187,'Data Vlaue (Cr)'!C182:CB396,78,0)</f>
        <v>2.0000000000000001E-4</v>
      </c>
      <c r="H187" s="91">
        <f>VLOOKUP($A187,'Data Vlaue (Cr)'!$C:$FB,91)</f>
        <v>644</v>
      </c>
      <c r="I187" s="91">
        <f>VLOOKUP($A187,'Data Vlaue (Cr)'!$C:$FB,93)</f>
        <v>13</v>
      </c>
      <c r="J187" s="92">
        <f>VLOOKUP($A187,'Data Vlaue (Cr)'!$C:$FB,94)</f>
        <v>2.07E-2</v>
      </c>
      <c r="K187" s="91">
        <f>VLOOKUP($A187,'Data Vlaue (Cr)'!$C:$FB,95)</f>
        <v>666</v>
      </c>
      <c r="L187" s="91">
        <f>VLOOKUP($A187,'Data Vlaue (Cr)'!$C:$FB,97)</f>
        <v>16</v>
      </c>
      <c r="M187" s="92">
        <f>VLOOKUP($A187,'Data Vlaue (Cr)'!$C:$FB,98)</f>
        <v>2.4199999999999999E-2</v>
      </c>
      <c r="N187" s="91">
        <f>VLOOKUP($A187,'Data Vlaue (Cr)'!$C:$FB,79)</f>
        <v>913</v>
      </c>
      <c r="O187" s="92">
        <f>VLOOKUP($A187,'Data Vlaue (Cr)'!$C:$FB,82)</f>
        <v>-0.48849999999999999</v>
      </c>
    </row>
    <row r="188" spans="1:15" x14ac:dyDescent="0.25">
      <c r="A188" s="97" t="str">
        <f>'Data Vlaue (Cr)'!C183</f>
        <v>SIEMENS</v>
      </c>
      <c r="B188" s="142">
        <f>VLOOKUP(A188,'Data Vlaue (Cr)'!C183:CW397,99,0)</f>
        <v>1243</v>
      </c>
      <c r="C188" s="90">
        <f>VLOOKUP(A188,'Data Vlaue (Cr)'!C183:CY397,101,0)</f>
        <v>-49</v>
      </c>
      <c r="D188" s="139">
        <f>VLOOKUP(A188,'Data Vlaue (Cr)'!C183:CZ397,102,0)</f>
        <v>-3.8199999999999998E-2</v>
      </c>
      <c r="E188" s="91">
        <f>VLOOKUP($A188,'Data Vlaue (Cr)'!$C:$FB,75)</f>
        <v>727</v>
      </c>
      <c r="F188" s="91">
        <f>VLOOKUP($A188,'Data Vlaue (Cr)'!$C:$FB,77)</f>
        <v>18</v>
      </c>
      <c r="G188" s="92">
        <f>VLOOKUP(A188,'Data Vlaue (Cr)'!C183:CB397,78,0)</f>
        <v>2.5100000000000001E-2</v>
      </c>
      <c r="H188" s="91">
        <f>VLOOKUP($A188,'Data Vlaue (Cr)'!$C:$FB,91)</f>
        <v>363</v>
      </c>
      <c r="I188" s="91">
        <f>VLOOKUP($A188,'Data Vlaue (Cr)'!$C:$FB,93)</f>
        <v>-49</v>
      </c>
      <c r="J188" s="92">
        <f>VLOOKUP($A188,'Data Vlaue (Cr)'!$C:$FB,94)</f>
        <v>-0.1198</v>
      </c>
      <c r="K188" s="91">
        <f>VLOOKUP($A188,'Data Vlaue (Cr)'!$C:$FB,95)</f>
        <v>153</v>
      </c>
      <c r="L188" s="91">
        <f>VLOOKUP($A188,'Data Vlaue (Cr)'!$C:$FB,97)</f>
        <v>-18</v>
      </c>
      <c r="M188" s="92">
        <f>VLOOKUP($A188,'Data Vlaue (Cr)'!$C:$FB,98)</f>
        <v>-0.10340000000000001</v>
      </c>
      <c r="N188" s="91">
        <f>VLOOKUP($A188,'Data Vlaue (Cr)'!$C:$FB,79)</f>
        <v>89</v>
      </c>
      <c r="O188" s="92">
        <f>VLOOKUP($A188,'Data Vlaue (Cr)'!$C:$FB,82)</f>
        <v>-0.57020000000000004</v>
      </c>
    </row>
    <row r="189" spans="1:15" x14ac:dyDescent="0.25">
      <c r="A189" s="97" t="str">
        <f>'Data Vlaue (Cr)'!C216</f>
        <v>ZYDUSLIFE</v>
      </c>
      <c r="B189" s="142">
        <f>VLOOKUP(A189,'Data Vlaue (Cr)'!C216:CW398,99,0)</f>
        <v>1260</v>
      </c>
      <c r="C189" s="90">
        <f>VLOOKUP(A189,'Data Vlaue (Cr)'!C216:CY398,101,0)</f>
        <v>-60</v>
      </c>
      <c r="D189" s="139">
        <f>VLOOKUP(A189,'Data Vlaue (Cr)'!C216:CZ398,102,0)</f>
        <v>-4.5699999999999998E-2</v>
      </c>
      <c r="E189" s="91">
        <f>VLOOKUP($A189,'Data Vlaue (Cr)'!$C:$FB,75)</f>
        <v>782</v>
      </c>
      <c r="F189" s="91">
        <f>VLOOKUP($A189,'Data Vlaue (Cr)'!$C:$FB,77)</f>
        <v>-46</v>
      </c>
      <c r="G189" s="92">
        <f>VLOOKUP(A189,'Data Vlaue (Cr)'!C216:CB398,78,0)</f>
        <v>-5.5800000000000002E-2</v>
      </c>
      <c r="H189" s="91">
        <f>VLOOKUP($A189,'Data Vlaue (Cr)'!$C:$FB,91)</f>
        <v>273</v>
      </c>
      <c r="I189" s="91">
        <f>VLOOKUP($A189,'Data Vlaue (Cr)'!$C:$FB,93)</f>
        <v>-22</v>
      </c>
      <c r="J189" s="92">
        <f>VLOOKUP($A189,'Data Vlaue (Cr)'!$C:$FB,94)</f>
        <v>-7.5200000000000003E-2</v>
      </c>
      <c r="K189" s="91">
        <f>VLOOKUP($A189,'Data Vlaue (Cr)'!$C:$FB,95)</f>
        <v>205</v>
      </c>
      <c r="L189" s="91">
        <f>VLOOKUP($A189,'Data Vlaue (Cr)'!$C:$FB,97)</f>
        <v>8</v>
      </c>
      <c r="M189" s="92">
        <f>VLOOKUP($A189,'Data Vlaue (Cr)'!$C:$FB,98)</f>
        <v>4.1200000000000001E-2</v>
      </c>
      <c r="N189" s="91">
        <f>VLOOKUP($A189,'Data Vlaue (Cr)'!$C:$FB,79)</f>
        <v>82</v>
      </c>
      <c r="O189" s="92">
        <f>VLOOKUP($A189,'Data Vlaue (Cr)'!$C:$FB,82)</f>
        <v>-0.67779999999999996</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2788092</v>
      </c>
      <c r="C210" s="123">
        <f>SUM(C7:C209)</f>
        <v>60372</v>
      </c>
      <c r="D210" s="124">
        <f>'Snapshot (Value)'!K225</f>
        <v>2.2132770225682989E-2</v>
      </c>
      <c r="E210" s="123">
        <f>SUM(E7:E209)</f>
        <v>517559</v>
      </c>
      <c r="F210" s="123">
        <f>SUM(F7:F209)</f>
        <v>2512</v>
      </c>
      <c r="G210" s="149">
        <f>F210*100/(E210-F210)</f>
        <v>0.48772247969602772</v>
      </c>
      <c r="H210" s="123">
        <f>SUM(H7:H209)</f>
        <v>1126395</v>
      </c>
      <c r="I210" s="123">
        <f>SUM(I7:I209)</f>
        <v>-129366</v>
      </c>
      <c r="J210" s="149">
        <f>I210/(H210-I210)</f>
        <v>-0.10301801059278</v>
      </c>
      <c r="K210" s="123">
        <f>SUM(K7:K209)</f>
        <v>1144130</v>
      </c>
      <c r="L210" s="123">
        <f>SUM(L7:L209)</f>
        <v>187208</v>
      </c>
      <c r="M210" s="149">
        <f>L210/(K210-L210)</f>
        <v>0.19563558994358998</v>
      </c>
      <c r="N210" s="123">
        <f>SUM(N7:N209)</f>
        <v>112068</v>
      </c>
      <c r="O210" s="149">
        <f>(N210-FII!V2)/N210</f>
        <v>-1.2445657993361174</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517559</v>
      </c>
      <c r="C217" s="37">
        <f>F210</f>
        <v>2512</v>
      </c>
      <c r="D217" s="39">
        <f>C217/B217</f>
        <v>4.8535529282651832E-3</v>
      </c>
    </row>
    <row r="218" spans="1:15" x14ac:dyDescent="0.25">
      <c r="A218" s="36" t="s">
        <v>404</v>
      </c>
      <c r="B218" s="37">
        <f>H210</f>
        <v>1126395</v>
      </c>
      <c r="C218" s="37">
        <f>I210</f>
        <v>-129366</v>
      </c>
      <c r="D218" s="150">
        <f>C218/B218</f>
        <v>-0.11484958651272423</v>
      </c>
    </row>
    <row r="219" spans="1:15" x14ac:dyDescent="0.25">
      <c r="A219" s="36" t="s">
        <v>405</v>
      </c>
      <c r="B219" s="37">
        <f>K210</f>
        <v>1144130</v>
      </c>
      <c r="C219" s="37">
        <f>L210</f>
        <v>187208</v>
      </c>
      <c r="D219" s="150">
        <f>C219/B219</f>
        <v>0.16362476292029751</v>
      </c>
    </row>
    <row r="220" spans="1:15" x14ac:dyDescent="0.25">
      <c r="A220" s="36" t="s">
        <v>406</v>
      </c>
      <c r="B220" s="37">
        <f>B217+B218+B219</f>
        <v>2788084</v>
      </c>
      <c r="C220" s="37">
        <f>C217+C218+C219</f>
        <v>60354</v>
      </c>
      <c r="D220" s="150">
        <f>C220/B220</f>
        <v>2.1647123974743946E-2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45957</v>
      </c>
      <c r="C6" s="3">
        <f>B6</f>
        <v>45957</v>
      </c>
      <c r="D6" s="94" t="s">
        <v>328</v>
      </c>
      <c r="E6" s="3">
        <f>B6</f>
        <v>45957</v>
      </c>
      <c r="F6" s="94" t="s">
        <v>322</v>
      </c>
      <c r="G6" s="94" t="s">
        <v>328</v>
      </c>
      <c r="H6" s="3">
        <f>E6</f>
        <v>45957</v>
      </c>
      <c r="I6" s="94" t="s">
        <v>322</v>
      </c>
      <c r="J6" s="94" t="s">
        <v>328</v>
      </c>
    </row>
    <row r="7" spans="1:10" x14ac:dyDescent="0.25">
      <c r="A7" s="101" t="str">
        <f>'NIFTY GRP'!C2</f>
        <v>ADANIENT</v>
      </c>
      <c r="B7" s="140">
        <f>VLOOKUP($A7,'Data shares'!$C:$FA,7)</f>
        <v>2492.8000000000002</v>
      </c>
      <c r="C7" s="140">
        <f>VLOOKUP($A7,'Data shares'!$C:$FA,3)</f>
        <v>2492.8000000000002</v>
      </c>
      <c r="D7" s="50">
        <f>VLOOKUP($A7,'Data shares'!$C:$FA,6)*100</f>
        <v>-0.36</v>
      </c>
      <c r="E7" s="51">
        <f>VLOOKUP($A7,'Data shares'!$C:$FA,98)</f>
        <v>26167500</v>
      </c>
      <c r="F7" s="51">
        <f>VLOOKUP($A7,'Data shares'!$C:$FA,99)</f>
        <v>26601600</v>
      </c>
      <c r="G7" s="50">
        <f>VLOOKUP($A7,'Data shares'!$C:$FA,101)*100</f>
        <v>-1.63</v>
      </c>
      <c r="H7" s="49">
        <f>VLOOKUP($A7,'Data Vlaue (Cr)'!$C:$FB,99)</f>
        <v>6523</v>
      </c>
      <c r="I7" s="49">
        <f>VLOOKUP($A7,'Data Vlaue (Cr)'!$C:$FB,100)</f>
        <v>6631</v>
      </c>
      <c r="J7" s="49">
        <f>VLOOKUP($A7,'Data Vlaue (Cr)'!$C:$FB,102)*100</f>
        <v>-1.63</v>
      </c>
    </row>
    <row r="8" spans="1:10" x14ac:dyDescent="0.25">
      <c r="A8" s="101" t="str">
        <f>'NIFTY GRP'!C3</f>
        <v>ADANIPORTS</v>
      </c>
      <c r="B8" s="140">
        <f>VLOOKUP($A8,'Data shares'!$C:$FA,7)</f>
        <v>1420.6</v>
      </c>
      <c r="C8" s="140">
        <f>VLOOKUP($A8,'Data shares'!$C:$FA,3)</f>
        <v>1421.6</v>
      </c>
      <c r="D8" s="50">
        <f>VLOOKUP($A8,'Data shares'!$C:$FA,6)*100</f>
        <v>-0.43</v>
      </c>
      <c r="E8" s="51">
        <f>VLOOKUP($A8,'Data shares'!$C:$FA,98)</f>
        <v>38202350</v>
      </c>
      <c r="F8" s="51">
        <f>VLOOKUP($A8,'Data shares'!$C:$FA,99)</f>
        <v>38637925</v>
      </c>
      <c r="G8" s="50">
        <f>VLOOKUP($A8,'Data shares'!$C:$FA,101)*100</f>
        <v>-1.1299999999999999</v>
      </c>
      <c r="H8" s="49">
        <f>VLOOKUP($A8,'Data Vlaue (Cr)'!$C:$FB,99)</f>
        <v>5431</v>
      </c>
      <c r="I8" s="49">
        <f>VLOOKUP($A8,'Data Vlaue (Cr)'!$C:$FB,100)</f>
        <v>5493</v>
      </c>
      <c r="J8" s="49">
        <f>VLOOKUP($A8,'Data Vlaue (Cr)'!$C:$FB,102)*100</f>
        <v>-1.1299999999999999</v>
      </c>
    </row>
    <row r="9" spans="1:10" x14ac:dyDescent="0.25">
      <c r="A9" s="101" t="str">
        <f>'NIFTY GRP'!C4</f>
        <v>APOLLOHOSP</v>
      </c>
      <c r="B9" s="140">
        <f>VLOOKUP($A9,'Data shares'!$C:$FA,7)</f>
        <v>7845.5</v>
      </c>
      <c r="C9" s="140">
        <f>VLOOKUP($A9,'Data shares'!$C:$FA,3)</f>
        <v>7855.5</v>
      </c>
      <c r="D9" s="50">
        <f>VLOOKUP($A9,'Data shares'!$C:$FA,6)*100</f>
        <v>0.13</v>
      </c>
      <c r="E9" s="51">
        <f>VLOOKUP($A9,'Data shares'!$C:$FA,98)</f>
        <v>3923000</v>
      </c>
      <c r="F9" s="51">
        <f>VLOOKUP($A9,'Data shares'!$C:$FA,99)</f>
        <v>4134875</v>
      </c>
      <c r="G9" s="50">
        <f>VLOOKUP($A9,'Data shares'!$C:$FA,101)*100</f>
        <v>-5.12</v>
      </c>
      <c r="H9" s="49">
        <f>VLOOKUP($A9,'Data Vlaue (Cr)'!$C:$FB,99)</f>
        <v>3082</v>
      </c>
      <c r="I9" s="49">
        <f>VLOOKUP($A9,'Data Vlaue (Cr)'!$C:$FB,100)</f>
        <v>3248</v>
      </c>
      <c r="J9" s="49">
        <f>VLOOKUP($A9,'Data Vlaue (Cr)'!$C:$FB,102)*100</f>
        <v>-5.12</v>
      </c>
    </row>
    <row r="10" spans="1:10" x14ac:dyDescent="0.25">
      <c r="A10" s="101" t="str">
        <f>'NIFTY GRP'!C5</f>
        <v>ASIANPAINT</v>
      </c>
      <c r="B10" s="140">
        <f>VLOOKUP($A10,'Data shares'!$C:$FA,7)</f>
        <v>2518.8000000000002</v>
      </c>
      <c r="C10" s="140">
        <f>VLOOKUP($A10,'Data shares'!$C:$FA,3)</f>
        <v>2518.4</v>
      </c>
      <c r="D10" s="50">
        <f>VLOOKUP($A10,'Data shares'!$C:$FA,6)*100</f>
        <v>0.6</v>
      </c>
      <c r="E10" s="51">
        <f>VLOOKUP($A10,'Data shares'!$C:$FA,98)</f>
        <v>23237250</v>
      </c>
      <c r="F10" s="51">
        <f>VLOOKUP($A10,'Data shares'!$C:$FA,99)</f>
        <v>23683500</v>
      </c>
      <c r="G10" s="50">
        <f>VLOOKUP($A10,'Data shares'!$C:$FA,101)*100</f>
        <v>-1.8800000000000001</v>
      </c>
      <c r="H10" s="49">
        <f>VLOOKUP($A10,'Data Vlaue (Cr)'!$C:$FB,99)</f>
        <v>5852</v>
      </c>
      <c r="I10" s="49">
        <f>VLOOKUP($A10,'Data Vlaue (Cr)'!$C:$FB,100)</f>
        <v>5964</v>
      </c>
      <c r="J10" s="49">
        <f>VLOOKUP($A10,'Data Vlaue (Cr)'!$C:$FB,102)*100</f>
        <v>-1.8800000000000001</v>
      </c>
    </row>
    <row r="11" spans="1:10" x14ac:dyDescent="0.25">
      <c r="A11" s="101" t="str">
        <f>'NIFTY GRP'!C6</f>
        <v>AXISBANK</v>
      </c>
      <c r="B11" s="140">
        <f>VLOOKUP($A11,'Data shares'!$C:$FA,7)</f>
        <v>1254.0999999999999</v>
      </c>
      <c r="C11" s="140">
        <f>VLOOKUP($A11,'Data shares'!$C:$FA,3)</f>
        <v>1252.7</v>
      </c>
      <c r="D11" s="50">
        <f>VLOOKUP($A11,'Data shares'!$C:$FA,6)*100</f>
        <v>0.77999999999999992</v>
      </c>
      <c r="E11" s="51">
        <f>VLOOKUP($A11,'Data shares'!$C:$FA,98)</f>
        <v>131518125</v>
      </c>
      <c r="F11" s="51">
        <f>VLOOKUP($A11,'Data shares'!$C:$FA,99)</f>
        <v>133486250</v>
      </c>
      <c r="G11" s="50">
        <f>VLOOKUP($A11,'Data shares'!$C:$FA,101)*100</f>
        <v>-1.47</v>
      </c>
      <c r="H11" s="49">
        <f>VLOOKUP($A11,'Data Vlaue (Cr)'!$C:$FB,99)</f>
        <v>16475</v>
      </c>
      <c r="I11" s="49">
        <f>VLOOKUP($A11,'Data Vlaue (Cr)'!$C:$FB,100)</f>
        <v>16722</v>
      </c>
      <c r="J11" s="49">
        <f>VLOOKUP($A11,'Data Vlaue (Cr)'!$C:$FB,102)*100</f>
        <v>-1.47</v>
      </c>
    </row>
    <row r="12" spans="1:10" x14ac:dyDescent="0.25">
      <c r="A12" s="101" t="str">
        <f>'NIFTY GRP'!C7</f>
        <v>BAJAJ-AUTO</v>
      </c>
      <c r="B12" s="140">
        <f>VLOOKUP($A12,'Data shares'!$C:$FA,7)</f>
        <v>9095.5</v>
      </c>
      <c r="C12" s="140">
        <f>VLOOKUP($A12,'Data shares'!$C:$FA,3)</f>
        <v>9117.5</v>
      </c>
      <c r="D12" s="50">
        <f>VLOOKUP($A12,'Data shares'!$C:$FA,6)*100</f>
        <v>0.57000000000000006</v>
      </c>
      <c r="E12" s="51">
        <f>VLOOKUP($A12,'Data shares'!$C:$FA,98)</f>
        <v>5542950</v>
      </c>
      <c r="F12" s="51">
        <f>VLOOKUP($A12,'Data shares'!$C:$FA,99)</f>
        <v>5662875</v>
      </c>
      <c r="G12" s="50">
        <f>VLOOKUP($A12,'Data shares'!$C:$FA,101)*100</f>
        <v>-2.12</v>
      </c>
      <c r="H12" s="49">
        <f>VLOOKUP($A12,'Data Vlaue (Cr)'!$C:$FB,99)</f>
        <v>5054</v>
      </c>
      <c r="I12" s="49">
        <f>VLOOKUP($A12,'Data Vlaue (Cr)'!$C:$FB,100)</f>
        <v>5163</v>
      </c>
      <c r="J12" s="49">
        <f>VLOOKUP($A12,'Data Vlaue (Cr)'!$C:$FB,102)*100</f>
        <v>-2.12</v>
      </c>
    </row>
    <row r="13" spans="1:10" x14ac:dyDescent="0.25">
      <c r="A13" s="101" t="str">
        <f>'NIFTY GRP'!C8</f>
        <v>BAJAJFINSV</v>
      </c>
      <c r="B13" s="140">
        <f>VLOOKUP($A13,'Data shares'!$C:$FA,7)</f>
        <v>2170.1999999999998</v>
      </c>
      <c r="C13" s="140">
        <f>VLOOKUP($A13,'Data shares'!$C:$FA,3)</f>
        <v>2169.9</v>
      </c>
      <c r="D13" s="50">
        <f>VLOOKUP($A13,'Data shares'!$C:$FA,6)*100</f>
        <v>0.47000000000000003</v>
      </c>
      <c r="E13" s="51">
        <f>VLOOKUP($A13,'Data shares'!$C:$FA,98)</f>
        <v>32946000</v>
      </c>
      <c r="F13" s="51">
        <f>VLOOKUP($A13,'Data shares'!$C:$FA,99)</f>
        <v>33139500</v>
      </c>
      <c r="G13" s="50">
        <f>VLOOKUP($A13,'Data shares'!$C:$FA,101)*100</f>
        <v>-0.57999999999999996</v>
      </c>
      <c r="H13" s="49">
        <f>VLOOKUP($A13,'Data Vlaue (Cr)'!$C:$FB,99)</f>
        <v>7149</v>
      </c>
      <c r="I13" s="49">
        <f>VLOOKUP($A13,'Data Vlaue (Cr)'!$C:$FB,100)</f>
        <v>7191</v>
      </c>
      <c r="J13" s="49">
        <f>VLOOKUP($A13,'Data Vlaue (Cr)'!$C:$FB,102)*100</f>
        <v>-0.57999999999999996</v>
      </c>
    </row>
    <row r="14" spans="1:10" x14ac:dyDescent="0.25">
      <c r="A14" s="101" t="str">
        <f>'NIFTY GRP'!C9</f>
        <v>BAJFINANCE</v>
      </c>
      <c r="B14" s="140">
        <f>VLOOKUP($A14,'Data shares'!$C:$FA,7)</f>
        <v>1084.4000000000001</v>
      </c>
      <c r="C14" s="140">
        <f>VLOOKUP($A14,'Data shares'!$C:$FA,3)</f>
        <v>1085.7</v>
      </c>
      <c r="D14" s="50">
        <f>VLOOKUP($A14,'Data shares'!$C:$FA,6)*100</f>
        <v>-0.33999999999999997</v>
      </c>
      <c r="E14" s="51">
        <f>VLOOKUP($A14,'Data shares'!$C:$FA,98)</f>
        <v>130308750</v>
      </c>
      <c r="F14" s="51">
        <f>VLOOKUP($A14,'Data shares'!$C:$FA,99)</f>
        <v>135821250</v>
      </c>
      <c r="G14" s="50">
        <f>VLOOKUP($A14,'Data shares'!$C:$FA,101)*100</f>
        <v>-4.0599999999999996</v>
      </c>
      <c r="H14" s="49">
        <f>VLOOKUP($A14,'Data Vlaue (Cr)'!$C:$FB,99)</f>
        <v>14148</v>
      </c>
      <c r="I14" s="49">
        <f>VLOOKUP($A14,'Data Vlaue (Cr)'!$C:$FB,100)</f>
        <v>14746</v>
      </c>
      <c r="J14" s="49">
        <f>VLOOKUP($A14,'Data Vlaue (Cr)'!$C:$FB,102)*100</f>
        <v>-4.0599999999999996</v>
      </c>
    </row>
    <row r="15" spans="1:10" x14ac:dyDescent="0.25">
      <c r="A15" s="101" t="str">
        <f>'NIFTY GRP'!C10</f>
        <v>BEL</v>
      </c>
      <c r="B15" s="140">
        <f>VLOOKUP($A15,'Data shares'!$C:$FA,7)</f>
        <v>415.15</v>
      </c>
      <c r="C15" s="140">
        <f>VLOOKUP($A15,'Data shares'!$C:$FA,3)</f>
        <v>414.85</v>
      </c>
      <c r="D15" s="50">
        <f>VLOOKUP($A15,'Data shares'!$C:$FA,6)*100</f>
        <v>-1.59</v>
      </c>
      <c r="E15" s="51">
        <f>VLOOKUP($A15,'Data shares'!$C:$FA,98)</f>
        <v>222183150</v>
      </c>
      <c r="F15" s="51">
        <f>VLOOKUP($A15,'Data shares'!$C:$FA,99)</f>
        <v>219997200</v>
      </c>
      <c r="G15" s="50">
        <f>VLOOKUP($A15,'Data shares'!$C:$FA,101)*100</f>
        <v>0.9900000000000001</v>
      </c>
      <c r="H15" s="49">
        <f>VLOOKUP($A15,'Data Vlaue (Cr)'!$C:$FB,99)</f>
        <v>9217</v>
      </c>
      <c r="I15" s="49">
        <f>VLOOKUP($A15,'Data Vlaue (Cr)'!$C:$FB,100)</f>
        <v>9127</v>
      </c>
      <c r="J15" s="49">
        <f>VLOOKUP($A15,'Data Vlaue (Cr)'!$C:$FB,102)*100</f>
        <v>0.9900000000000001</v>
      </c>
    </row>
    <row r="16" spans="1:10" x14ac:dyDescent="0.25">
      <c r="A16" s="101" t="str">
        <f>'NIFTY GRP'!C11</f>
        <v>BHARTIARTL</v>
      </c>
      <c r="B16" s="140">
        <f>VLOOKUP($A16,'Data shares'!$C:$FA,7)</f>
        <v>2080.1</v>
      </c>
      <c r="C16" s="140">
        <f>VLOOKUP($A16,'Data shares'!$C:$FA,3)</f>
        <v>2076.6</v>
      </c>
      <c r="D16" s="50">
        <f>VLOOKUP($A16,'Data shares'!$C:$FA,6)*100</f>
        <v>2.4699999999999998</v>
      </c>
      <c r="E16" s="51">
        <f>VLOOKUP($A16,'Data shares'!$C:$FA,98)</f>
        <v>78556450</v>
      </c>
      <c r="F16" s="51">
        <f>VLOOKUP($A16,'Data shares'!$C:$FA,99)</f>
        <v>77582700</v>
      </c>
      <c r="G16" s="50">
        <f>VLOOKUP($A16,'Data shares'!$C:$FA,101)*100</f>
        <v>1.26</v>
      </c>
      <c r="H16" s="49">
        <f>VLOOKUP($A16,'Data Vlaue (Cr)'!$C:$FB,99)</f>
        <v>16313</v>
      </c>
      <c r="I16" s="49">
        <f>VLOOKUP($A16,'Data Vlaue (Cr)'!$C:$FB,100)</f>
        <v>16111</v>
      </c>
      <c r="J16" s="49">
        <f>VLOOKUP($A16,'Data Vlaue (Cr)'!$C:$FB,102)*100</f>
        <v>1.26</v>
      </c>
    </row>
    <row r="17" spans="1:10" x14ac:dyDescent="0.25">
      <c r="A17" s="101" t="str">
        <f>'NIFTY GRP'!C12</f>
        <v>CIPLA</v>
      </c>
      <c r="B17" s="140">
        <f>VLOOKUP($A17,'Data shares'!$C:$FA,7)</f>
        <v>1584</v>
      </c>
      <c r="C17" s="140">
        <f>VLOOKUP($A17,'Data shares'!$C:$FA,3)</f>
        <v>1582.8</v>
      </c>
      <c r="D17" s="50">
        <f>VLOOKUP($A17,'Data shares'!$C:$FA,6)*100</f>
        <v>-0.02</v>
      </c>
      <c r="E17" s="51">
        <f>VLOOKUP($A17,'Data shares'!$C:$FA,98)</f>
        <v>32928375</v>
      </c>
      <c r="F17" s="51">
        <f>VLOOKUP($A17,'Data shares'!$C:$FA,99)</f>
        <v>33934125</v>
      </c>
      <c r="G17" s="50">
        <f>VLOOKUP($A17,'Data shares'!$C:$FA,101)*100</f>
        <v>-2.96</v>
      </c>
      <c r="H17" s="49">
        <f>VLOOKUP($A17,'Data Vlaue (Cr)'!$C:$FB,99)</f>
        <v>5212</v>
      </c>
      <c r="I17" s="49">
        <f>VLOOKUP($A17,'Data Vlaue (Cr)'!$C:$FB,100)</f>
        <v>5371</v>
      </c>
      <c r="J17" s="49">
        <f>VLOOKUP($A17,'Data Vlaue (Cr)'!$C:$FB,102)*100</f>
        <v>-2.96</v>
      </c>
    </row>
    <row r="18" spans="1:10" x14ac:dyDescent="0.25">
      <c r="A18" s="101" t="str">
        <f>'NIFTY GRP'!C13</f>
        <v>COALINDIA</v>
      </c>
      <c r="B18" s="140">
        <f>VLOOKUP($A18,'Data shares'!$C:$FA,7)</f>
        <v>396.7</v>
      </c>
      <c r="C18" s="140">
        <f>VLOOKUP($A18,'Data shares'!$C:$FA,3)</f>
        <v>396.55</v>
      </c>
      <c r="D18" s="50">
        <f>VLOOKUP($A18,'Data shares'!$C:$FA,6)*100</f>
        <v>0.66</v>
      </c>
      <c r="E18" s="51">
        <f>VLOOKUP($A18,'Data shares'!$C:$FA,98)</f>
        <v>116455050</v>
      </c>
      <c r="F18" s="51">
        <f>VLOOKUP($A18,'Data shares'!$C:$FA,99)</f>
        <v>117000450</v>
      </c>
      <c r="G18" s="50">
        <f>VLOOKUP($A18,'Data shares'!$C:$FA,101)*100</f>
        <v>-0.47000000000000003</v>
      </c>
      <c r="H18" s="49">
        <f>VLOOKUP($A18,'Data Vlaue (Cr)'!$C:$FB,99)</f>
        <v>4618</v>
      </c>
      <c r="I18" s="49">
        <f>VLOOKUP($A18,'Data Vlaue (Cr)'!$C:$FB,100)</f>
        <v>4640</v>
      </c>
      <c r="J18" s="49">
        <f>VLOOKUP($A18,'Data Vlaue (Cr)'!$C:$FB,102)*100</f>
        <v>-0.47000000000000003</v>
      </c>
    </row>
    <row r="19" spans="1:10" x14ac:dyDescent="0.25">
      <c r="A19" s="101" t="str">
        <f>'NIFTY GRP'!C14</f>
        <v>DRREDDY</v>
      </c>
      <c r="B19" s="140">
        <f>VLOOKUP($A19,'Data shares'!$C:$FA,7)</f>
        <v>1284.3</v>
      </c>
      <c r="C19" s="140">
        <f>VLOOKUP($A19,'Data shares'!$C:$FA,3)</f>
        <v>1286.7</v>
      </c>
      <c r="D19" s="50">
        <f>VLOOKUP($A19,'Data shares'!$C:$FA,6)*100</f>
        <v>0.33</v>
      </c>
      <c r="E19" s="51">
        <f>VLOOKUP($A19,'Data shares'!$C:$FA,98)</f>
        <v>27736250</v>
      </c>
      <c r="F19" s="51">
        <f>VLOOKUP($A19,'Data shares'!$C:$FA,99)</f>
        <v>28339375</v>
      </c>
      <c r="G19" s="50">
        <f>VLOOKUP($A19,'Data shares'!$C:$FA,101)*100</f>
        <v>-2.13</v>
      </c>
      <c r="H19" s="49">
        <f>VLOOKUP($A19,'Data Vlaue (Cr)'!$C:$FB,99)</f>
        <v>3569</v>
      </c>
      <c r="I19" s="49">
        <f>VLOOKUP($A19,'Data Vlaue (Cr)'!$C:$FB,100)</f>
        <v>3646</v>
      </c>
      <c r="J19" s="49">
        <f>VLOOKUP($A19,'Data Vlaue (Cr)'!$C:$FB,102)*100</f>
        <v>-2.13</v>
      </c>
    </row>
    <row r="20" spans="1:10" x14ac:dyDescent="0.25">
      <c r="A20" s="101" t="str">
        <f>'NIFTY GRP'!C15</f>
        <v>EICHERMOT</v>
      </c>
      <c r="B20" s="140">
        <f>VLOOKUP($A20,'Data shares'!$C:$FA,7)</f>
        <v>6906.5</v>
      </c>
      <c r="C20" s="140">
        <f>VLOOKUP($A20,'Data shares'!$C:$FA,3)</f>
        <v>6911.5</v>
      </c>
      <c r="D20" s="50">
        <f>VLOOKUP($A20,'Data shares'!$C:$FA,6)*100</f>
        <v>0.95</v>
      </c>
      <c r="E20" s="51">
        <f>VLOOKUP($A20,'Data shares'!$C:$FA,98)</f>
        <v>6677300</v>
      </c>
      <c r="F20" s="51">
        <f>VLOOKUP($A20,'Data shares'!$C:$FA,99)</f>
        <v>6974800</v>
      </c>
      <c r="G20" s="50">
        <f>VLOOKUP($A20,'Data shares'!$C:$FA,101)*100</f>
        <v>-4.2700000000000005</v>
      </c>
      <c r="H20" s="49">
        <f>VLOOKUP($A20,'Data Vlaue (Cr)'!$C:$FB,99)</f>
        <v>4615</v>
      </c>
      <c r="I20" s="49">
        <f>VLOOKUP($A20,'Data Vlaue (Cr)'!$C:$FB,100)</f>
        <v>4821</v>
      </c>
      <c r="J20" s="49">
        <f>VLOOKUP($A20,'Data Vlaue (Cr)'!$C:$FB,102)*100</f>
        <v>-4.2700000000000005</v>
      </c>
    </row>
    <row r="21" spans="1:10" x14ac:dyDescent="0.25">
      <c r="A21" s="101" t="str">
        <f>'NIFTY GRP'!C16</f>
        <v>ETERNAL</v>
      </c>
      <c r="B21" s="140">
        <f>VLOOKUP($A21,'Data shares'!$C:$FA,7)</f>
        <v>333.7</v>
      </c>
      <c r="C21" s="140">
        <f>VLOOKUP($A21,'Data shares'!$C:$FA,3)</f>
        <v>334.15</v>
      </c>
      <c r="D21" s="50">
        <f>VLOOKUP($A21,'Data shares'!$C:$FA,6)*100</f>
        <v>2.1399999999999997</v>
      </c>
      <c r="E21" s="51">
        <f>VLOOKUP($A21,'Data shares'!$C:$FA,98)</f>
        <v>385916925</v>
      </c>
      <c r="F21" s="51">
        <f>VLOOKUP($A21,'Data shares'!$C:$FA,99)</f>
        <v>392035200</v>
      </c>
      <c r="G21" s="50">
        <f>VLOOKUP($A21,'Data shares'!$C:$FA,101)*100</f>
        <v>-1.5599999999999998</v>
      </c>
      <c r="H21" s="49">
        <f>VLOOKUP($A21,'Data Vlaue (Cr)'!$C:$FB,99)</f>
        <v>12895</v>
      </c>
      <c r="I21" s="49">
        <f>VLOOKUP($A21,'Data Vlaue (Cr)'!$C:$FB,100)</f>
        <v>13100</v>
      </c>
      <c r="J21" s="49">
        <f>VLOOKUP($A21,'Data Vlaue (Cr)'!$C:$FB,102)*100</f>
        <v>-1.5599999999999998</v>
      </c>
    </row>
    <row r="22" spans="1:10" x14ac:dyDescent="0.25">
      <c r="A22" s="101" t="str">
        <f>'NIFTY GRP'!C17</f>
        <v>GRASIM</v>
      </c>
      <c r="B22" s="140">
        <f>VLOOKUP($A22,'Data shares'!$C:$FA,7)</f>
        <v>2923.9</v>
      </c>
      <c r="C22" s="140">
        <f>VLOOKUP($A22,'Data shares'!$C:$FA,3)</f>
        <v>2922.6</v>
      </c>
      <c r="D22" s="50">
        <f>VLOOKUP($A22,'Data shares'!$C:$FA,6)*100</f>
        <v>2.8400000000000003</v>
      </c>
      <c r="E22" s="51">
        <f>VLOOKUP($A22,'Data shares'!$C:$FA,98)</f>
        <v>19072500</v>
      </c>
      <c r="F22" s="51">
        <f>VLOOKUP($A22,'Data shares'!$C:$FA,99)</f>
        <v>18273250</v>
      </c>
      <c r="G22" s="50">
        <f>VLOOKUP($A22,'Data shares'!$C:$FA,101)*100</f>
        <v>4.37</v>
      </c>
      <c r="H22" s="49">
        <f>VLOOKUP($A22,'Data Vlaue (Cr)'!$C:$FB,99)</f>
        <v>5574</v>
      </c>
      <c r="I22" s="49">
        <f>VLOOKUP($A22,'Data Vlaue (Cr)'!$C:$FB,100)</f>
        <v>5341</v>
      </c>
      <c r="J22" s="49">
        <f>VLOOKUP($A22,'Data Vlaue (Cr)'!$C:$FB,102)*100</f>
        <v>4.37</v>
      </c>
    </row>
    <row r="23" spans="1:10" x14ac:dyDescent="0.25">
      <c r="A23" s="101" t="str">
        <f>'NIFTY GRP'!C18</f>
        <v>HCLTECH</v>
      </c>
      <c r="B23" s="140">
        <f>VLOOKUP($A23,'Data shares'!$C:$FA,7)</f>
        <v>1533.5</v>
      </c>
      <c r="C23" s="140">
        <f>VLOOKUP($A23,'Data shares'!$C:$FA,3)</f>
        <v>1535.4</v>
      </c>
      <c r="D23" s="50">
        <f>VLOOKUP($A23,'Data shares'!$C:$FA,6)*100</f>
        <v>0.84</v>
      </c>
      <c r="E23" s="51">
        <f>VLOOKUP($A23,'Data shares'!$C:$FA,98)</f>
        <v>30503900</v>
      </c>
      <c r="F23" s="51">
        <f>VLOOKUP($A23,'Data shares'!$C:$FA,99)</f>
        <v>31085250</v>
      </c>
      <c r="G23" s="50">
        <f>VLOOKUP($A23,'Data shares'!$C:$FA,101)*100</f>
        <v>-1.87</v>
      </c>
      <c r="H23" s="49">
        <f>VLOOKUP($A23,'Data Vlaue (Cr)'!$C:$FB,99)</f>
        <v>4684</v>
      </c>
      <c r="I23" s="49">
        <f>VLOOKUP($A23,'Data Vlaue (Cr)'!$C:$FB,100)</f>
        <v>4773</v>
      </c>
      <c r="J23" s="49">
        <f>VLOOKUP($A23,'Data Vlaue (Cr)'!$C:$FB,102)*100</f>
        <v>-1.87</v>
      </c>
    </row>
    <row r="24" spans="1:10" x14ac:dyDescent="0.25">
      <c r="A24" s="101" t="str">
        <f>'NIFTY GRP'!C19</f>
        <v>HDFCBANK</v>
      </c>
      <c r="B24" s="140">
        <f>VLOOKUP($A24,'Data shares'!$C:$FA,7)</f>
        <v>1002.95</v>
      </c>
      <c r="C24" s="140">
        <f>VLOOKUP($A24,'Data shares'!$C:$FA,3)</f>
        <v>1004.3</v>
      </c>
      <c r="D24" s="50">
        <f>VLOOKUP($A24,'Data shares'!$C:$FA,6)*100</f>
        <v>1.02</v>
      </c>
      <c r="E24" s="51">
        <f>VLOOKUP($A24,'Data shares'!$C:$FA,98)</f>
        <v>275965800</v>
      </c>
      <c r="F24" s="51">
        <f>VLOOKUP($A24,'Data shares'!$C:$FA,99)</f>
        <v>282944200</v>
      </c>
      <c r="G24" s="50">
        <f>VLOOKUP($A24,'Data shares'!$C:$FA,101)*100</f>
        <v>-2.4699999999999998</v>
      </c>
      <c r="H24" s="49">
        <f>VLOOKUP($A24,'Data Vlaue (Cr)'!$C:$FB,99)</f>
        <v>27715</v>
      </c>
      <c r="I24" s="49">
        <f>VLOOKUP($A24,'Data Vlaue (Cr)'!$C:$FB,100)</f>
        <v>28416</v>
      </c>
      <c r="J24" s="49">
        <f>VLOOKUP($A24,'Data Vlaue (Cr)'!$C:$FB,102)*100</f>
        <v>-2.4699999999999998</v>
      </c>
    </row>
    <row r="25" spans="1:10" x14ac:dyDescent="0.25">
      <c r="A25" s="101" t="str">
        <f>'NIFTY GRP'!C20</f>
        <v>HDFCLIFE</v>
      </c>
      <c r="B25" s="140">
        <f>VLOOKUP($A25,'Data shares'!$C:$FA,7)</f>
        <v>737.25</v>
      </c>
      <c r="C25" s="140">
        <f>VLOOKUP($A25,'Data shares'!$C:$FA,3)</f>
        <v>739.3</v>
      </c>
      <c r="D25" s="50">
        <f>VLOOKUP($A25,'Data shares'!$C:$FA,6)*100</f>
        <v>0.48</v>
      </c>
      <c r="E25" s="51">
        <f>VLOOKUP($A25,'Data shares'!$C:$FA,98)</f>
        <v>52929800</v>
      </c>
      <c r="F25" s="51">
        <f>VLOOKUP($A25,'Data shares'!$C:$FA,99)</f>
        <v>54621600</v>
      </c>
      <c r="G25" s="50">
        <f>VLOOKUP($A25,'Data shares'!$C:$FA,101)*100</f>
        <v>-3.1</v>
      </c>
      <c r="H25" s="49">
        <f>VLOOKUP($A25,'Data Vlaue (Cr)'!$C:$FB,99)</f>
        <v>3913</v>
      </c>
      <c r="I25" s="49">
        <f>VLOOKUP($A25,'Data Vlaue (Cr)'!$C:$FB,100)</f>
        <v>4038</v>
      </c>
      <c r="J25" s="49">
        <f>VLOOKUP($A25,'Data Vlaue (Cr)'!$C:$FB,102)*100</f>
        <v>-3.1</v>
      </c>
    </row>
    <row r="26" spans="1:10" x14ac:dyDescent="0.25">
      <c r="A26" s="101" t="str">
        <f>'NIFTY GRP'!C21</f>
        <v>HINDALCO</v>
      </c>
      <c r="B26" s="140">
        <f>VLOOKUP($A26,'Data shares'!$C:$FA,7)</f>
        <v>840.85</v>
      </c>
      <c r="C26" s="140">
        <f>VLOOKUP($A26,'Data shares'!$C:$FA,3)</f>
        <v>840.8</v>
      </c>
      <c r="D26" s="50">
        <f>VLOOKUP($A26,'Data shares'!$C:$FA,6)*100</f>
        <v>2.21</v>
      </c>
      <c r="E26" s="51">
        <f>VLOOKUP($A26,'Data shares'!$C:$FA,98)</f>
        <v>103138000</v>
      </c>
      <c r="F26" s="51">
        <f>VLOOKUP($A26,'Data shares'!$C:$FA,99)</f>
        <v>101897600</v>
      </c>
      <c r="G26" s="50">
        <f>VLOOKUP($A26,'Data shares'!$C:$FA,101)*100</f>
        <v>1.22</v>
      </c>
      <c r="H26" s="49">
        <f>VLOOKUP($A26,'Data Vlaue (Cr)'!$C:$FB,99)</f>
        <v>8672</v>
      </c>
      <c r="I26" s="49">
        <f>VLOOKUP($A26,'Data Vlaue (Cr)'!$C:$FB,100)</f>
        <v>8568</v>
      </c>
      <c r="J26" s="49">
        <f>VLOOKUP($A26,'Data Vlaue (Cr)'!$C:$FB,102)*100</f>
        <v>1.22</v>
      </c>
    </row>
    <row r="27" spans="1:10" x14ac:dyDescent="0.25">
      <c r="A27" s="101" t="str">
        <f>'NIFTY GRP'!C22</f>
        <v>HINDUNILVR</v>
      </c>
      <c r="B27" s="140">
        <f>VLOOKUP($A27,'Data shares'!$C:$FA,7)</f>
        <v>2511.8000000000002</v>
      </c>
      <c r="C27" s="140">
        <f>VLOOKUP($A27,'Data shares'!$C:$FA,3)</f>
        <v>2517.1999999999998</v>
      </c>
      <c r="D27" s="50">
        <f>VLOOKUP($A27,'Data shares'!$C:$FA,6)*100</f>
        <v>0.13999999999999999</v>
      </c>
      <c r="E27" s="51">
        <f>VLOOKUP($A27,'Data shares'!$C:$FA,98)</f>
        <v>32531700</v>
      </c>
      <c r="F27" s="51">
        <f>VLOOKUP($A27,'Data shares'!$C:$FA,99)</f>
        <v>33975900</v>
      </c>
      <c r="G27" s="50">
        <f>VLOOKUP($A27,'Data shares'!$C:$FA,101)*100</f>
        <v>-4.25</v>
      </c>
      <c r="H27" s="49">
        <f>VLOOKUP($A27,'Data Vlaue (Cr)'!$C:$FB,99)</f>
        <v>8189</v>
      </c>
      <c r="I27" s="49">
        <f>VLOOKUP($A27,'Data Vlaue (Cr)'!$C:$FB,100)</f>
        <v>8552</v>
      </c>
      <c r="J27" s="49">
        <f>VLOOKUP($A27,'Data Vlaue (Cr)'!$C:$FB,102)*100</f>
        <v>-4.25</v>
      </c>
    </row>
    <row r="28" spans="1:10" x14ac:dyDescent="0.25">
      <c r="A28" s="101" t="str">
        <f>'NIFTY GRP'!C23</f>
        <v>ICICIBANK</v>
      </c>
      <c r="B28" s="140">
        <f>VLOOKUP($A28,'Data shares'!$C:$FA,7)</f>
        <v>1377.6</v>
      </c>
      <c r="C28" s="140">
        <f>VLOOKUP($A28,'Data shares'!$C:$FA,3)</f>
        <v>1378</v>
      </c>
      <c r="D28" s="50">
        <f>VLOOKUP($A28,'Data shares'!$C:$FA,6)*100</f>
        <v>0</v>
      </c>
      <c r="E28" s="51">
        <f>VLOOKUP($A28,'Data shares'!$C:$FA,98)</f>
        <v>180201700</v>
      </c>
      <c r="F28" s="51">
        <f>VLOOKUP($A28,'Data shares'!$C:$FA,99)</f>
        <v>184269400</v>
      </c>
      <c r="G28" s="50">
        <f>VLOOKUP($A28,'Data shares'!$C:$FA,101)*100</f>
        <v>-2.21</v>
      </c>
      <c r="H28" s="49">
        <f>VLOOKUP($A28,'Data Vlaue (Cr)'!$C:$FB,99)</f>
        <v>24832</v>
      </c>
      <c r="I28" s="49">
        <f>VLOOKUP($A28,'Data Vlaue (Cr)'!$C:$FB,100)</f>
        <v>25392</v>
      </c>
      <c r="J28" s="49">
        <f>VLOOKUP($A28,'Data Vlaue (Cr)'!$C:$FB,102)*100</f>
        <v>-2.21</v>
      </c>
    </row>
    <row r="29" spans="1:10" x14ac:dyDescent="0.25">
      <c r="A29" s="101" t="str">
        <f>'NIFTY GRP'!C24</f>
        <v>INDIGO</v>
      </c>
      <c r="B29" s="140">
        <f>VLOOKUP($A29,'Data shares'!$C:$FA,7)</f>
        <v>5835</v>
      </c>
      <c r="C29" s="140">
        <f>VLOOKUP($A29,'Data shares'!$C:$FA,3)</f>
        <v>5836.5</v>
      </c>
      <c r="D29" s="50">
        <f>VLOOKUP($A29,'Data shares'!$C:$FA,6)*100</f>
        <v>1.24</v>
      </c>
      <c r="E29" s="51">
        <f>VLOOKUP($A29,'Data shares'!$C:$FA,98)</f>
        <v>11612400</v>
      </c>
      <c r="F29" s="51">
        <f>VLOOKUP($A29,'Data shares'!$C:$FA,99)</f>
        <v>11754750</v>
      </c>
      <c r="G29" s="50">
        <f>VLOOKUP($A29,'Data shares'!$C:$FA,101)*100</f>
        <v>-1.21</v>
      </c>
      <c r="H29" s="49">
        <f>VLOOKUP($A29,'Data Vlaue (Cr)'!$C:$FB,99)</f>
        <v>6778</v>
      </c>
      <c r="I29" s="49">
        <f>VLOOKUP($A29,'Data Vlaue (Cr)'!$C:$FB,100)</f>
        <v>6861</v>
      </c>
      <c r="J29" s="49">
        <f>VLOOKUP($A29,'Data Vlaue (Cr)'!$C:$FB,102)*100</f>
        <v>-1.21</v>
      </c>
    </row>
    <row r="30" spans="1:10" x14ac:dyDescent="0.25">
      <c r="A30" s="101" t="str">
        <f>'NIFTY GRP'!C25</f>
        <v>INFY</v>
      </c>
      <c r="B30" s="140">
        <f>VLOOKUP($A30,'Data shares'!$C:$FA,7)</f>
        <v>1504.5</v>
      </c>
      <c r="C30" s="140">
        <f>VLOOKUP($A30,'Data shares'!$C:$FA,3)</f>
        <v>1505.4</v>
      </c>
      <c r="D30" s="50">
        <f>VLOOKUP($A30,'Data shares'!$C:$FA,6)*100</f>
        <v>0.27</v>
      </c>
      <c r="E30" s="51">
        <f>VLOOKUP($A30,'Data shares'!$C:$FA,98)</f>
        <v>131326800</v>
      </c>
      <c r="F30" s="51">
        <f>VLOOKUP($A30,'Data shares'!$C:$FA,99)</f>
        <v>136416000</v>
      </c>
      <c r="G30" s="50">
        <f>VLOOKUP($A30,'Data shares'!$C:$FA,101)*100</f>
        <v>-3.73</v>
      </c>
      <c r="H30" s="49">
        <f>VLOOKUP($A30,'Data Vlaue (Cr)'!$C:$FB,99)</f>
        <v>19770</v>
      </c>
      <c r="I30" s="49">
        <f>VLOOKUP($A30,'Data Vlaue (Cr)'!$C:$FB,100)</f>
        <v>20536</v>
      </c>
      <c r="J30" s="49">
        <f>VLOOKUP($A30,'Data Vlaue (Cr)'!$C:$FB,102)*100</f>
        <v>-3.73</v>
      </c>
    </row>
    <row r="31" spans="1:10" x14ac:dyDescent="0.25">
      <c r="A31" s="101" t="str">
        <f>'NIFTY GRP'!C26</f>
        <v>ITC</v>
      </c>
      <c r="B31" s="140">
        <f>VLOOKUP($A31,'Data shares'!$C:$FA,7)</f>
        <v>420.65</v>
      </c>
      <c r="C31" s="140">
        <f>VLOOKUP($A31,'Data shares'!$C:$FA,3)</f>
        <v>420.7</v>
      </c>
      <c r="D31" s="50">
        <f>VLOOKUP($A31,'Data shares'!$C:$FA,6)*100</f>
        <v>0.8</v>
      </c>
      <c r="E31" s="51">
        <f>VLOOKUP($A31,'Data shares'!$C:$FA,98)</f>
        <v>231707200</v>
      </c>
      <c r="F31" s="51">
        <f>VLOOKUP($A31,'Data shares'!$C:$FA,99)</f>
        <v>229435200</v>
      </c>
      <c r="G31" s="50">
        <f>VLOOKUP($A31,'Data shares'!$C:$FA,101)*100</f>
        <v>0.9900000000000001</v>
      </c>
      <c r="H31" s="49">
        <f>VLOOKUP($A31,'Data Vlaue (Cr)'!$C:$FB,99)</f>
        <v>9748</v>
      </c>
      <c r="I31" s="49">
        <f>VLOOKUP($A31,'Data Vlaue (Cr)'!$C:$FB,100)</f>
        <v>9652</v>
      </c>
      <c r="J31" s="49">
        <f>VLOOKUP($A31,'Data Vlaue (Cr)'!$C:$FB,102)*100</f>
        <v>0.9900000000000001</v>
      </c>
    </row>
    <row r="32" spans="1:10" x14ac:dyDescent="0.25">
      <c r="A32" s="101" t="str">
        <f>'NIFTY GRP'!C27</f>
        <v>JIOFIN</v>
      </c>
      <c r="B32" s="140">
        <f>VLOOKUP($A32,'Data shares'!$C:$FA,7)</f>
        <v>305.55</v>
      </c>
      <c r="C32" s="140">
        <f>VLOOKUP($A32,'Data shares'!$C:$FA,3)</f>
        <v>305.85000000000002</v>
      </c>
      <c r="D32" s="50">
        <f>VLOOKUP($A32,'Data shares'!$C:$FA,6)*100</f>
        <v>0.03</v>
      </c>
      <c r="E32" s="51">
        <f>VLOOKUP($A32,'Data shares'!$C:$FA,98)</f>
        <v>273995900</v>
      </c>
      <c r="F32" s="51">
        <f>VLOOKUP($A32,'Data shares'!$C:$FA,99)</f>
        <v>270383950</v>
      </c>
      <c r="G32" s="50">
        <f>VLOOKUP($A32,'Data shares'!$C:$FA,101)*100</f>
        <v>1.34</v>
      </c>
      <c r="H32" s="49">
        <f>VLOOKUP($A32,'Data Vlaue (Cr)'!$C:$FB,99)</f>
        <v>8380</v>
      </c>
      <c r="I32" s="49">
        <f>VLOOKUP($A32,'Data Vlaue (Cr)'!$C:$FB,100)</f>
        <v>8270</v>
      </c>
      <c r="J32" s="49">
        <f>VLOOKUP($A32,'Data Vlaue (Cr)'!$C:$FB,102)*100</f>
        <v>1.34</v>
      </c>
    </row>
    <row r="33" spans="1:10" x14ac:dyDescent="0.25">
      <c r="A33" s="101" t="str">
        <f>'NIFTY GRP'!C28</f>
        <v>JSWSTEEL</v>
      </c>
      <c r="B33" s="140">
        <f>VLOOKUP($A33,'Data shares'!$C:$FA,7)</f>
        <v>1150.5999999999999</v>
      </c>
      <c r="C33" s="140">
        <f>VLOOKUP($A33,'Data shares'!$C:$FA,3)</f>
        <v>1149.2</v>
      </c>
      <c r="D33" s="50">
        <f>VLOOKUP($A33,'Data shares'!$C:$FA,6)*100</f>
        <v>0.6</v>
      </c>
      <c r="E33" s="51">
        <f>VLOOKUP($A33,'Data shares'!$C:$FA,98)</f>
        <v>62569125</v>
      </c>
      <c r="F33" s="51">
        <f>VLOOKUP($A33,'Data shares'!$C:$FA,99)</f>
        <v>62344350</v>
      </c>
      <c r="G33" s="50">
        <f>VLOOKUP($A33,'Data shares'!$C:$FA,101)*100</f>
        <v>0.36</v>
      </c>
      <c r="H33" s="49">
        <f>VLOOKUP($A33,'Data Vlaue (Cr)'!$C:$FB,99)</f>
        <v>7190</v>
      </c>
      <c r="I33" s="49">
        <f>VLOOKUP($A33,'Data Vlaue (Cr)'!$C:$FB,100)</f>
        <v>7165</v>
      </c>
      <c r="J33" s="49">
        <f>VLOOKUP($A33,'Data Vlaue (Cr)'!$C:$FB,102)*100</f>
        <v>0.36</v>
      </c>
    </row>
    <row r="34" spans="1:10" x14ac:dyDescent="0.25">
      <c r="A34" s="101" t="str">
        <f>'NIFTY GRP'!C29</f>
        <v>KOTAKBANK</v>
      </c>
      <c r="B34" s="140">
        <f>VLOOKUP($A34,'Data shares'!$C:$FA,7)</f>
        <v>2148.6</v>
      </c>
      <c r="C34" s="140">
        <f>VLOOKUP($A34,'Data shares'!$C:$FA,3)</f>
        <v>2151.1</v>
      </c>
      <c r="D34" s="50">
        <f>VLOOKUP($A34,'Data shares'!$C:$FA,6)*100</f>
        <v>-1.7399999999999998</v>
      </c>
      <c r="E34" s="51">
        <f>VLOOKUP($A34,'Data shares'!$C:$FA,98)</f>
        <v>52754800</v>
      </c>
      <c r="F34" s="51">
        <f>VLOOKUP($A34,'Data shares'!$C:$FA,99)</f>
        <v>53194000</v>
      </c>
      <c r="G34" s="50">
        <f>VLOOKUP($A34,'Data shares'!$C:$FA,101)*100</f>
        <v>-0.83</v>
      </c>
      <c r="H34" s="49">
        <f>VLOOKUP($A34,'Data Vlaue (Cr)'!$C:$FB,99)</f>
        <v>11348</v>
      </c>
      <c r="I34" s="49">
        <f>VLOOKUP($A34,'Data Vlaue (Cr)'!$C:$FB,100)</f>
        <v>11443</v>
      </c>
      <c r="J34" s="49">
        <f>VLOOKUP($A34,'Data Vlaue (Cr)'!$C:$FB,102)*100</f>
        <v>-0.83</v>
      </c>
    </row>
    <row r="35" spans="1:10" x14ac:dyDescent="0.25">
      <c r="A35" s="101" t="str">
        <f>'NIFTY GRP'!C30</f>
        <v>LT</v>
      </c>
      <c r="B35" s="140">
        <f>VLOOKUP($A35,'Data shares'!$C:$FA,7)</f>
        <v>3923.8</v>
      </c>
      <c r="C35" s="140">
        <f>VLOOKUP($A35,'Data shares'!$C:$FA,3)</f>
        <v>3926.8</v>
      </c>
      <c r="D35" s="50">
        <f>VLOOKUP($A35,'Data shares'!$C:$FA,6)*100</f>
        <v>0.47000000000000003</v>
      </c>
      <c r="E35" s="51">
        <f>VLOOKUP($A35,'Data shares'!$C:$FA,98)</f>
        <v>31638775</v>
      </c>
      <c r="F35" s="51">
        <f>VLOOKUP($A35,'Data shares'!$C:$FA,99)</f>
        <v>31313450</v>
      </c>
      <c r="G35" s="50">
        <f>VLOOKUP($A35,'Data shares'!$C:$FA,101)*100</f>
        <v>1.04</v>
      </c>
      <c r="H35" s="49">
        <f>VLOOKUP($A35,'Data Vlaue (Cr)'!$C:$FB,99)</f>
        <v>12424</v>
      </c>
      <c r="I35" s="49">
        <f>VLOOKUP($A35,'Data Vlaue (Cr)'!$C:$FB,100)</f>
        <v>12296</v>
      </c>
      <c r="J35" s="49">
        <f>VLOOKUP($A35,'Data Vlaue (Cr)'!$C:$FB,102)*100</f>
        <v>1.04</v>
      </c>
    </row>
    <row r="36" spans="1:10" x14ac:dyDescent="0.25">
      <c r="A36" s="101" t="str">
        <f>'NIFTY GRP'!C31</f>
        <v>M&amp;M</v>
      </c>
      <c r="B36" s="140">
        <f>VLOOKUP($A36,'Data shares'!$C:$FA,7)</f>
        <v>3611.6</v>
      </c>
      <c r="C36" s="140">
        <f>VLOOKUP($A36,'Data shares'!$C:$FA,3)</f>
        <v>3615.6</v>
      </c>
      <c r="D36" s="50">
        <f>VLOOKUP($A36,'Data shares'!$C:$FA,6)*100</f>
        <v>-0.12</v>
      </c>
      <c r="E36" s="51">
        <f>VLOOKUP($A36,'Data shares'!$C:$FA,98)</f>
        <v>27237800</v>
      </c>
      <c r="F36" s="51">
        <f>VLOOKUP($A36,'Data shares'!$C:$FA,99)</f>
        <v>27650800</v>
      </c>
      <c r="G36" s="50">
        <f>VLOOKUP($A36,'Data shares'!$C:$FA,101)*100</f>
        <v>-1.49</v>
      </c>
      <c r="H36" s="49">
        <f>VLOOKUP($A36,'Data Vlaue (Cr)'!$C:$FB,99)</f>
        <v>9848</v>
      </c>
      <c r="I36" s="49">
        <f>VLOOKUP($A36,'Data Vlaue (Cr)'!$C:$FB,100)</f>
        <v>9997</v>
      </c>
      <c r="J36" s="49">
        <f>VLOOKUP($A36,'Data Vlaue (Cr)'!$C:$FB,102)*100</f>
        <v>-1.49</v>
      </c>
    </row>
    <row r="37" spans="1:10" x14ac:dyDescent="0.25">
      <c r="A37" s="101" t="str">
        <f>'NIFTY GRP'!C32</f>
        <v>MARUTI</v>
      </c>
      <c r="B37" s="140">
        <f>VLOOKUP($A37,'Data shares'!$C:$FA,7)</f>
        <v>16388</v>
      </c>
      <c r="C37" s="140">
        <f>VLOOKUP($A37,'Data shares'!$C:$FA,3)</f>
        <v>16404</v>
      </c>
      <c r="D37" s="50">
        <f>VLOOKUP($A37,'Data shares'!$C:$FA,6)*100</f>
        <v>0.88</v>
      </c>
      <c r="E37" s="51">
        <f>VLOOKUP($A37,'Data shares'!$C:$FA,98)</f>
        <v>6879000</v>
      </c>
      <c r="F37" s="51">
        <f>VLOOKUP($A37,'Data shares'!$C:$FA,99)</f>
        <v>7569800</v>
      </c>
      <c r="G37" s="50">
        <f>VLOOKUP($A37,'Data shares'!$C:$FA,101)*100</f>
        <v>-9.1300000000000008</v>
      </c>
      <c r="H37" s="49">
        <f>VLOOKUP($A37,'Data Vlaue (Cr)'!$C:$FB,99)</f>
        <v>11284</v>
      </c>
      <c r="I37" s="49">
        <f>VLOOKUP($A37,'Data Vlaue (Cr)'!$C:$FB,100)</f>
        <v>12417</v>
      </c>
      <c r="J37" s="49">
        <f>VLOOKUP($A37,'Data Vlaue (Cr)'!$C:$FB,102)*100</f>
        <v>-9.1300000000000008</v>
      </c>
    </row>
    <row r="38" spans="1:10" x14ac:dyDescent="0.25">
      <c r="A38" s="101" t="str">
        <f>'NIFTY GRP'!C33</f>
        <v>MAXHEALTH</v>
      </c>
      <c r="B38" s="140">
        <f>VLOOKUP($A38,'Data shares'!$C:$FA,7)</f>
        <v>1186.4000000000001</v>
      </c>
      <c r="C38" s="140">
        <f>VLOOKUP($A38,'Data shares'!$C:$FA,3)</f>
        <v>1187.9000000000001</v>
      </c>
      <c r="D38" s="50">
        <f>VLOOKUP($A38,'Data shares'!$C:$FA,6)*100</f>
        <v>0.24</v>
      </c>
      <c r="E38" s="51">
        <f>VLOOKUP($A38,'Data shares'!$C:$FA,98)</f>
        <v>21515550</v>
      </c>
      <c r="F38" s="51">
        <f>VLOOKUP($A38,'Data shares'!$C:$FA,99)</f>
        <v>21863625</v>
      </c>
      <c r="G38" s="50">
        <f>VLOOKUP($A38,'Data shares'!$C:$FA,101)*100</f>
        <v>-1.59</v>
      </c>
      <c r="H38" s="49">
        <f>VLOOKUP($A38,'Data Vlaue (Cr)'!$C:$FB,99)</f>
        <v>2556</v>
      </c>
      <c r="I38" s="49">
        <f>VLOOKUP($A38,'Data Vlaue (Cr)'!$C:$FB,100)</f>
        <v>2597</v>
      </c>
      <c r="J38" s="49">
        <f>VLOOKUP($A38,'Data Vlaue (Cr)'!$C:$FB,102)*100</f>
        <v>-1.59</v>
      </c>
    </row>
    <row r="39" spans="1:10" x14ac:dyDescent="0.25">
      <c r="A39" s="101" t="str">
        <f>'NIFTY GRP'!C34</f>
        <v>NESTLEIND</v>
      </c>
      <c r="B39" s="140">
        <f>VLOOKUP($A39,'Data shares'!$C:$FA,7)</f>
        <v>1283</v>
      </c>
      <c r="C39" s="140">
        <f>VLOOKUP($A39,'Data shares'!$C:$FA,3)</f>
        <v>1284.5999999999999</v>
      </c>
      <c r="D39" s="50">
        <f>VLOOKUP($A39,'Data shares'!$C:$FA,6)*100</f>
        <v>0.15</v>
      </c>
      <c r="E39" s="51">
        <f>VLOOKUP($A39,'Data shares'!$C:$FA,98)</f>
        <v>34714500</v>
      </c>
      <c r="F39" s="51">
        <f>VLOOKUP($A39,'Data shares'!$C:$FA,99)</f>
        <v>35551000</v>
      </c>
      <c r="G39" s="50">
        <f>VLOOKUP($A39,'Data shares'!$C:$FA,101)*100</f>
        <v>-2.35</v>
      </c>
      <c r="H39" s="49">
        <f>VLOOKUP($A39,'Data Vlaue (Cr)'!$C:$FB,99)</f>
        <v>4459</v>
      </c>
      <c r="I39" s="49">
        <f>VLOOKUP($A39,'Data Vlaue (Cr)'!$C:$FB,100)</f>
        <v>4567</v>
      </c>
      <c r="J39" s="49">
        <f>VLOOKUP($A39,'Data Vlaue (Cr)'!$C:$FB,102)*100</f>
        <v>-2.35</v>
      </c>
    </row>
    <row r="40" spans="1:10" x14ac:dyDescent="0.25">
      <c r="A40" s="101" t="str">
        <f>'NIFTY GRP'!C35</f>
        <v>NTPC</v>
      </c>
      <c r="B40" s="140">
        <f>VLOOKUP($A40,'Data shares'!$C:$FA,7)</f>
        <v>341.75</v>
      </c>
      <c r="C40" s="140">
        <f>VLOOKUP($A40,'Data shares'!$C:$FA,3)</f>
        <v>341.75</v>
      </c>
      <c r="D40" s="50">
        <f>VLOOKUP($A40,'Data shares'!$C:$FA,6)*100</f>
        <v>0.5</v>
      </c>
      <c r="E40" s="51">
        <f>VLOOKUP($A40,'Data shares'!$C:$FA,98)</f>
        <v>172006500</v>
      </c>
      <c r="F40" s="51">
        <f>VLOOKUP($A40,'Data shares'!$C:$FA,99)</f>
        <v>170431500</v>
      </c>
      <c r="G40" s="50">
        <f>VLOOKUP($A40,'Data shares'!$C:$FA,101)*100</f>
        <v>0.91999999999999993</v>
      </c>
      <c r="H40" s="49">
        <f>VLOOKUP($A40,'Data Vlaue (Cr)'!$C:$FB,99)</f>
        <v>5878</v>
      </c>
      <c r="I40" s="49">
        <f>VLOOKUP($A40,'Data Vlaue (Cr)'!$C:$FB,100)</f>
        <v>5824</v>
      </c>
      <c r="J40" s="49">
        <f>VLOOKUP($A40,'Data Vlaue (Cr)'!$C:$FB,102)*100</f>
        <v>0.91999999999999993</v>
      </c>
    </row>
    <row r="41" spans="1:10" x14ac:dyDescent="0.25">
      <c r="A41" s="101" t="str">
        <f>'NIFTY GRP'!C36</f>
        <v>ONGC</v>
      </c>
      <c r="B41" s="140">
        <f>VLOOKUP($A41,'Data shares'!$C:$FA,7)</f>
        <v>253.27</v>
      </c>
      <c r="C41" s="140">
        <f>VLOOKUP($A41,'Data shares'!$C:$FA,3)</f>
        <v>252.92</v>
      </c>
      <c r="D41" s="50">
        <f>VLOOKUP($A41,'Data shares'!$C:$FA,6)*100</f>
        <v>-0.64</v>
      </c>
      <c r="E41" s="51">
        <f>VLOOKUP($A41,'Data shares'!$C:$FA,98)</f>
        <v>214229250</v>
      </c>
      <c r="F41" s="51">
        <f>VLOOKUP($A41,'Data shares'!$C:$FA,99)</f>
        <v>219127500</v>
      </c>
      <c r="G41" s="50">
        <f>VLOOKUP($A41,'Data shares'!$C:$FA,101)*100</f>
        <v>-2.2399999999999998</v>
      </c>
      <c r="H41" s="49">
        <f>VLOOKUP($A41,'Data Vlaue (Cr)'!$C:$FB,99)</f>
        <v>5418</v>
      </c>
      <c r="I41" s="49">
        <f>VLOOKUP($A41,'Data Vlaue (Cr)'!$C:$FB,100)</f>
        <v>5542</v>
      </c>
      <c r="J41" s="49">
        <f>VLOOKUP($A41,'Data Vlaue (Cr)'!$C:$FB,102)*100</f>
        <v>-2.2399999999999998</v>
      </c>
    </row>
    <row r="42" spans="1:10" x14ac:dyDescent="0.25">
      <c r="A42" s="101" t="str">
        <f>'NIFTY GRP'!C37</f>
        <v>POWERGRID</v>
      </c>
      <c r="B42" s="140">
        <f>VLOOKUP($A42,'Data shares'!$C:$FA,7)</f>
        <v>291.05</v>
      </c>
      <c r="C42" s="140">
        <f>VLOOKUP($A42,'Data shares'!$C:$FA,3)</f>
        <v>291.7</v>
      </c>
      <c r="D42" s="50">
        <f>VLOOKUP($A42,'Data shares'!$C:$FA,6)*100</f>
        <v>1.1299999999999999</v>
      </c>
      <c r="E42" s="51">
        <f>VLOOKUP($A42,'Data shares'!$C:$FA,98)</f>
        <v>125529200</v>
      </c>
      <c r="F42" s="51">
        <f>VLOOKUP($A42,'Data shares'!$C:$FA,99)</f>
        <v>124134600</v>
      </c>
      <c r="G42" s="50">
        <f>VLOOKUP($A42,'Data shares'!$C:$FA,101)*100</f>
        <v>1.1199999999999999</v>
      </c>
      <c r="H42" s="49">
        <f>VLOOKUP($A42,'Data Vlaue (Cr)'!$C:$FB,99)</f>
        <v>3662</v>
      </c>
      <c r="I42" s="49">
        <f>VLOOKUP($A42,'Data Vlaue (Cr)'!$C:$FB,100)</f>
        <v>3621</v>
      </c>
      <c r="J42" s="49">
        <f>VLOOKUP($A42,'Data Vlaue (Cr)'!$C:$FB,102)*100</f>
        <v>1.1199999999999999</v>
      </c>
    </row>
    <row r="43" spans="1:10" x14ac:dyDescent="0.25">
      <c r="A43" s="101" t="str">
        <f>'NIFTY GRP'!C38</f>
        <v>RELIANCE</v>
      </c>
      <c r="B43" s="140">
        <f>VLOOKUP($A43,'Data shares'!$C:$FA,7)</f>
        <v>1484.1</v>
      </c>
      <c r="C43" s="140">
        <f>VLOOKUP($A43,'Data shares'!$C:$FA,3)</f>
        <v>1482.3</v>
      </c>
      <c r="D43" s="50">
        <f>VLOOKUP($A43,'Data shares'!$C:$FA,6)*100</f>
        <v>2.19</v>
      </c>
      <c r="E43" s="51">
        <f>VLOOKUP($A43,'Data shares'!$C:$FA,98)</f>
        <v>211198000</v>
      </c>
      <c r="F43" s="51">
        <f>VLOOKUP($A43,'Data shares'!$C:$FA,99)</f>
        <v>211013000</v>
      </c>
      <c r="G43" s="50">
        <f>VLOOKUP($A43,'Data shares'!$C:$FA,101)*100</f>
        <v>0.09</v>
      </c>
      <c r="H43" s="49">
        <f>VLOOKUP($A43,'Data Vlaue (Cr)'!$C:$FB,99)</f>
        <v>31306</v>
      </c>
      <c r="I43" s="49">
        <f>VLOOKUP($A43,'Data Vlaue (Cr)'!$C:$FB,100)</f>
        <v>31278</v>
      </c>
      <c r="J43" s="49">
        <f>VLOOKUP($A43,'Data Vlaue (Cr)'!$C:$FB,102)*100</f>
        <v>0.09</v>
      </c>
    </row>
    <row r="44" spans="1:10" x14ac:dyDescent="0.25">
      <c r="A44" s="101" t="str">
        <f>'NIFTY GRP'!C39</f>
        <v>SBILIFE</v>
      </c>
      <c r="B44" s="140">
        <f>VLOOKUP($A44,'Data shares'!$C:$FA,7)</f>
        <v>1903.1</v>
      </c>
      <c r="C44" s="140">
        <f>VLOOKUP($A44,'Data shares'!$C:$FA,3)</f>
        <v>1899.9</v>
      </c>
      <c r="D44" s="50">
        <f>VLOOKUP($A44,'Data shares'!$C:$FA,6)*100</f>
        <v>3.3000000000000003</v>
      </c>
      <c r="E44" s="51">
        <f>VLOOKUP($A44,'Data shares'!$C:$FA,98)</f>
        <v>14403750</v>
      </c>
      <c r="F44" s="51">
        <f>VLOOKUP($A44,'Data shares'!$C:$FA,99)</f>
        <v>12886500</v>
      </c>
      <c r="G44" s="50">
        <f>VLOOKUP($A44,'Data shares'!$C:$FA,101)*100</f>
        <v>11.77</v>
      </c>
      <c r="H44" s="49">
        <f>VLOOKUP($A44,'Data Vlaue (Cr)'!$C:$FB,99)</f>
        <v>2737</v>
      </c>
      <c r="I44" s="49">
        <f>VLOOKUP($A44,'Data Vlaue (Cr)'!$C:$FB,100)</f>
        <v>2448</v>
      </c>
      <c r="J44" s="49">
        <f>VLOOKUP($A44,'Data Vlaue (Cr)'!$C:$FB,102)*100</f>
        <v>11.77</v>
      </c>
    </row>
    <row r="45" spans="1:10" x14ac:dyDescent="0.25">
      <c r="A45" s="101" t="str">
        <f>'NIFTY GRP'!C40</f>
        <v>SBIN</v>
      </c>
      <c r="B45" s="140">
        <f>VLOOKUP($A45,'Data shares'!$C:$FA,7)</f>
        <v>922.75</v>
      </c>
      <c r="C45" s="140">
        <f>VLOOKUP($A45,'Data shares'!$C:$FA,3)</f>
        <v>921.5</v>
      </c>
      <c r="D45" s="50">
        <f>VLOOKUP($A45,'Data shares'!$C:$FA,6)*100</f>
        <v>1.94</v>
      </c>
      <c r="E45" s="51">
        <f>VLOOKUP($A45,'Data shares'!$C:$FA,98)</f>
        <v>189942000</v>
      </c>
      <c r="F45" s="51">
        <f>VLOOKUP($A45,'Data shares'!$C:$FA,99)</f>
        <v>187596000</v>
      </c>
      <c r="G45" s="50">
        <f>VLOOKUP($A45,'Data shares'!$C:$FA,101)*100</f>
        <v>1.25</v>
      </c>
      <c r="H45" s="49">
        <f>VLOOKUP($A45,'Data Vlaue (Cr)'!$C:$FB,99)</f>
        <v>17503</v>
      </c>
      <c r="I45" s="49">
        <f>VLOOKUP($A45,'Data Vlaue (Cr)'!$C:$FB,100)</f>
        <v>17287</v>
      </c>
      <c r="J45" s="49">
        <f>VLOOKUP($A45,'Data Vlaue (Cr)'!$C:$FB,102)*100</f>
        <v>1.25</v>
      </c>
    </row>
    <row r="46" spans="1:10" x14ac:dyDescent="0.25">
      <c r="A46" s="101" t="str">
        <f>'NIFTY GRP'!C41</f>
        <v>SHRIRAMFIN</v>
      </c>
      <c r="B46" s="140">
        <f>VLOOKUP($A46,'Data shares'!$C:$FA,7)</f>
        <v>719.6</v>
      </c>
      <c r="C46" s="140">
        <f>VLOOKUP($A46,'Data shares'!$C:$FA,3)</f>
        <v>719.95</v>
      </c>
      <c r="D46" s="50">
        <f>VLOOKUP($A46,'Data shares'!$C:$FA,6)*100</f>
        <v>0.61</v>
      </c>
      <c r="E46" s="51">
        <f>VLOOKUP($A46,'Data shares'!$C:$FA,98)</f>
        <v>71237100</v>
      </c>
      <c r="F46" s="51">
        <f>VLOOKUP($A46,'Data shares'!$C:$FA,99)</f>
        <v>70827075</v>
      </c>
      <c r="G46" s="50">
        <f>VLOOKUP($A46,'Data shares'!$C:$FA,101)*100</f>
        <v>0.57999999999999996</v>
      </c>
      <c r="H46" s="49">
        <f>VLOOKUP($A46,'Data Vlaue (Cr)'!$C:$FB,99)</f>
        <v>5129</v>
      </c>
      <c r="I46" s="49">
        <f>VLOOKUP($A46,'Data Vlaue (Cr)'!$C:$FB,100)</f>
        <v>5099</v>
      </c>
      <c r="J46" s="49">
        <f>VLOOKUP($A46,'Data Vlaue (Cr)'!$C:$FB,102)*100</f>
        <v>0.57999999999999996</v>
      </c>
    </row>
    <row r="47" spans="1:10" x14ac:dyDescent="0.25">
      <c r="A47" s="101" t="str">
        <f>'NIFTY GRP'!C42</f>
        <v>SUNPHARMA</v>
      </c>
      <c r="B47" s="140">
        <f>VLOOKUP($A47,'Data shares'!$C:$FA,7)</f>
        <v>1693.6</v>
      </c>
      <c r="C47" s="140">
        <f>VLOOKUP($A47,'Data shares'!$C:$FA,3)</f>
        <v>1695.5</v>
      </c>
      <c r="D47" s="50">
        <f>VLOOKUP($A47,'Data shares'!$C:$FA,6)*100</f>
        <v>-0.12</v>
      </c>
      <c r="E47" s="51">
        <f>VLOOKUP($A47,'Data shares'!$C:$FA,98)</f>
        <v>25904550</v>
      </c>
      <c r="F47" s="51">
        <f>VLOOKUP($A47,'Data shares'!$C:$FA,99)</f>
        <v>26993750</v>
      </c>
      <c r="G47" s="50">
        <f>VLOOKUP($A47,'Data shares'!$C:$FA,101)*100</f>
        <v>-4.04</v>
      </c>
      <c r="H47" s="49">
        <f>VLOOKUP($A47,'Data Vlaue (Cr)'!$C:$FB,99)</f>
        <v>4392</v>
      </c>
      <c r="I47" s="49">
        <f>VLOOKUP($A47,'Data Vlaue (Cr)'!$C:$FB,100)</f>
        <v>4577</v>
      </c>
      <c r="J47" s="49">
        <f>VLOOKUP($A47,'Data Vlaue (Cr)'!$C:$FB,102)*100</f>
        <v>-4.04</v>
      </c>
    </row>
    <row r="48" spans="1:10" x14ac:dyDescent="0.25">
      <c r="A48" s="101" t="str">
        <f>'NIFTY GRP'!C43</f>
        <v>TATACONSUM</v>
      </c>
      <c r="B48" s="140">
        <f>VLOOKUP($A48,'Data shares'!$C:$FA,7)</f>
        <v>1169.9000000000001</v>
      </c>
      <c r="C48" s="140">
        <f>VLOOKUP($A48,'Data shares'!$C:$FA,3)</f>
        <v>1169.9000000000001</v>
      </c>
      <c r="D48" s="50">
        <f>VLOOKUP($A48,'Data shares'!$C:$FA,6)*100</f>
        <v>1.39</v>
      </c>
      <c r="E48" s="51">
        <f>VLOOKUP($A48,'Data shares'!$C:$FA,98)</f>
        <v>22796950</v>
      </c>
      <c r="F48" s="51">
        <f>VLOOKUP($A48,'Data shares'!$C:$FA,99)</f>
        <v>22195250</v>
      </c>
      <c r="G48" s="50">
        <f>VLOOKUP($A48,'Data shares'!$C:$FA,101)*100</f>
        <v>2.71</v>
      </c>
      <c r="H48" s="49">
        <f>VLOOKUP($A48,'Data Vlaue (Cr)'!$C:$FB,99)</f>
        <v>2667</v>
      </c>
      <c r="I48" s="49">
        <f>VLOOKUP($A48,'Data Vlaue (Cr)'!$C:$FB,100)</f>
        <v>2597</v>
      </c>
      <c r="J48" s="49">
        <f>VLOOKUP($A48,'Data Vlaue (Cr)'!$C:$FB,102)*100</f>
        <v>2.71</v>
      </c>
    </row>
    <row r="49" spans="1:10" x14ac:dyDescent="0.25">
      <c r="A49" s="101" t="str">
        <f>'NIFTY GRP'!C44</f>
        <v>TATASTEEL</v>
      </c>
      <c r="B49" s="140">
        <f>VLOOKUP($A49,'Data shares'!$C:$FA,7)</f>
        <v>176.66</v>
      </c>
      <c r="C49" s="140">
        <f>VLOOKUP($A49,'Data shares'!$C:$FA,3)</f>
        <v>176.82</v>
      </c>
      <c r="D49" s="50">
        <f>VLOOKUP($A49,'Data shares'!$C:$FA,6)*100</f>
        <v>1.24</v>
      </c>
      <c r="E49" s="51">
        <f>VLOOKUP($A49,'Data shares'!$C:$FA,98)</f>
        <v>422812500</v>
      </c>
      <c r="F49" s="51">
        <f>VLOOKUP($A49,'Data shares'!$C:$FA,99)</f>
        <v>429044000</v>
      </c>
      <c r="G49" s="50">
        <f>VLOOKUP($A49,'Data shares'!$C:$FA,101)*100</f>
        <v>-1.4500000000000002</v>
      </c>
      <c r="H49" s="49">
        <f>VLOOKUP($A49,'Data Vlaue (Cr)'!$C:$FB,99)</f>
        <v>7476</v>
      </c>
      <c r="I49" s="49">
        <f>VLOOKUP($A49,'Data Vlaue (Cr)'!$C:$FB,100)</f>
        <v>7586</v>
      </c>
      <c r="J49" s="49">
        <f>VLOOKUP($A49,'Data Vlaue (Cr)'!$C:$FB,102)*100</f>
        <v>-1.4500000000000002</v>
      </c>
    </row>
    <row r="50" spans="1:10" x14ac:dyDescent="0.25">
      <c r="A50" s="101" t="str">
        <f>'NIFTY GRP'!C45</f>
        <v>TCS</v>
      </c>
      <c r="B50" s="140">
        <f>VLOOKUP($A50,'Data shares'!$C:$FA,7)</f>
        <v>3084.9</v>
      </c>
      <c r="C50" s="140">
        <f>VLOOKUP($A50,'Data shares'!$C:$FA,3)</f>
        <v>3081.8</v>
      </c>
      <c r="D50" s="50">
        <f>VLOOKUP($A50,'Data shares'!$C:$FA,6)*100</f>
        <v>0.70000000000000007</v>
      </c>
      <c r="E50" s="51">
        <f>VLOOKUP($A50,'Data shares'!$C:$FA,98)</f>
        <v>54409950</v>
      </c>
      <c r="F50" s="51">
        <f>VLOOKUP($A50,'Data shares'!$C:$FA,99)</f>
        <v>57737575</v>
      </c>
      <c r="G50" s="50">
        <f>VLOOKUP($A50,'Data shares'!$C:$FA,101)*100</f>
        <v>-5.76</v>
      </c>
      <c r="H50" s="49">
        <f>VLOOKUP($A50,'Data Vlaue (Cr)'!$C:$FB,99)</f>
        <v>16768</v>
      </c>
      <c r="I50" s="49">
        <f>VLOOKUP($A50,'Data Vlaue (Cr)'!$C:$FB,100)</f>
        <v>17794</v>
      </c>
      <c r="J50" s="49">
        <f>VLOOKUP($A50,'Data Vlaue (Cr)'!$C:$FB,102)*100</f>
        <v>-5.76</v>
      </c>
    </row>
    <row r="51" spans="1:10" x14ac:dyDescent="0.25">
      <c r="A51" s="101" t="str">
        <f>'NIFTY GRP'!C46</f>
        <v>TECHM</v>
      </c>
      <c r="B51" s="140">
        <f>VLOOKUP($A51,'Data shares'!$C:$FA,7)</f>
        <v>1462.8</v>
      </c>
      <c r="C51" s="140">
        <f>VLOOKUP($A51,'Data shares'!$C:$FA,3)</f>
        <v>1463.2</v>
      </c>
      <c r="D51" s="50">
        <f>VLOOKUP($A51,'Data shares'!$C:$FA,6)*100</f>
        <v>0.67</v>
      </c>
      <c r="E51" s="51">
        <f>VLOOKUP($A51,'Data shares'!$C:$FA,98)</f>
        <v>27897000</v>
      </c>
      <c r="F51" s="51">
        <f>VLOOKUP($A51,'Data shares'!$C:$FA,99)</f>
        <v>29124600</v>
      </c>
      <c r="G51" s="50">
        <f>VLOOKUP($A51,'Data shares'!$C:$FA,101)*100</f>
        <v>-4.21</v>
      </c>
      <c r="H51" s="49">
        <f>VLOOKUP($A51,'Data Vlaue (Cr)'!$C:$FB,99)</f>
        <v>4082</v>
      </c>
      <c r="I51" s="49">
        <f>VLOOKUP($A51,'Data Vlaue (Cr)'!$C:$FB,100)</f>
        <v>4262</v>
      </c>
      <c r="J51" s="49">
        <f>VLOOKUP($A51,'Data Vlaue (Cr)'!$C:$FB,102)*100</f>
        <v>-4.21</v>
      </c>
    </row>
    <row r="52" spans="1:10" x14ac:dyDescent="0.25">
      <c r="A52" s="101" t="str">
        <f>'NIFTY GRP'!C47</f>
        <v>TITAN</v>
      </c>
      <c r="B52" s="140">
        <f>VLOOKUP($A52,'Data shares'!$C:$FA,7)</f>
        <v>3739.8</v>
      </c>
      <c r="C52" s="140">
        <f>VLOOKUP($A52,'Data shares'!$C:$FA,3)</f>
        <v>3742.1</v>
      </c>
      <c r="D52" s="50">
        <f>VLOOKUP($A52,'Data shares'!$C:$FA,6)*100</f>
        <v>0.80999999999999994</v>
      </c>
      <c r="E52" s="51">
        <f>VLOOKUP($A52,'Data shares'!$C:$FA,98)</f>
        <v>20168750</v>
      </c>
      <c r="F52" s="51">
        <f>VLOOKUP($A52,'Data shares'!$C:$FA,99)</f>
        <v>20383825</v>
      </c>
      <c r="G52" s="50">
        <f>VLOOKUP($A52,'Data shares'!$C:$FA,101)*100</f>
        <v>-1.06</v>
      </c>
      <c r="H52" s="49">
        <f>VLOOKUP($A52,'Data Vlaue (Cr)'!$C:$FB,99)</f>
        <v>7547</v>
      </c>
      <c r="I52" s="49">
        <f>VLOOKUP($A52,'Data Vlaue (Cr)'!$C:$FB,100)</f>
        <v>7628</v>
      </c>
      <c r="J52" s="49">
        <f>VLOOKUP($A52,'Data Vlaue (Cr)'!$C:$FB,102)*100</f>
        <v>-1.06</v>
      </c>
    </row>
    <row r="53" spans="1:10" x14ac:dyDescent="0.25">
      <c r="A53" s="101" t="str">
        <f>'NIFTY GRP'!C48</f>
        <v>TMPV</v>
      </c>
      <c r="B53" s="140">
        <f>VLOOKUP($A53,'Data shares'!$C:$FA,7)</f>
        <v>410.05</v>
      </c>
      <c r="C53" s="140">
        <f>VLOOKUP($A53,'Data shares'!$C:$FA,3)</f>
        <v>411.15</v>
      </c>
      <c r="D53" s="50">
        <f>VLOOKUP($A53,'Data shares'!$C:$FA,6)*100</f>
        <v>1.71</v>
      </c>
      <c r="E53" s="51">
        <f>VLOOKUP($A53,'Data shares'!$C:$FA,98)</f>
        <v>103128800</v>
      </c>
      <c r="F53" s="51">
        <f>VLOOKUP($A53,'Data shares'!$C:$FA,99)</f>
        <v>102985600</v>
      </c>
      <c r="G53" s="50">
        <f>VLOOKUP($A53,'Data shares'!$C:$FA,101)*100</f>
        <v>0.13999999999999999</v>
      </c>
      <c r="H53" s="49">
        <f>VLOOKUP($A53,'Data Vlaue (Cr)'!$C:$FB,99)</f>
        <v>4240</v>
      </c>
      <c r="I53" s="49">
        <f>VLOOKUP($A53,'Data Vlaue (Cr)'!$C:$FB,100)</f>
        <v>4234</v>
      </c>
      <c r="J53" s="49">
        <f>VLOOKUP($A53,'Data Vlaue (Cr)'!$C:$FB,102)*100</f>
        <v>0.13999999999999999</v>
      </c>
    </row>
    <row r="54" spans="1:10" x14ac:dyDescent="0.25">
      <c r="A54" s="101" t="str">
        <f>'NIFTY GRP'!C49</f>
        <v>TRENT</v>
      </c>
      <c r="B54" s="140">
        <f>VLOOKUP($A54,'Data shares'!$C:$FA,7)</f>
        <v>4798.7</v>
      </c>
      <c r="C54" s="140">
        <f>VLOOKUP($A54,'Data shares'!$C:$FA,3)</f>
        <v>4806.3</v>
      </c>
      <c r="D54" s="50">
        <f>VLOOKUP($A54,'Data shares'!$C:$FA,6)*100</f>
        <v>0.45999999999999996</v>
      </c>
      <c r="E54" s="51">
        <f>VLOOKUP($A54,'Data shares'!$C:$FA,98)</f>
        <v>14833100</v>
      </c>
      <c r="F54" s="51">
        <f>VLOOKUP($A54,'Data shares'!$C:$FA,99)</f>
        <v>15832600</v>
      </c>
      <c r="G54" s="50">
        <f>VLOOKUP($A54,'Data shares'!$C:$FA,101)*100</f>
        <v>-6.3100000000000005</v>
      </c>
      <c r="H54" s="49">
        <f>VLOOKUP($A54,'Data Vlaue (Cr)'!$C:$FB,99)</f>
        <v>7129</v>
      </c>
      <c r="I54" s="49">
        <f>VLOOKUP($A54,'Data Vlaue (Cr)'!$C:$FB,100)</f>
        <v>7610</v>
      </c>
      <c r="J54" s="49">
        <f>VLOOKUP($A54,'Data Vlaue (Cr)'!$C:$FB,102)*100</f>
        <v>-6.3100000000000005</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t="str">
        <f>'NIFTY GRP'!C51</f>
        <v>WIPRO</v>
      </c>
      <c r="B56" s="140">
        <f>VLOOKUP($A56,'Data shares'!$C:$FA,7)</f>
        <v>243.91</v>
      </c>
      <c r="C56" s="140">
        <f>VLOOKUP($A56,'Data shares'!$C:$FA,3)</f>
        <v>244.6</v>
      </c>
      <c r="D56" s="50">
        <f>VLOOKUP($A56,'Data shares'!$C:$FA,6)*100</f>
        <v>0.42</v>
      </c>
      <c r="E56" s="51">
        <f>VLOOKUP($A56,'Data shares'!$C:$FA,98)</f>
        <v>274497000</v>
      </c>
      <c r="F56" s="51">
        <f>VLOOKUP($A56,'Data shares'!$C:$FA,99)</f>
        <v>283563000</v>
      </c>
      <c r="G56" s="50">
        <f>VLOOKUP($A56,'Data shares'!$C:$FA,101)*100</f>
        <v>-3.2</v>
      </c>
      <c r="H56" s="49">
        <f>VLOOKUP($A56,'Data Vlaue (Cr)'!$C:$FB,99)</f>
        <v>6714</v>
      </c>
      <c r="I56" s="49">
        <f>VLOOKUP($A56,'Data Vlaue (Cr)'!$C:$FB,100)</f>
        <v>6936</v>
      </c>
      <c r="J56" s="49">
        <f>VLOOKUP($A56,'Data Vlaue (Cr)'!$C:$FB,102)*100</f>
        <v>-3.2</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148" activePane="bottomLeft" state="frozen"/>
      <selection pane="bottomLeft" activeCell="A49" sqref="A49:K4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45957</v>
      </c>
      <c r="C6" s="76" t="s">
        <v>328</v>
      </c>
      <c r="D6" s="3">
        <f>B6</f>
        <v>45957</v>
      </c>
      <c r="E6" s="76" t="s">
        <v>322</v>
      </c>
      <c r="F6" s="76" t="s">
        <v>328</v>
      </c>
      <c r="G6" s="3">
        <f>D6</f>
        <v>45957</v>
      </c>
      <c r="H6" s="76" t="s">
        <v>322</v>
      </c>
      <c r="I6" s="76" t="s">
        <v>328</v>
      </c>
      <c r="J6" s="3">
        <f>D6</f>
        <v>45957</v>
      </c>
      <c r="K6" s="76" t="s">
        <v>322</v>
      </c>
      <c r="L6" s="76" t="s">
        <v>328</v>
      </c>
      <c r="M6" s="3">
        <f>D6</f>
        <v>45957</v>
      </c>
      <c r="N6" s="76" t="s">
        <v>322</v>
      </c>
      <c r="O6" s="76" t="s">
        <v>328</v>
      </c>
    </row>
    <row r="7" spans="1:15" x14ac:dyDescent="0.25">
      <c r="A7" s="101" t="str">
        <f>'Data Vlaue (Cr)'!C2</f>
        <v>360ONE</v>
      </c>
      <c r="B7" s="50">
        <f>VLOOKUP($A7,'Data Vlaue (Cr)'!$C:$FB,8)</f>
        <v>1173</v>
      </c>
      <c r="C7" s="50">
        <f>VLOOKUP($A7,'Data Vlaue (Cr)'!$C:$FB,11)*100</f>
        <v>-1.0699999999999998</v>
      </c>
      <c r="D7" s="50">
        <f>VLOOKUP($A7,'Data Vlaue (Cr)'!$C:$FB,143)</f>
        <v>663.51</v>
      </c>
      <c r="E7" s="50">
        <f>VLOOKUP($A7,'Data Vlaue (Cr)'!$C:$FB,144)</f>
        <v>886.55</v>
      </c>
      <c r="F7" s="50">
        <f>VLOOKUP($A7,'Data Vlaue (Cr)'!$C:$FB,146)*100</f>
        <v>-25.16</v>
      </c>
      <c r="G7" s="49">
        <f>VLOOKUP($A7,'Data Vlaue (Cr)'!$C:$FB,43)</f>
        <v>317</v>
      </c>
      <c r="H7" s="49">
        <f>VLOOKUP($A7,'Data Vlaue (Cr)'!$C:$FB,44)</f>
        <v>327</v>
      </c>
      <c r="I7" s="49">
        <f>VLOOKUP($A7,'Data Vlaue (Cr)'!$C:$FB,46)*100</f>
        <v>-2.79</v>
      </c>
      <c r="J7" s="51">
        <f>VLOOKUP($A7,'Data Vlaue (Cr)'!$C:$FB,59)</f>
        <v>186</v>
      </c>
      <c r="K7" s="51">
        <f>VLOOKUP($A7,'Data Vlaue (Cr)'!$C:$FB,60)</f>
        <v>380</v>
      </c>
      <c r="L7" s="51">
        <f>VLOOKUP($A7,'Data Vlaue (Cr)'!$C:$FB,62)*100</f>
        <v>-51.06</v>
      </c>
      <c r="M7" s="51">
        <f>VLOOKUP($A7,'Data Vlaue (Cr)'!$C:$FB,63)</f>
        <v>162</v>
      </c>
      <c r="N7" s="51">
        <f>VLOOKUP($A7,'Data Vlaue (Cr)'!$C:$FB,64)</f>
        <v>166</v>
      </c>
      <c r="O7" s="51">
        <f>VLOOKUP($A7,'Data Vlaue (Cr)'!$C:$FB,66)*100</f>
        <v>-2.6100000000000003</v>
      </c>
    </row>
    <row r="8" spans="1:15" x14ac:dyDescent="0.25">
      <c r="A8" s="101" t="str">
        <f>'Data Vlaue (Cr)'!C3</f>
        <v>ABB</v>
      </c>
      <c r="B8" s="50">
        <f>VLOOKUP($A8,'Data Vlaue (Cr)'!$C:$FB,8)</f>
        <v>5238</v>
      </c>
      <c r="C8" s="50">
        <f>VLOOKUP($A8,'Data Vlaue (Cr)'!$C:$FB,11)*100</f>
        <v>1.0999999999999999</v>
      </c>
      <c r="D8" s="50">
        <f>VLOOKUP($A8,'Data Vlaue (Cr)'!$C:$FB,143)</f>
        <v>2074.31</v>
      </c>
      <c r="E8" s="50">
        <f>VLOOKUP($A8,'Data Vlaue (Cr)'!$C:$FB,144)</f>
        <v>2447.94</v>
      </c>
      <c r="F8" s="50">
        <f>VLOOKUP($A8,'Data Vlaue (Cr)'!$C:$FB,146)*100</f>
        <v>-15.260000000000002</v>
      </c>
      <c r="G8" s="49">
        <f>VLOOKUP($A8,'Data Vlaue (Cr)'!$C:$FB,43)</f>
        <v>976</v>
      </c>
      <c r="H8" s="49">
        <f>VLOOKUP($A8,'Data Vlaue (Cr)'!$C:$FB,44)</f>
        <v>1208</v>
      </c>
      <c r="I8" s="49">
        <f>VLOOKUP($A8,'Data Vlaue (Cr)'!$C:$FB,46)*100</f>
        <v>-19.16</v>
      </c>
      <c r="J8" s="51">
        <f>VLOOKUP($A8,'Data Vlaue (Cr)'!$C:$FB,59)</f>
        <v>719</v>
      </c>
      <c r="K8" s="51">
        <f>VLOOKUP($A8,'Data Vlaue (Cr)'!$C:$FB,60)</f>
        <v>707</v>
      </c>
      <c r="L8" s="51">
        <f>VLOOKUP($A8,'Data Vlaue (Cr)'!$C:$FB,62)*100</f>
        <v>1.6</v>
      </c>
      <c r="M8" s="51">
        <f>VLOOKUP($A8,'Data Vlaue (Cr)'!$C:$FB,63)</f>
        <v>359</v>
      </c>
      <c r="N8" s="51">
        <f>VLOOKUP($A8,'Data Vlaue (Cr)'!$C:$FB,64)</f>
        <v>512</v>
      </c>
      <c r="O8" s="51">
        <f>VLOOKUP($A8,'Data Vlaue (Cr)'!$C:$FB,66)*100</f>
        <v>-29.849999999999998</v>
      </c>
    </row>
    <row r="9" spans="1:15" x14ac:dyDescent="0.25">
      <c r="A9" s="101" t="str">
        <f>'Data Vlaue (Cr)'!C4</f>
        <v>ABCAPITAL</v>
      </c>
      <c r="B9" s="50">
        <f>VLOOKUP($A9,'Data Vlaue (Cr)'!$C:$FB,8)</f>
        <v>310.75</v>
      </c>
      <c r="C9" s="50">
        <f>VLOOKUP($A9,'Data Vlaue (Cr)'!$C:$FB,11)*100</f>
        <v>1.5</v>
      </c>
      <c r="D9" s="50">
        <f>VLOOKUP($A9,'Data Vlaue (Cr)'!$C:$FB,143)</f>
        <v>2703.44</v>
      </c>
      <c r="E9" s="50">
        <f>VLOOKUP($A9,'Data Vlaue (Cr)'!$C:$FB,144)</f>
        <v>3317.42</v>
      </c>
      <c r="F9" s="50">
        <f>VLOOKUP($A9,'Data Vlaue (Cr)'!$C:$FB,146)*100</f>
        <v>-18.509999999999998</v>
      </c>
      <c r="G9" s="49">
        <f>VLOOKUP($A9,'Data Vlaue (Cr)'!$C:$FB,43)</f>
        <v>1628</v>
      </c>
      <c r="H9" s="49">
        <f>VLOOKUP($A9,'Data Vlaue (Cr)'!$C:$FB,44)</f>
        <v>2211</v>
      </c>
      <c r="I9" s="49">
        <f>VLOOKUP($A9,'Data Vlaue (Cr)'!$C:$FB,46)*100</f>
        <v>-26.369999999999997</v>
      </c>
      <c r="J9" s="51">
        <f>VLOOKUP($A9,'Data Vlaue (Cr)'!$C:$FB,59)</f>
        <v>646</v>
      </c>
      <c r="K9" s="51">
        <f>VLOOKUP($A9,'Data Vlaue (Cr)'!$C:$FB,60)</f>
        <v>740</v>
      </c>
      <c r="L9" s="51">
        <f>VLOOKUP($A9,'Data Vlaue (Cr)'!$C:$FB,62)*100</f>
        <v>-12.73</v>
      </c>
      <c r="M9" s="51">
        <f>VLOOKUP($A9,'Data Vlaue (Cr)'!$C:$FB,63)</f>
        <v>419</v>
      </c>
      <c r="N9" s="51">
        <f>VLOOKUP($A9,'Data Vlaue (Cr)'!$C:$FB,64)</f>
        <v>385</v>
      </c>
      <c r="O9" s="51">
        <f>VLOOKUP($A9,'Data Vlaue (Cr)'!$C:$FB,66)*100</f>
        <v>8.68</v>
      </c>
    </row>
    <row r="10" spans="1:15" x14ac:dyDescent="0.25">
      <c r="A10" s="101" t="str">
        <f>'Data Vlaue (Cr)'!C5</f>
        <v>ADANIENSOL</v>
      </c>
      <c r="B10" s="50">
        <f>VLOOKUP($A10,'Data Vlaue (Cr)'!$C:$FB,8)</f>
        <v>946.35</v>
      </c>
      <c r="C10" s="50">
        <f>VLOOKUP($A10,'Data Vlaue (Cr)'!$C:$FB,11)*100</f>
        <v>0.22</v>
      </c>
      <c r="D10" s="50">
        <f>VLOOKUP($A10,'Data Vlaue (Cr)'!$C:$FB,143)</f>
        <v>2087.8200000000002</v>
      </c>
      <c r="E10" s="50">
        <f>VLOOKUP($A10,'Data Vlaue (Cr)'!$C:$FB,144)</f>
        <v>1710.86</v>
      </c>
      <c r="F10" s="50">
        <f>VLOOKUP($A10,'Data Vlaue (Cr)'!$C:$FB,146)*100</f>
        <v>22.03</v>
      </c>
      <c r="G10" s="49">
        <f>VLOOKUP($A10,'Data Vlaue (Cr)'!$C:$FB,43)</f>
        <v>820</v>
      </c>
      <c r="H10" s="49">
        <f>VLOOKUP($A10,'Data Vlaue (Cr)'!$C:$FB,44)</f>
        <v>1142</v>
      </c>
      <c r="I10" s="49">
        <f>VLOOKUP($A10,'Data Vlaue (Cr)'!$C:$FB,46)*100</f>
        <v>-28.18</v>
      </c>
      <c r="J10" s="51">
        <f>VLOOKUP($A10,'Data Vlaue (Cr)'!$C:$FB,59)</f>
        <v>891</v>
      </c>
      <c r="K10" s="51">
        <f>VLOOKUP($A10,'Data Vlaue (Cr)'!$C:$FB,60)</f>
        <v>390</v>
      </c>
      <c r="L10" s="51">
        <f>VLOOKUP($A10,'Data Vlaue (Cr)'!$C:$FB,62)*100</f>
        <v>128.34</v>
      </c>
      <c r="M10" s="51">
        <f>VLOOKUP($A10,'Data Vlaue (Cr)'!$C:$FB,63)</f>
        <v>344</v>
      </c>
      <c r="N10" s="51">
        <f>VLOOKUP($A10,'Data Vlaue (Cr)'!$C:$FB,64)</f>
        <v>164</v>
      </c>
      <c r="O10" s="51">
        <f>VLOOKUP($A10,'Data Vlaue (Cr)'!$C:$FB,66)*100</f>
        <v>110.33999999999999</v>
      </c>
    </row>
    <row r="11" spans="1:15" x14ac:dyDescent="0.25">
      <c r="A11" s="101" t="str">
        <f>'Data Vlaue (Cr)'!C6</f>
        <v>ADANIENT</v>
      </c>
      <c r="B11" s="50">
        <f>VLOOKUP($A11,'Data Vlaue (Cr)'!$C:$FB,8)</f>
        <v>2492.8000000000002</v>
      </c>
      <c r="C11" s="50">
        <f>VLOOKUP($A11,'Data Vlaue (Cr)'!$C:$FB,11)*100</f>
        <v>-0.45999999999999996</v>
      </c>
      <c r="D11" s="50">
        <f>VLOOKUP($A11,'Data Vlaue (Cr)'!$C:$FB,143)</f>
        <v>6530.57</v>
      </c>
      <c r="E11" s="50">
        <f>VLOOKUP($A11,'Data Vlaue (Cr)'!$C:$FB,144)</f>
        <v>6008.74</v>
      </c>
      <c r="F11" s="50">
        <f>VLOOKUP($A11,'Data Vlaue (Cr)'!$C:$FB,146)*100</f>
        <v>8.68</v>
      </c>
      <c r="G11" s="49">
        <f>VLOOKUP($A11,'Data Vlaue (Cr)'!$C:$FB,43)</f>
        <v>1956</v>
      </c>
      <c r="H11" s="49">
        <f>VLOOKUP($A11,'Data Vlaue (Cr)'!$C:$FB,44)</f>
        <v>2032</v>
      </c>
      <c r="I11" s="49">
        <f>VLOOKUP($A11,'Data Vlaue (Cr)'!$C:$FB,46)*100</f>
        <v>-3.7600000000000002</v>
      </c>
      <c r="J11" s="51">
        <f>VLOOKUP($A11,'Data Vlaue (Cr)'!$C:$FB,59)</f>
        <v>2816</v>
      </c>
      <c r="K11" s="51">
        <f>VLOOKUP($A11,'Data Vlaue (Cr)'!$C:$FB,60)</f>
        <v>2679</v>
      </c>
      <c r="L11" s="51">
        <f>VLOOKUP($A11,'Data Vlaue (Cr)'!$C:$FB,62)*100</f>
        <v>5.1100000000000003</v>
      </c>
      <c r="M11" s="51">
        <f>VLOOKUP($A11,'Data Vlaue (Cr)'!$C:$FB,63)</f>
        <v>1634</v>
      </c>
      <c r="N11" s="51">
        <f>VLOOKUP($A11,'Data Vlaue (Cr)'!$C:$FB,64)</f>
        <v>1112</v>
      </c>
      <c r="O11" s="51">
        <f>VLOOKUP($A11,'Data Vlaue (Cr)'!$C:$FB,66)*100</f>
        <v>46.87</v>
      </c>
    </row>
    <row r="12" spans="1:15" x14ac:dyDescent="0.25">
      <c r="A12" s="101" t="str">
        <f>'Data Vlaue (Cr)'!C7</f>
        <v>ADANIGREEN</v>
      </c>
      <c r="B12" s="50">
        <f>VLOOKUP($A12,'Data Vlaue (Cr)'!$C:$FB,8)</f>
        <v>1017.1</v>
      </c>
      <c r="C12" s="50">
        <f>VLOOKUP($A12,'Data Vlaue (Cr)'!$C:$FB,11)*100</f>
        <v>-1.3599999999999999</v>
      </c>
      <c r="D12" s="50">
        <f>VLOOKUP($A12,'Data Vlaue (Cr)'!$C:$FB,143)</f>
        <v>4478.41</v>
      </c>
      <c r="E12" s="50">
        <f>VLOOKUP($A12,'Data Vlaue (Cr)'!$C:$FB,144)</f>
        <v>3304.4</v>
      </c>
      <c r="F12" s="50">
        <f>VLOOKUP($A12,'Data Vlaue (Cr)'!$C:$FB,146)*100</f>
        <v>35.53</v>
      </c>
      <c r="G12" s="49">
        <f>VLOOKUP($A12,'Data Vlaue (Cr)'!$C:$FB,43)</f>
        <v>1235</v>
      </c>
      <c r="H12" s="49">
        <f>VLOOKUP($A12,'Data Vlaue (Cr)'!$C:$FB,44)</f>
        <v>1192</v>
      </c>
      <c r="I12" s="49">
        <f>VLOOKUP($A12,'Data Vlaue (Cr)'!$C:$FB,46)*100</f>
        <v>3.5900000000000003</v>
      </c>
      <c r="J12" s="51">
        <f>VLOOKUP($A12,'Data Vlaue (Cr)'!$C:$FB,59)</f>
        <v>2179</v>
      </c>
      <c r="K12" s="51">
        <f>VLOOKUP($A12,'Data Vlaue (Cr)'!$C:$FB,60)</f>
        <v>1469</v>
      </c>
      <c r="L12" s="51">
        <f>VLOOKUP($A12,'Data Vlaue (Cr)'!$C:$FB,62)*100</f>
        <v>48.32</v>
      </c>
      <c r="M12" s="51">
        <f>VLOOKUP($A12,'Data Vlaue (Cr)'!$C:$FB,63)</f>
        <v>905</v>
      </c>
      <c r="N12" s="51">
        <f>VLOOKUP($A12,'Data Vlaue (Cr)'!$C:$FB,64)</f>
        <v>486</v>
      </c>
      <c r="O12" s="51">
        <f>VLOOKUP($A12,'Data Vlaue (Cr)'!$C:$FB,66)*100</f>
        <v>86.32</v>
      </c>
    </row>
    <row r="13" spans="1:15" x14ac:dyDescent="0.25">
      <c r="A13" s="101" t="str">
        <f>'Data Vlaue (Cr)'!C8</f>
        <v>ADANIPORTS</v>
      </c>
      <c r="B13" s="50">
        <f>VLOOKUP($A13,'Data Vlaue (Cr)'!$C:$FB,8)</f>
        <v>1420.6</v>
      </c>
      <c r="C13" s="50">
        <f>VLOOKUP($A13,'Data Vlaue (Cr)'!$C:$FB,11)*100</f>
        <v>-0.59</v>
      </c>
      <c r="D13" s="50">
        <f>VLOOKUP($A13,'Data Vlaue (Cr)'!$C:$FB,143)</f>
        <v>6016.04</v>
      </c>
      <c r="E13" s="50">
        <f>VLOOKUP($A13,'Data Vlaue (Cr)'!$C:$FB,144)</f>
        <v>5908.98</v>
      </c>
      <c r="F13" s="50">
        <f>VLOOKUP($A13,'Data Vlaue (Cr)'!$C:$FB,146)*100</f>
        <v>1.81</v>
      </c>
      <c r="G13" s="49">
        <f>VLOOKUP($A13,'Data Vlaue (Cr)'!$C:$FB,43)</f>
        <v>2400</v>
      </c>
      <c r="H13" s="49">
        <f>VLOOKUP($A13,'Data Vlaue (Cr)'!$C:$FB,44)</f>
        <v>2359</v>
      </c>
      <c r="I13" s="49">
        <f>VLOOKUP($A13,'Data Vlaue (Cr)'!$C:$FB,46)*100</f>
        <v>1.72</v>
      </c>
      <c r="J13" s="51">
        <f>VLOOKUP($A13,'Data Vlaue (Cr)'!$C:$FB,59)</f>
        <v>2166</v>
      </c>
      <c r="K13" s="51">
        <f>VLOOKUP($A13,'Data Vlaue (Cr)'!$C:$FB,60)</f>
        <v>2142</v>
      </c>
      <c r="L13" s="51">
        <f>VLOOKUP($A13,'Data Vlaue (Cr)'!$C:$FB,62)*100</f>
        <v>1.1499999999999999</v>
      </c>
      <c r="M13" s="51">
        <f>VLOOKUP($A13,'Data Vlaue (Cr)'!$C:$FB,63)</f>
        <v>1378</v>
      </c>
      <c r="N13" s="51">
        <f>VLOOKUP($A13,'Data Vlaue (Cr)'!$C:$FB,64)</f>
        <v>1268</v>
      </c>
      <c r="O13" s="51">
        <f>VLOOKUP($A13,'Data Vlaue (Cr)'!$C:$FB,66)*100</f>
        <v>8.7099999999999991</v>
      </c>
    </row>
    <row r="14" spans="1:15" x14ac:dyDescent="0.25">
      <c r="A14" s="101" t="str">
        <f>'Data Vlaue (Cr)'!C9</f>
        <v>ALKEM</v>
      </c>
      <c r="B14" s="50">
        <f>VLOOKUP($A14,'Data Vlaue (Cr)'!$C:$FB,8)</f>
        <v>5475.5</v>
      </c>
      <c r="C14" s="50">
        <f>VLOOKUP($A14,'Data Vlaue (Cr)'!$C:$FB,11)*100</f>
        <v>-1.25</v>
      </c>
      <c r="D14" s="50">
        <f>VLOOKUP($A14,'Data Vlaue (Cr)'!$C:$FB,143)</f>
        <v>1105.1199999999999</v>
      </c>
      <c r="E14" s="50">
        <f>VLOOKUP($A14,'Data Vlaue (Cr)'!$C:$FB,144)</f>
        <v>1212.29</v>
      </c>
      <c r="F14" s="50">
        <f>VLOOKUP($A14,'Data Vlaue (Cr)'!$C:$FB,146)*100</f>
        <v>-8.84</v>
      </c>
      <c r="G14" s="49">
        <f>VLOOKUP($A14,'Data Vlaue (Cr)'!$C:$FB,43)</f>
        <v>693</v>
      </c>
      <c r="H14" s="49">
        <f>VLOOKUP($A14,'Data Vlaue (Cr)'!$C:$FB,44)</f>
        <v>823</v>
      </c>
      <c r="I14" s="49">
        <f>VLOOKUP($A14,'Data Vlaue (Cr)'!$C:$FB,46)*100</f>
        <v>-15.840000000000002</v>
      </c>
      <c r="J14" s="51">
        <f>VLOOKUP($A14,'Data Vlaue (Cr)'!$C:$FB,59)</f>
        <v>134</v>
      </c>
      <c r="K14" s="51">
        <f>VLOOKUP($A14,'Data Vlaue (Cr)'!$C:$FB,60)</f>
        <v>206</v>
      </c>
      <c r="L14" s="51">
        <f>VLOOKUP($A14,'Data Vlaue (Cr)'!$C:$FB,62)*100</f>
        <v>-34.89</v>
      </c>
      <c r="M14" s="51">
        <f>VLOOKUP($A14,'Data Vlaue (Cr)'!$C:$FB,63)</f>
        <v>272</v>
      </c>
      <c r="N14" s="51">
        <f>VLOOKUP($A14,'Data Vlaue (Cr)'!$C:$FB,64)</f>
        <v>171</v>
      </c>
      <c r="O14" s="51">
        <f>VLOOKUP($A14,'Data Vlaue (Cr)'!$C:$FB,66)*100</f>
        <v>59.37</v>
      </c>
    </row>
    <row r="15" spans="1:15" x14ac:dyDescent="0.25">
      <c r="A15" s="101" t="str">
        <f>'Data Vlaue (Cr)'!C10</f>
        <v>AMBER</v>
      </c>
      <c r="B15" s="50">
        <f>VLOOKUP($A15,'Data Vlaue (Cr)'!$C:$FB,8)</f>
        <v>8476</v>
      </c>
      <c r="C15" s="50">
        <f>VLOOKUP($A15,'Data Vlaue (Cr)'!$C:$FB,11)*100</f>
        <v>1.8599999999999999</v>
      </c>
      <c r="D15" s="50">
        <f>VLOOKUP($A15,'Data Vlaue (Cr)'!$C:$FB,143)</f>
        <v>2975.77</v>
      </c>
      <c r="E15" s="50">
        <f>VLOOKUP($A15,'Data Vlaue (Cr)'!$C:$FB,144)</f>
        <v>2925.41</v>
      </c>
      <c r="F15" s="50">
        <f>VLOOKUP($A15,'Data Vlaue (Cr)'!$C:$FB,146)*100</f>
        <v>1.72</v>
      </c>
      <c r="G15" s="49">
        <f>VLOOKUP($A15,'Data Vlaue (Cr)'!$C:$FB,43)</f>
        <v>830</v>
      </c>
      <c r="H15" s="49">
        <f>VLOOKUP($A15,'Data Vlaue (Cr)'!$C:$FB,44)</f>
        <v>774</v>
      </c>
      <c r="I15" s="49">
        <f>VLOOKUP($A15,'Data Vlaue (Cr)'!$C:$FB,46)*100</f>
        <v>7.28</v>
      </c>
      <c r="J15" s="51">
        <f>VLOOKUP($A15,'Data Vlaue (Cr)'!$C:$FB,59)</f>
        <v>1458</v>
      </c>
      <c r="K15" s="51">
        <f>VLOOKUP($A15,'Data Vlaue (Cr)'!$C:$FB,60)</f>
        <v>1448</v>
      </c>
      <c r="L15" s="51">
        <f>VLOOKUP($A15,'Data Vlaue (Cr)'!$C:$FB,62)*100</f>
        <v>0.73</v>
      </c>
      <c r="M15" s="51">
        <f>VLOOKUP($A15,'Data Vlaue (Cr)'!$C:$FB,63)</f>
        <v>686</v>
      </c>
      <c r="N15" s="51">
        <f>VLOOKUP($A15,'Data Vlaue (Cr)'!$C:$FB,64)</f>
        <v>717</v>
      </c>
      <c r="O15" s="51">
        <f>VLOOKUP($A15,'Data Vlaue (Cr)'!$C:$FB,66)*100</f>
        <v>-4.29</v>
      </c>
    </row>
    <row r="16" spans="1:15" x14ac:dyDescent="0.25">
      <c r="A16" s="101" t="str">
        <f>'Data Vlaue (Cr)'!C11</f>
        <v>AMBUJACEM</v>
      </c>
      <c r="B16" s="50">
        <f>VLOOKUP($A16,'Data Vlaue (Cr)'!$C:$FB,8)</f>
        <v>560.25</v>
      </c>
      <c r="C16" s="50">
        <f>VLOOKUP($A16,'Data Vlaue (Cr)'!$C:$FB,11)*100</f>
        <v>0.95</v>
      </c>
      <c r="D16" s="50">
        <f>VLOOKUP($A16,'Data Vlaue (Cr)'!$C:$FB,143)</f>
        <v>2516.08</v>
      </c>
      <c r="E16" s="50">
        <f>VLOOKUP($A16,'Data Vlaue (Cr)'!$C:$FB,144)</f>
        <v>2461.5300000000002</v>
      </c>
      <c r="F16" s="50">
        <f>VLOOKUP($A16,'Data Vlaue (Cr)'!$C:$FB,146)*100</f>
        <v>2.2200000000000002</v>
      </c>
      <c r="G16" s="49">
        <f>VLOOKUP($A16,'Data Vlaue (Cr)'!$C:$FB,43)</f>
        <v>1379</v>
      </c>
      <c r="H16" s="49">
        <f>VLOOKUP($A16,'Data Vlaue (Cr)'!$C:$FB,44)</f>
        <v>1614</v>
      </c>
      <c r="I16" s="49">
        <f>VLOOKUP($A16,'Data Vlaue (Cr)'!$C:$FB,46)*100</f>
        <v>-14.56</v>
      </c>
      <c r="J16" s="51">
        <f>VLOOKUP($A16,'Data Vlaue (Cr)'!$C:$FB,59)</f>
        <v>728</v>
      </c>
      <c r="K16" s="51">
        <f>VLOOKUP($A16,'Data Vlaue (Cr)'!$C:$FB,60)</f>
        <v>555</v>
      </c>
      <c r="L16" s="51">
        <f>VLOOKUP($A16,'Data Vlaue (Cr)'!$C:$FB,62)*100</f>
        <v>31.25</v>
      </c>
      <c r="M16" s="51">
        <f>VLOOKUP($A16,'Data Vlaue (Cr)'!$C:$FB,63)</f>
        <v>379</v>
      </c>
      <c r="N16" s="51">
        <f>VLOOKUP($A16,'Data Vlaue (Cr)'!$C:$FB,64)</f>
        <v>272</v>
      </c>
      <c r="O16" s="51">
        <f>VLOOKUP($A16,'Data Vlaue (Cr)'!$C:$FB,66)*100</f>
        <v>39.51</v>
      </c>
    </row>
    <row r="17" spans="1:15" x14ac:dyDescent="0.25">
      <c r="A17" s="101" t="str">
        <f>'Data Vlaue (Cr)'!C12</f>
        <v>ANGELONE</v>
      </c>
      <c r="B17" s="50">
        <f>VLOOKUP($A17,'Data Vlaue (Cr)'!$C:$FB,8)</f>
        <v>2577</v>
      </c>
      <c r="C17" s="50">
        <f>VLOOKUP($A17,'Data Vlaue (Cr)'!$C:$FB,11)*100</f>
        <v>2.4899999999999998</v>
      </c>
      <c r="D17" s="50">
        <f>VLOOKUP($A17,'Data Vlaue (Cr)'!$C:$FB,143)</f>
        <v>2985.59</v>
      </c>
      <c r="E17" s="50">
        <f>VLOOKUP($A17,'Data Vlaue (Cr)'!$C:$FB,144)</f>
        <v>2362.0500000000002</v>
      </c>
      <c r="F17" s="50">
        <f>VLOOKUP($A17,'Data Vlaue (Cr)'!$C:$FB,146)*100</f>
        <v>26.400000000000002</v>
      </c>
      <c r="G17" s="49">
        <f>VLOOKUP($A17,'Data Vlaue (Cr)'!$C:$FB,43)</f>
        <v>820</v>
      </c>
      <c r="H17" s="49">
        <f>VLOOKUP($A17,'Data Vlaue (Cr)'!$C:$FB,44)</f>
        <v>775</v>
      </c>
      <c r="I17" s="49">
        <f>VLOOKUP($A17,'Data Vlaue (Cr)'!$C:$FB,46)*100</f>
        <v>5.89</v>
      </c>
      <c r="J17" s="51">
        <f>VLOOKUP($A17,'Data Vlaue (Cr)'!$C:$FB,59)</f>
        <v>1449</v>
      </c>
      <c r="K17" s="51">
        <f>VLOOKUP($A17,'Data Vlaue (Cr)'!$C:$FB,60)</f>
        <v>944</v>
      </c>
      <c r="L17" s="51">
        <f>VLOOKUP($A17,'Data Vlaue (Cr)'!$C:$FB,62)*100</f>
        <v>53.53</v>
      </c>
      <c r="M17" s="51">
        <f>VLOOKUP($A17,'Data Vlaue (Cr)'!$C:$FB,63)</f>
        <v>723</v>
      </c>
      <c r="N17" s="51">
        <f>VLOOKUP($A17,'Data Vlaue (Cr)'!$C:$FB,64)</f>
        <v>696</v>
      </c>
      <c r="O17" s="51">
        <f>VLOOKUP($A17,'Data Vlaue (Cr)'!$C:$FB,66)*100</f>
        <v>3.9</v>
      </c>
    </row>
    <row r="18" spans="1:15" x14ac:dyDescent="0.25">
      <c r="A18" s="101" t="str">
        <f>'Data Vlaue (Cr)'!C13</f>
        <v>APLAPOLLO</v>
      </c>
      <c r="B18" s="50">
        <f>VLOOKUP($A18,'Data Vlaue (Cr)'!$C:$FB,8)</f>
        <v>1767</v>
      </c>
      <c r="C18" s="50">
        <f>VLOOKUP($A18,'Data Vlaue (Cr)'!$C:$FB,11)*100</f>
        <v>0.72</v>
      </c>
      <c r="D18" s="50">
        <f>VLOOKUP($A18,'Data Vlaue (Cr)'!$C:$FB,143)</f>
        <v>2361.35</v>
      </c>
      <c r="E18" s="50">
        <f>VLOOKUP($A18,'Data Vlaue (Cr)'!$C:$FB,144)</f>
        <v>2186.7199999999998</v>
      </c>
      <c r="F18" s="50">
        <f>VLOOKUP($A18,'Data Vlaue (Cr)'!$C:$FB,146)*100</f>
        <v>7.99</v>
      </c>
      <c r="G18" s="49">
        <f>VLOOKUP($A18,'Data Vlaue (Cr)'!$C:$FB,43)</f>
        <v>1337</v>
      </c>
      <c r="H18" s="49">
        <f>VLOOKUP($A18,'Data Vlaue (Cr)'!$C:$FB,44)</f>
        <v>1463</v>
      </c>
      <c r="I18" s="49">
        <f>VLOOKUP($A18,'Data Vlaue (Cr)'!$C:$FB,46)*100</f>
        <v>-8.6</v>
      </c>
      <c r="J18" s="51">
        <f>VLOOKUP($A18,'Data Vlaue (Cr)'!$C:$FB,59)</f>
        <v>709</v>
      </c>
      <c r="K18" s="51">
        <f>VLOOKUP($A18,'Data Vlaue (Cr)'!$C:$FB,60)</f>
        <v>503</v>
      </c>
      <c r="L18" s="51">
        <f>VLOOKUP($A18,'Data Vlaue (Cr)'!$C:$FB,62)*100</f>
        <v>40.93</v>
      </c>
      <c r="M18" s="51">
        <f>VLOOKUP($A18,'Data Vlaue (Cr)'!$C:$FB,63)</f>
        <v>299</v>
      </c>
      <c r="N18" s="51">
        <f>VLOOKUP($A18,'Data Vlaue (Cr)'!$C:$FB,64)</f>
        <v>225</v>
      </c>
      <c r="O18" s="51">
        <f>VLOOKUP($A18,'Data Vlaue (Cr)'!$C:$FB,66)*100</f>
        <v>32.79</v>
      </c>
    </row>
    <row r="19" spans="1:15" x14ac:dyDescent="0.25">
      <c r="A19" s="101" t="str">
        <f>'Data Vlaue (Cr)'!C14</f>
        <v>APOLLOHOSP</v>
      </c>
      <c r="B19" s="50">
        <f>VLOOKUP($A19,'Data Vlaue (Cr)'!$C:$FB,8)</f>
        <v>7845.5</v>
      </c>
      <c r="C19" s="50">
        <f>VLOOKUP($A19,'Data Vlaue (Cr)'!$C:$FB,11)*100</f>
        <v>0.1</v>
      </c>
      <c r="D19" s="50">
        <f>VLOOKUP($A19,'Data Vlaue (Cr)'!$C:$FB,143)</f>
        <v>2859.85</v>
      </c>
      <c r="E19" s="50">
        <f>VLOOKUP($A19,'Data Vlaue (Cr)'!$C:$FB,144)</f>
        <v>3910.19</v>
      </c>
      <c r="F19" s="50">
        <f>VLOOKUP($A19,'Data Vlaue (Cr)'!$C:$FB,146)*100</f>
        <v>-26.86</v>
      </c>
      <c r="G19" s="49">
        <f>VLOOKUP($A19,'Data Vlaue (Cr)'!$C:$FB,43)</f>
        <v>1315</v>
      </c>
      <c r="H19" s="49">
        <f>VLOOKUP($A19,'Data Vlaue (Cr)'!$C:$FB,44)</f>
        <v>1236</v>
      </c>
      <c r="I19" s="49">
        <f>VLOOKUP($A19,'Data Vlaue (Cr)'!$C:$FB,46)*100</f>
        <v>6.4600000000000009</v>
      </c>
      <c r="J19" s="51">
        <f>VLOOKUP($A19,'Data Vlaue (Cr)'!$C:$FB,59)</f>
        <v>1038</v>
      </c>
      <c r="K19" s="51">
        <f>VLOOKUP($A19,'Data Vlaue (Cr)'!$C:$FB,60)</f>
        <v>1559</v>
      </c>
      <c r="L19" s="51">
        <f>VLOOKUP($A19,'Data Vlaue (Cr)'!$C:$FB,62)*100</f>
        <v>-33.42</v>
      </c>
      <c r="M19" s="51">
        <f>VLOOKUP($A19,'Data Vlaue (Cr)'!$C:$FB,63)</f>
        <v>480</v>
      </c>
      <c r="N19" s="51">
        <f>VLOOKUP($A19,'Data Vlaue (Cr)'!$C:$FB,64)</f>
        <v>1064</v>
      </c>
      <c r="O19" s="51">
        <f>VLOOKUP($A19,'Data Vlaue (Cr)'!$C:$FB,66)*100</f>
        <v>-54.900000000000006</v>
      </c>
    </row>
    <row r="20" spans="1:15" x14ac:dyDescent="0.25">
      <c r="A20" s="101" t="str">
        <f>'Data Vlaue (Cr)'!C15</f>
        <v>ASHOKLEY</v>
      </c>
      <c r="B20" s="50">
        <f>VLOOKUP($A20,'Data Vlaue (Cr)'!$C:$FB,8)</f>
        <v>140.81</v>
      </c>
      <c r="C20" s="50">
        <f>VLOOKUP($A20,'Data Vlaue (Cr)'!$C:$FB,11)*100</f>
        <v>3.27</v>
      </c>
      <c r="D20" s="50">
        <f>VLOOKUP($A20,'Data Vlaue (Cr)'!$C:$FB,143)</f>
        <v>4530.1499999999996</v>
      </c>
      <c r="E20" s="50">
        <f>VLOOKUP($A20,'Data Vlaue (Cr)'!$C:$FB,144)</f>
        <v>2784.16</v>
      </c>
      <c r="F20" s="50">
        <f>VLOOKUP($A20,'Data Vlaue (Cr)'!$C:$FB,146)*100</f>
        <v>62.71</v>
      </c>
      <c r="G20" s="49">
        <f>VLOOKUP($A20,'Data Vlaue (Cr)'!$C:$FB,43)</f>
        <v>1983</v>
      </c>
      <c r="H20" s="49">
        <f>VLOOKUP($A20,'Data Vlaue (Cr)'!$C:$FB,44)</f>
        <v>1744</v>
      </c>
      <c r="I20" s="49">
        <f>VLOOKUP($A20,'Data Vlaue (Cr)'!$C:$FB,46)*100</f>
        <v>13.700000000000001</v>
      </c>
      <c r="J20" s="51">
        <f>VLOOKUP($A20,'Data Vlaue (Cr)'!$C:$FB,59)</f>
        <v>1876</v>
      </c>
      <c r="K20" s="51">
        <f>VLOOKUP($A20,'Data Vlaue (Cr)'!$C:$FB,60)</f>
        <v>768</v>
      </c>
      <c r="L20" s="51">
        <f>VLOOKUP($A20,'Data Vlaue (Cr)'!$C:$FB,62)*100</f>
        <v>144.4</v>
      </c>
      <c r="M20" s="51">
        <f>VLOOKUP($A20,'Data Vlaue (Cr)'!$C:$FB,63)</f>
        <v>689</v>
      </c>
      <c r="N20" s="51">
        <f>VLOOKUP($A20,'Data Vlaue (Cr)'!$C:$FB,64)</f>
        <v>340</v>
      </c>
      <c r="O20" s="51">
        <f>VLOOKUP($A20,'Data Vlaue (Cr)'!$C:$FB,66)*100</f>
        <v>102.66</v>
      </c>
    </row>
    <row r="21" spans="1:15" x14ac:dyDescent="0.25">
      <c r="A21" s="101" t="str">
        <f>'Data Vlaue (Cr)'!C16</f>
        <v>ASIANPAINT</v>
      </c>
      <c r="B21" s="50">
        <f>VLOOKUP($A21,'Data Vlaue (Cr)'!$C:$FB,8)</f>
        <v>2518.8000000000002</v>
      </c>
      <c r="C21" s="50">
        <f>VLOOKUP($A21,'Data Vlaue (Cr)'!$C:$FB,11)*100</f>
        <v>0.69</v>
      </c>
      <c r="D21" s="50">
        <f>VLOOKUP($A21,'Data Vlaue (Cr)'!$C:$FB,143)</f>
        <v>5112.07</v>
      </c>
      <c r="E21" s="50">
        <f>VLOOKUP($A21,'Data Vlaue (Cr)'!$C:$FB,144)</f>
        <v>4844.8</v>
      </c>
      <c r="F21" s="50">
        <f>VLOOKUP($A21,'Data Vlaue (Cr)'!$C:$FB,146)*100</f>
        <v>5.52</v>
      </c>
      <c r="G21" s="49">
        <f>VLOOKUP($A21,'Data Vlaue (Cr)'!$C:$FB,43)</f>
        <v>2388</v>
      </c>
      <c r="H21" s="49">
        <f>VLOOKUP($A21,'Data Vlaue (Cr)'!$C:$FB,44)</f>
        <v>2550</v>
      </c>
      <c r="I21" s="49">
        <f>VLOOKUP($A21,'Data Vlaue (Cr)'!$C:$FB,46)*100</f>
        <v>-6.34</v>
      </c>
      <c r="J21" s="51">
        <f>VLOOKUP($A21,'Data Vlaue (Cr)'!$C:$FB,59)</f>
        <v>1524</v>
      </c>
      <c r="K21" s="51">
        <f>VLOOKUP($A21,'Data Vlaue (Cr)'!$C:$FB,60)</f>
        <v>1252</v>
      </c>
      <c r="L21" s="51">
        <f>VLOOKUP($A21,'Data Vlaue (Cr)'!$C:$FB,62)*100</f>
        <v>21.69</v>
      </c>
      <c r="M21" s="51">
        <f>VLOOKUP($A21,'Data Vlaue (Cr)'!$C:$FB,63)</f>
        <v>1178</v>
      </c>
      <c r="N21" s="51">
        <f>VLOOKUP($A21,'Data Vlaue (Cr)'!$C:$FB,64)</f>
        <v>1050</v>
      </c>
      <c r="O21" s="51">
        <f>VLOOKUP($A21,'Data Vlaue (Cr)'!$C:$FB,66)*100</f>
        <v>12.139999999999999</v>
      </c>
    </row>
    <row r="22" spans="1:15" x14ac:dyDescent="0.25">
      <c r="A22" s="101" t="str">
        <f>'Data Vlaue (Cr)'!C17</f>
        <v>ASTRAL</v>
      </c>
      <c r="B22" s="50">
        <f>VLOOKUP($A22,'Data Vlaue (Cr)'!$C:$FB,8)</f>
        <v>1435.2</v>
      </c>
      <c r="C22" s="50">
        <f>VLOOKUP($A22,'Data Vlaue (Cr)'!$C:$FB,11)*100</f>
        <v>0.31</v>
      </c>
      <c r="D22" s="50">
        <f>VLOOKUP($A22,'Data Vlaue (Cr)'!$C:$FB,143)</f>
        <v>1788.07</v>
      </c>
      <c r="E22" s="50">
        <f>VLOOKUP($A22,'Data Vlaue (Cr)'!$C:$FB,144)</f>
        <v>1835.43</v>
      </c>
      <c r="F22" s="50">
        <f>VLOOKUP($A22,'Data Vlaue (Cr)'!$C:$FB,146)*100</f>
        <v>-2.58</v>
      </c>
      <c r="G22" s="49">
        <f>VLOOKUP($A22,'Data Vlaue (Cr)'!$C:$FB,43)</f>
        <v>918</v>
      </c>
      <c r="H22" s="49">
        <f>VLOOKUP($A22,'Data Vlaue (Cr)'!$C:$FB,44)</f>
        <v>1056</v>
      </c>
      <c r="I22" s="49">
        <f>VLOOKUP($A22,'Data Vlaue (Cr)'!$C:$FB,46)*100</f>
        <v>-13.01</v>
      </c>
      <c r="J22" s="51">
        <f>VLOOKUP($A22,'Data Vlaue (Cr)'!$C:$FB,59)</f>
        <v>533</v>
      </c>
      <c r="K22" s="51">
        <f>VLOOKUP($A22,'Data Vlaue (Cr)'!$C:$FB,60)</f>
        <v>512</v>
      </c>
      <c r="L22" s="51">
        <f>VLOOKUP($A22,'Data Vlaue (Cr)'!$C:$FB,62)*100</f>
        <v>4.22</v>
      </c>
      <c r="M22" s="51">
        <f>VLOOKUP($A22,'Data Vlaue (Cr)'!$C:$FB,63)</f>
        <v>328</v>
      </c>
      <c r="N22" s="51">
        <f>VLOOKUP($A22,'Data Vlaue (Cr)'!$C:$FB,64)</f>
        <v>240</v>
      </c>
      <c r="O22" s="51">
        <f>VLOOKUP($A22,'Data Vlaue (Cr)'!$C:$FB,66)*100</f>
        <v>36.65</v>
      </c>
    </row>
    <row r="23" spans="1:15" x14ac:dyDescent="0.25">
      <c r="A23" s="101" t="str">
        <f>'Data Vlaue (Cr)'!C18</f>
        <v>AUBANK</v>
      </c>
      <c r="B23" s="50">
        <f>VLOOKUP($A23,'Data Vlaue (Cr)'!$C:$FB,8)</f>
        <v>864.2</v>
      </c>
      <c r="C23" s="50">
        <f>VLOOKUP($A23,'Data Vlaue (Cr)'!$C:$FB,11)*100</f>
        <v>0.44999999999999996</v>
      </c>
      <c r="D23" s="50">
        <f>VLOOKUP($A23,'Data Vlaue (Cr)'!$C:$FB,143)</f>
        <v>2651.41</v>
      </c>
      <c r="E23" s="50">
        <f>VLOOKUP($A23,'Data Vlaue (Cr)'!$C:$FB,144)</f>
        <v>4600.1000000000004</v>
      </c>
      <c r="F23" s="50">
        <f>VLOOKUP($A23,'Data Vlaue (Cr)'!$C:$FB,146)*100</f>
        <v>-42.36</v>
      </c>
      <c r="G23" s="49">
        <f>VLOOKUP($A23,'Data Vlaue (Cr)'!$C:$FB,43)</f>
        <v>1089</v>
      </c>
      <c r="H23" s="49">
        <f>VLOOKUP($A23,'Data Vlaue (Cr)'!$C:$FB,44)</f>
        <v>1925</v>
      </c>
      <c r="I23" s="49">
        <f>VLOOKUP($A23,'Data Vlaue (Cr)'!$C:$FB,46)*100</f>
        <v>-43.43</v>
      </c>
      <c r="J23" s="51">
        <f>VLOOKUP($A23,'Data Vlaue (Cr)'!$C:$FB,59)</f>
        <v>850</v>
      </c>
      <c r="K23" s="51">
        <f>VLOOKUP($A23,'Data Vlaue (Cr)'!$C:$FB,60)</f>
        <v>1305</v>
      </c>
      <c r="L23" s="51">
        <f>VLOOKUP($A23,'Data Vlaue (Cr)'!$C:$FB,62)*100</f>
        <v>-34.89</v>
      </c>
      <c r="M23" s="51">
        <f>VLOOKUP($A23,'Data Vlaue (Cr)'!$C:$FB,63)</f>
        <v>709</v>
      </c>
      <c r="N23" s="51">
        <f>VLOOKUP($A23,'Data Vlaue (Cr)'!$C:$FB,64)</f>
        <v>1354</v>
      </c>
      <c r="O23" s="51">
        <f>VLOOKUP($A23,'Data Vlaue (Cr)'!$C:$FB,66)*100</f>
        <v>-47.599999999999994</v>
      </c>
    </row>
    <row r="24" spans="1:15" x14ac:dyDescent="0.25">
      <c r="A24" s="101" t="str">
        <f>'Data Vlaue (Cr)'!C19</f>
        <v>AUROPHARMA</v>
      </c>
      <c r="B24" s="50">
        <f>VLOOKUP($A24,'Data Vlaue (Cr)'!$C:$FB,8)</f>
        <v>1094.7</v>
      </c>
      <c r="C24" s="50">
        <f>VLOOKUP($A24,'Data Vlaue (Cr)'!$C:$FB,11)*100</f>
        <v>0.89</v>
      </c>
      <c r="D24" s="50">
        <f>VLOOKUP($A24,'Data Vlaue (Cr)'!$C:$FB,143)</f>
        <v>2616.92</v>
      </c>
      <c r="E24" s="50">
        <f>VLOOKUP($A24,'Data Vlaue (Cr)'!$C:$FB,144)</f>
        <v>2874.25</v>
      </c>
      <c r="F24" s="50">
        <f>VLOOKUP($A24,'Data Vlaue (Cr)'!$C:$FB,146)*100</f>
        <v>-8.9499999999999993</v>
      </c>
      <c r="G24" s="49">
        <f>VLOOKUP($A24,'Data Vlaue (Cr)'!$C:$FB,43)</f>
        <v>1306</v>
      </c>
      <c r="H24" s="49">
        <f>VLOOKUP($A24,'Data Vlaue (Cr)'!$C:$FB,44)</f>
        <v>1841</v>
      </c>
      <c r="I24" s="49">
        <f>VLOOKUP($A24,'Data Vlaue (Cr)'!$C:$FB,46)*100</f>
        <v>-29.049999999999997</v>
      </c>
      <c r="J24" s="51">
        <f>VLOOKUP($A24,'Data Vlaue (Cr)'!$C:$FB,59)</f>
        <v>806</v>
      </c>
      <c r="K24" s="51">
        <f>VLOOKUP($A24,'Data Vlaue (Cr)'!$C:$FB,60)</f>
        <v>580</v>
      </c>
      <c r="L24" s="51">
        <f>VLOOKUP($A24,'Data Vlaue (Cr)'!$C:$FB,62)*100</f>
        <v>38.950000000000003</v>
      </c>
      <c r="M24" s="51">
        <f>VLOOKUP($A24,'Data Vlaue (Cr)'!$C:$FB,63)</f>
        <v>468</v>
      </c>
      <c r="N24" s="51">
        <f>VLOOKUP($A24,'Data Vlaue (Cr)'!$C:$FB,64)</f>
        <v>433</v>
      </c>
      <c r="O24" s="51">
        <f>VLOOKUP($A24,'Data Vlaue (Cr)'!$C:$FB,66)*100</f>
        <v>8.1100000000000012</v>
      </c>
    </row>
    <row r="25" spans="1:15" x14ac:dyDescent="0.25">
      <c r="A25" s="101" t="str">
        <f>'Data Vlaue (Cr)'!C20</f>
        <v>AXISBANK</v>
      </c>
      <c r="B25" s="50">
        <f>VLOOKUP($A25,'Data Vlaue (Cr)'!$C:$FB,8)</f>
        <v>1254.0999999999999</v>
      </c>
      <c r="C25" s="50">
        <f>VLOOKUP($A25,'Data Vlaue (Cr)'!$C:$FB,11)*100</f>
        <v>0.98</v>
      </c>
      <c r="D25" s="50">
        <f>VLOOKUP($A25,'Data Vlaue (Cr)'!$C:$FB,143)</f>
        <v>9621.24</v>
      </c>
      <c r="E25" s="50">
        <f>VLOOKUP($A25,'Data Vlaue (Cr)'!$C:$FB,144)</f>
        <v>14099.8</v>
      </c>
      <c r="F25" s="50">
        <f>VLOOKUP($A25,'Data Vlaue (Cr)'!$C:$FB,146)*100</f>
        <v>-31.759999999999998</v>
      </c>
      <c r="G25" s="49">
        <f>VLOOKUP($A25,'Data Vlaue (Cr)'!$C:$FB,43)</f>
        <v>3501</v>
      </c>
      <c r="H25" s="49">
        <f>VLOOKUP($A25,'Data Vlaue (Cr)'!$C:$FB,44)</f>
        <v>5970</v>
      </c>
      <c r="I25" s="49">
        <f>VLOOKUP($A25,'Data Vlaue (Cr)'!$C:$FB,46)*100</f>
        <v>-41.36</v>
      </c>
      <c r="J25" s="51">
        <f>VLOOKUP($A25,'Data Vlaue (Cr)'!$C:$FB,59)</f>
        <v>3795</v>
      </c>
      <c r="K25" s="51">
        <f>VLOOKUP($A25,'Data Vlaue (Cr)'!$C:$FB,60)</f>
        <v>4355</v>
      </c>
      <c r="L25" s="51">
        <f>VLOOKUP($A25,'Data Vlaue (Cr)'!$C:$FB,62)*100</f>
        <v>-12.86</v>
      </c>
      <c r="M25" s="51">
        <f>VLOOKUP($A25,'Data Vlaue (Cr)'!$C:$FB,63)</f>
        <v>2290</v>
      </c>
      <c r="N25" s="51">
        <f>VLOOKUP($A25,'Data Vlaue (Cr)'!$C:$FB,64)</f>
        <v>3768</v>
      </c>
      <c r="O25" s="51">
        <f>VLOOKUP($A25,'Data Vlaue (Cr)'!$C:$FB,66)*100</f>
        <v>-39.21</v>
      </c>
    </row>
    <row r="26" spans="1:15" x14ac:dyDescent="0.25">
      <c r="A26" s="101" t="str">
        <f>'Data Vlaue (Cr)'!C21</f>
        <v>BAJAJ-AUTO</v>
      </c>
      <c r="B26" s="50">
        <f>VLOOKUP($A26,'Data Vlaue (Cr)'!$C:$FB,8)</f>
        <v>9095.5</v>
      </c>
      <c r="C26" s="50">
        <f>VLOOKUP($A26,'Data Vlaue (Cr)'!$C:$FB,11)*100</f>
        <v>0.21</v>
      </c>
      <c r="D26" s="50">
        <f>VLOOKUP($A26,'Data Vlaue (Cr)'!$C:$FB,143)</f>
        <v>5074.82</v>
      </c>
      <c r="E26" s="50">
        <f>VLOOKUP($A26,'Data Vlaue (Cr)'!$C:$FB,144)</f>
        <v>6477.87</v>
      </c>
      <c r="F26" s="50">
        <f>VLOOKUP($A26,'Data Vlaue (Cr)'!$C:$FB,146)*100</f>
        <v>-21.66</v>
      </c>
      <c r="G26" s="49">
        <f>VLOOKUP($A26,'Data Vlaue (Cr)'!$C:$FB,43)</f>
        <v>2157</v>
      </c>
      <c r="H26" s="49">
        <f>VLOOKUP($A26,'Data Vlaue (Cr)'!$C:$FB,44)</f>
        <v>2682</v>
      </c>
      <c r="I26" s="49">
        <f>VLOOKUP($A26,'Data Vlaue (Cr)'!$C:$FB,46)*100</f>
        <v>-19.57</v>
      </c>
      <c r="J26" s="51">
        <f>VLOOKUP($A26,'Data Vlaue (Cr)'!$C:$FB,59)</f>
        <v>1836</v>
      </c>
      <c r="K26" s="51">
        <f>VLOOKUP($A26,'Data Vlaue (Cr)'!$C:$FB,60)</f>
        <v>2305</v>
      </c>
      <c r="L26" s="51">
        <f>VLOOKUP($A26,'Data Vlaue (Cr)'!$C:$FB,62)*100</f>
        <v>-20.349999999999998</v>
      </c>
      <c r="M26" s="51">
        <f>VLOOKUP($A26,'Data Vlaue (Cr)'!$C:$FB,63)</f>
        <v>1050</v>
      </c>
      <c r="N26" s="51">
        <f>VLOOKUP($A26,'Data Vlaue (Cr)'!$C:$FB,64)</f>
        <v>1475</v>
      </c>
      <c r="O26" s="51">
        <f>VLOOKUP($A26,'Data Vlaue (Cr)'!$C:$FB,66)*100</f>
        <v>-28.799999999999997</v>
      </c>
    </row>
    <row r="27" spans="1:15" x14ac:dyDescent="0.25">
      <c r="A27" s="101" t="str">
        <f>'Data Vlaue (Cr)'!C22</f>
        <v>BAJAJFINSV</v>
      </c>
      <c r="B27" s="50">
        <f>VLOOKUP($A27,'Data Vlaue (Cr)'!$C:$FB,8)</f>
        <v>2170.1999999999998</v>
      </c>
      <c r="C27" s="50">
        <f>VLOOKUP($A27,'Data Vlaue (Cr)'!$C:$FB,11)*100</f>
        <v>0.5</v>
      </c>
      <c r="D27" s="50">
        <f>VLOOKUP($A27,'Data Vlaue (Cr)'!$C:$FB,143)</f>
        <v>4785.51</v>
      </c>
      <c r="E27" s="50">
        <f>VLOOKUP($A27,'Data Vlaue (Cr)'!$C:$FB,144)</f>
        <v>5205.66</v>
      </c>
      <c r="F27" s="50">
        <f>VLOOKUP($A27,'Data Vlaue (Cr)'!$C:$FB,146)*100</f>
        <v>-8.07</v>
      </c>
      <c r="G27" s="49">
        <f>VLOOKUP($A27,'Data Vlaue (Cr)'!$C:$FB,43)</f>
        <v>2304</v>
      </c>
      <c r="H27" s="49">
        <f>VLOOKUP($A27,'Data Vlaue (Cr)'!$C:$FB,44)</f>
        <v>2173</v>
      </c>
      <c r="I27" s="49">
        <f>VLOOKUP($A27,'Data Vlaue (Cr)'!$C:$FB,46)*100</f>
        <v>6.04</v>
      </c>
      <c r="J27" s="51">
        <f>VLOOKUP($A27,'Data Vlaue (Cr)'!$C:$FB,59)</f>
        <v>1282</v>
      </c>
      <c r="K27" s="51">
        <f>VLOOKUP($A27,'Data Vlaue (Cr)'!$C:$FB,60)</f>
        <v>1493</v>
      </c>
      <c r="L27" s="51">
        <f>VLOOKUP($A27,'Data Vlaue (Cr)'!$C:$FB,62)*100</f>
        <v>-14.16</v>
      </c>
      <c r="M27" s="51">
        <f>VLOOKUP($A27,'Data Vlaue (Cr)'!$C:$FB,63)</f>
        <v>1204</v>
      </c>
      <c r="N27" s="51">
        <f>VLOOKUP($A27,'Data Vlaue (Cr)'!$C:$FB,64)</f>
        <v>1542</v>
      </c>
      <c r="O27" s="51">
        <f>VLOOKUP($A27,'Data Vlaue (Cr)'!$C:$FB,66)*100</f>
        <v>-21.959999999999997</v>
      </c>
    </row>
    <row r="28" spans="1:15" x14ac:dyDescent="0.25">
      <c r="A28" s="101" t="str">
        <f>'Data Vlaue (Cr)'!C23</f>
        <v>BAJFINANCE</v>
      </c>
      <c r="B28" s="50">
        <f>VLOOKUP($A28,'Data Vlaue (Cr)'!$C:$FB,8)</f>
        <v>1084.4000000000001</v>
      </c>
      <c r="C28" s="50">
        <f>VLOOKUP($A28,'Data Vlaue (Cr)'!$C:$FB,11)*100</f>
        <v>-0.49</v>
      </c>
      <c r="D28" s="50">
        <f>VLOOKUP($A28,'Data Vlaue (Cr)'!$C:$FB,143)</f>
        <v>10401.16</v>
      </c>
      <c r="E28" s="50">
        <f>VLOOKUP($A28,'Data Vlaue (Cr)'!$C:$FB,144)</f>
        <v>11174.69</v>
      </c>
      <c r="F28" s="50">
        <f>VLOOKUP($A28,'Data Vlaue (Cr)'!$C:$FB,146)*100</f>
        <v>-6.92</v>
      </c>
      <c r="G28" s="49">
        <f>VLOOKUP($A28,'Data Vlaue (Cr)'!$C:$FB,43)</f>
        <v>6069</v>
      </c>
      <c r="H28" s="49">
        <f>VLOOKUP($A28,'Data Vlaue (Cr)'!$C:$FB,44)</f>
        <v>6579</v>
      </c>
      <c r="I28" s="49">
        <f>VLOOKUP($A28,'Data Vlaue (Cr)'!$C:$FB,46)*100</f>
        <v>-7.75</v>
      </c>
      <c r="J28" s="51">
        <f>VLOOKUP($A28,'Data Vlaue (Cr)'!$C:$FB,59)</f>
        <v>2139</v>
      </c>
      <c r="K28" s="51">
        <f>VLOOKUP($A28,'Data Vlaue (Cr)'!$C:$FB,60)</f>
        <v>2072</v>
      </c>
      <c r="L28" s="51">
        <f>VLOOKUP($A28,'Data Vlaue (Cr)'!$C:$FB,62)*100</f>
        <v>3.2399999999999998</v>
      </c>
      <c r="M28" s="51">
        <f>VLOOKUP($A28,'Data Vlaue (Cr)'!$C:$FB,63)</f>
        <v>2186</v>
      </c>
      <c r="N28" s="51">
        <f>VLOOKUP($A28,'Data Vlaue (Cr)'!$C:$FB,64)</f>
        <v>2439</v>
      </c>
      <c r="O28" s="51">
        <f>VLOOKUP($A28,'Data Vlaue (Cr)'!$C:$FB,66)*100</f>
        <v>-10.38</v>
      </c>
    </row>
    <row r="29" spans="1:15" x14ac:dyDescent="0.25">
      <c r="A29" s="101" t="str">
        <f>'Data Vlaue (Cr)'!C24</f>
        <v>BANDHANBNK</v>
      </c>
      <c r="B29" s="50">
        <f>VLOOKUP($A29,'Data Vlaue (Cr)'!$C:$FB,8)</f>
        <v>172.04</v>
      </c>
      <c r="C29" s="50">
        <f>VLOOKUP($A29,'Data Vlaue (Cr)'!$C:$FB,11)*100</f>
        <v>1.2</v>
      </c>
      <c r="D29" s="50">
        <f>VLOOKUP($A29,'Data Vlaue (Cr)'!$C:$FB,143)</f>
        <v>2275.64</v>
      </c>
      <c r="E29" s="50">
        <f>VLOOKUP($A29,'Data Vlaue (Cr)'!$C:$FB,144)</f>
        <v>2464.16</v>
      </c>
      <c r="F29" s="50">
        <f>VLOOKUP($A29,'Data Vlaue (Cr)'!$C:$FB,146)*100</f>
        <v>-7.6499999999999995</v>
      </c>
      <c r="G29" s="49">
        <f>VLOOKUP($A29,'Data Vlaue (Cr)'!$C:$FB,43)</f>
        <v>1127</v>
      </c>
      <c r="H29" s="49">
        <f>VLOOKUP($A29,'Data Vlaue (Cr)'!$C:$FB,44)</f>
        <v>1072</v>
      </c>
      <c r="I29" s="49">
        <f>VLOOKUP($A29,'Data Vlaue (Cr)'!$C:$FB,46)*100</f>
        <v>5.0599999999999996</v>
      </c>
      <c r="J29" s="51">
        <f>VLOOKUP($A29,'Data Vlaue (Cr)'!$C:$FB,59)</f>
        <v>656</v>
      </c>
      <c r="K29" s="51">
        <f>VLOOKUP($A29,'Data Vlaue (Cr)'!$C:$FB,60)</f>
        <v>934</v>
      </c>
      <c r="L29" s="51">
        <f>VLOOKUP($A29,'Data Vlaue (Cr)'!$C:$FB,62)*100</f>
        <v>-29.73</v>
      </c>
      <c r="M29" s="51">
        <f>VLOOKUP($A29,'Data Vlaue (Cr)'!$C:$FB,63)</f>
        <v>464</v>
      </c>
      <c r="N29" s="51">
        <f>VLOOKUP($A29,'Data Vlaue (Cr)'!$C:$FB,64)</f>
        <v>433</v>
      </c>
      <c r="O29" s="51">
        <f>VLOOKUP($A29,'Data Vlaue (Cr)'!$C:$FB,66)*100</f>
        <v>7.03</v>
      </c>
    </row>
    <row r="30" spans="1:15" x14ac:dyDescent="0.25">
      <c r="A30" s="101" t="str">
        <f>'Data Vlaue (Cr)'!C25</f>
        <v>BANKBARODA</v>
      </c>
      <c r="B30" s="50">
        <f>VLOOKUP($A30,'Data Vlaue (Cr)'!$C:$FB,8)</f>
        <v>273.64999999999998</v>
      </c>
      <c r="C30" s="50">
        <f>VLOOKUP($A30,'Data Vlaue (Cr)'!$C:$FB,11)*100</f>
        <v>2.8000000000000003</v>
      </c>
      <c r="D30" s="50">
        <f>VLOOKUP($A30,'Data Vlaue (Cr)'!$C:$FB,143)</f>
        <v>6045.32</v>
      </c>
      <c r="E30" s="50">
        <f>VLOOKUP($A30,'Data Vlaue (Cr)'!$C:$FB,144)</f>
        <v>5331.78</v>
      </c>
      <c r="F30" s="50">
        <f>VLOOKUP($A30,'Data Vlaue (Cr)'!$C:$FB,146)*100</f>
        <v>13.38</v>
      </c>
      <c r="G30" s="49">
        <f>VLOOKUP($A30,'Data Vlaue (Cr)'!$C:$FB,43)</f>
        <v>2158</v>
      </c>
      <c r="H30" s="49">
        <f>VLOOKUP($A30,'Data Vlaue (Cr)'!$C:$FB,44)</f>
        <v>2603</v>
      </c>
      <c r="I30" s="49">
        <f>VLOOKUP($A30,'Data Vlaue (Cr)'!$C:$FB,46)*100</f>
        <v>-17.119999999999997</v>
      </c>
      <c r="J30" s="51">
        <f>VLOOKUP($A30,'Data Vlaue (Cr)'!$C:$FB,59)</f>
        <v>2610</v>
      </c>
      <c r="K30" s="51">
        <f>VLOOKUP($A30,'Data Vlaue (Cr)'!$C:$FB,60)</f>
        <v>1860</v>
      </c>
      <c r="L30" s="51">
        <f>VLOOKUP($A30,'Data Vlaue (Cr)'!$C:$FB,62)*100</f>
        <v>40.339999999999996</v>
      </c>
      <c r="M30" s="51">
        <f>VLOOKUP($A30,'Data Vlaue (Cr)'!$C:$FB,63)</f>
        <v>1252</v>
      </c>
      <c r="N30" s="51">
        <f>VLOOKUP($A30,'Data Vlaue (Cr)'!$C:$FB,64)</f>
        <v>929</v>
      </c>
      <c r="O30" s="51">
        <f>VLOOKUP($A30,'Data Vlaue (Cr)'!$C:$FB,66)*100</f>
        <v>34.74</v>
      </c>
    </row>
    <row r="31" spans="1:15" x14ac:dyDescent="0.25">
      <c r="A31" s="101" t="str">
        <f>'Data Vlaue (Cr)'!C26</f>
        <v>BANKINDIA</v>
      </c>
      <c r="B31" s="50">
        <f>VLOOKUP($A31,'Data Vlaue (Cr)'!$C:$FB,8)</f>
        <v>139.71</v>
      </c>
      <c r="C31" s="50">
        <f>VLOOKUP($A31,'Data Vlaue (Cr)'!$C:$FB,11)*100</f>
        <v>4.34</v>
      </c>
      <c r="D31" s="50">
        <f>VLOOKUP($A31,'Data Vlaue (Cr)'!$C:$FB,143)</f>
        <v>2498.8200000000002</v>
      </c>
      <c r="E31" s="50">
        <f>VLOOKUP($A31,'Data Vlaue (Cr)'!$C:$FB,144)</f>
        <v>1416.17</v>
      </c>
      <c r="F31" s="50">
        <f>VLOOKUP($A31,'Data Vlaue (Cr)'!$C:$FB,146)*100</f>
        <v>76.449999999999989</v>
      </c>
      <c r="G31" s="49">
        <f>VLOOKUP($A31,'Data Vlaue (Cr)'!$C:$FB,43)</f>
        <v>839</v>
      </c>
      <c r="H31" s="49">
        <f>VLOOKUP($A31,'Data Vlaue (Cr)'!$C:$FB,44)</f>
        <v>701</v>
      </c>
      <c r="I31" s="49">
        <f>VLOOKUP($A31,'Data Vlaue (Cr)'!$C:$FB,46)*100</f>
        <v>19.72</v>
      </c>
      <c r="J31" s="51">
        <f>VLOOKUP($A31,'Data Vlaue (Cr)'!$C:$FB,59)</f>
        <v>1259</v>
      </c>
      <c r="K31" s="51">
        <f>VLOOKUP($A31,'Data Vlaue (Cr)'!$C:$FB,60)</f>
        <v>440</v>
      </c>
      <c r="L31" s="51">
        <f>VLOOKUP($A31,'Data Vlaue (Cr)'!$C:$FB,62)*100</f>
        <v>185.76999999999998</v>
      </c>
      <c r="M31" s="51">
        <f>VLOOKUP($A31,'Data Vlaue (Cr)'!$C:$FB,63)</f>
        <v>405</v>
      </c>
      <c r="N31" s="51">
        <f>VLOOKUP($A31,'Data Vlaue (Cr)'!$C:$FB,64)</f>
        <v>325</v>
      </c>
      <c r="O31" s="51">
        <f>VLOOKUP($A31,'Data Vlaue (Cr)'!$C:$FB,66)*100</f>
        <v>24.59</v>
      </c>
    </row>
    <row r="32" spans="1:15" x14ac:dyDescent="0.25">
      <c r="A32" s="101" t="str">
        <f>'Data Vlaue (Cr)'!C27</f>
        <v>BANKNIFTY</v>
      </c>
      <c r="B32" s="50">
        <f>VLOOKUP($A32,'Data Vlaue (Cr)'!$C:$FB,8)</f>
        <v>58114.25</v>
      </c>
      <c r="C32" s="50">
        <f>VLOOKUP($A32,'Data Vlaue (Cr)'!$C:$FB,11)*100</f>
        <v>0.72</v>
      </c>
      <c r="D32" s="50">
        <f>VLOOKUP($A32,'Data Vlaue (Cr)'!$C:$FB,143)</f>
        <v>3716700.37</v>
      </c>
      <c r="E32" s="50">
        <f>VLOOKUP($A32,'Data Vlaue (Cr)'!$C:$FB,144)</f>
        <v>2764525.04</v>
      </c>
      <c r="F32" s="50">
        <f>VLOOKUP($A32,'Data Vlaue (Cr)'!$C:$FB,146)*100</f>
        <v>34.44</v>
      </c>
      <c r="G32" s="49">
        <f>VLOOKUP($A32,'Data Vlaue (Cr)'!$C:$FB,43)</f>
        <v>13199</v>
      </c>
      <c r="H32" s="49">
        <f>VLOOKUP($A32,'Data Vlaue (Cr)'!$C:$FB,44)</f>
        <v>12095</v>
      </c>
      <c r="I32" s="49">
        <f>VLOOKUP($A32,'Data Vlaue (Cr)'!$C:$FB,46)*100</f>
        <v>9.1300000000000008</v>
      </c>
      <c r="J32" s="51">
        <f>VLOOKUP($A32,'Data Vlaue (Cr)'!$C:$FB,59)</f>
        <v>1937128</v>
      </c>
      <c r="K32" s="51">
        <f>VLOOKUP($A32,'Data Vlaue (Cr)'!$C:$FB,60)</f>
        <v>1358732</v>
      </c>
      <c r="L32" s="51">
        <f>VLOOKUP($A32,'Data Vlaue (Cr)'!$C:$FB,62)*100</f>
        <v>42.57</v>
      </c>
      <c r="M32" s="51">
        <f>VLOOKUP($A32,'Data Vlaue (Cr)'!$C:$FB,63)</f>
        <v>1769548</v>
      </c>
      <c r="N32" s="51">
        <f>VLOOKUP($A32,'Data Vlaue (Cr)'!$C:$FB,64)</f>
        <v>1403331</v>
      </c>
      <c r="O32" s="51">
        <f>VLOOKUP($A32,'Data Vlaue (Cr)'!$C:$FB,66)*100</f>
        <v>26.1</v>
      </c>
    </row>
    <row r="33" spans="1:15" x14ac:dyDescent="0.25">
      <c r="A33" s="101" t="str">
        <f>'Data Vlaue (Cr)'!C28</f>
        <v>BDL</v>
      </c>
      <c r="B33" s="50">
        <f>VLOOKUP($A33,'Data Vlaue (Cr)'!$C:$FB,8)</f>
        <v>1537.8</v>
      </c>
      <c r="C33" s="50">
        <f>VLOOKUP($A33,'Data Vlaue (Cr)'!$C:$FB,11)*100</f>
        <v>-0.4</v>
      </c>
      <c r="D33" s="50">
        <f>VLOOKUP($A33,'Data Vlaue (Cr)'!$C:$FB,143)</f>
        <v>1780.69</v>
      </c>
      <c r="E33" s="50">
        <f>VLOOKUP($A33,'Data Vlaue (Cr)'!$C:$FB,144)</f>
        <v>3973.71</v>
      </c>
      <c r="F33" s="50">
        <f>VLOOKUP($A33,'Data Vlaue (Cr)'!$C:$FB,146)*100</f>
        <v>-55.19</v>
      </c>
      <c r="G33" s="49">
        <f>VLOOKUP($A33,'Data Vlaue (Cr)'!$C:$FB,43)</f>
        <v>530</v>
      </c>
      <c r="H33" s="49">
        <f>VLOOKUP($A33,'Data Vlaue (Cr)'!$C:$FB,44)</f>
        <v>832</v>
      </c>
      <c r="I33" s="49">
        <f>VLOOKUP($A33,'Data Vlaue (Cr)'!$C:$FB,46)*100</f>
        <v>-36.380000000000003</v>
      </c>
      <c r="J33" s="51">
        <f>VLOOKUP($A33,'Data Vlaue (Cr)'!$C:$FB,59)</f>
        <v>811</v>
      </c>
      <c r="K33" s="51">
        <f>VLOOKUP($A33,'Data Vlaue (Cr)'!$C:$FB,60)</f>
        <v>2466</v>
      </c>
      <c r="L33" s="51">
        <f>VLOOKUP($A33,'Data Vlaue (Cr)'!$C:$FB,62)*100</f>
        <v>-67.13</v>
      </c>
      <c r="M33" s="51">
        <f>VLOOKUP($A33,'Data Vlaue (Cr)'!$C:$FB,63)</f>
        <v>405</v>
      </c>
      <c r="N33" s="51">
        <f>VLOOKUP($A33,'Data Vlaue (Cr)'!$C:$FB,64)</f>
        <v>556</v>
      </c>
      <c r="O33" s="51">
        <f>VLOOKUP($A33,'Data Vlaue (Cr)'!$C:$FB,66)*100</f>
        <v>-27.12</v>
      </c>
    </row>
    <row r="34" spans="1:15" x14ac:dyDescent="0.25">
      <c r="A34" s="101" t="str">
        <f>'Data Vlaue (Cr)'!C29</f>
        <v>BEL</v>
      </c>
      <c r="B34" s="50">
        <f>VLOOKUP($A34,'Data Vlaue (Cr)'!$C:$FB,8)</f>
        <v>415.15</v>
      </c>
      <c r="C34" s="50">
        <f>VLOOKUP($A34,'Data Vlaue (Cr)'!$C:$FB,11)*100</f>
        <v>-1.63</v>
      </c>
      <c r="D34" s="50">
        <f>VLOOKUP($A34,'Data Vlaue (Cr)'!$C:$FB,143)</f>
        <v>10651.47</v>
      </c>
      <c r="E34" s="50">
        <f>VLOOKUP($A34,'Data Vlaue (Cr)'!$C:$FB,144)</f>
        <v>11305.22</v>
      </c>
      <c r="F34" s="50">
        <f>VLOOKUP($A34,'Data Vlaue (Cr)'!$C:$FB,146)*100</f>
        <v>-5.7799999999999994</v>
      </c>
      <c r="G34" s="49">
        <f>VLOOKUP($A34,'Data Vlaue (Cr)'!$C:$FB,43)</f>
        <v>3248</v>
      </c>
      <c r="H34" s="49">
        <f>VLOOKUP($A34,'Data Vlaue (Cr)'!$C:$FB,44)</f>
        <v>3293</v>
      </c>
      <c r="I34" s="49">
        <f>VLOOKUP($A34,'Data Vlaue (Cr)'!$C:$FB,46)*100</f>
        <v>-1.37</v>
      </c>
      <c r="J34" s="51">
        <f>VLOOKUP($A34,'Data Vlaue (Cr)'!$C:$FB,59)</f>
        <v>4839</v>
      </c>
      <c r="K34" s="51">
        <f>VLOOKUP($A34,'Data Vlaue (Cr)'!$C:$FB,60)</f>
        <v>5432</v>
      </c>
      <c r="L34" s="51">
        <f>VLOOKUP($A34,'Data Vlaue (Cr)'!$C:$FB,62)*100</f>
        <v>-10.91</v>
      </c>
      <c r="M34" s="51">
        <f>VLOOKUP($A34,'Data Vlaue (Cr)'!$C:$FB,63)</f>
        <v>2361</v>
      </c>
      <c r="N34" s="51">
        <f>VLOOKUP($A34,'Data Vlaue (Cr)'!$C:$FB,64)</f>
        <v>2270</v>
      </c>
      <c r="O34" s="51">
        <f>VLOOKUP($A34,'Data Vlaue (Cr)'!$C:$FB,66)*100</f>
        <v>4.01</v>
      </c>
    </row>
    <row r="35" spans="1:15" x14ac:dyDescent="0.25">
      <c r="A35" s="101" t="str">
        <f>'Data Vlaue (Cr)'!C30</f>
        <v>BHARATFORG</v>
      </c>
      <c r="B35" s="50">
        <f>VLOOKUP($A35,'Data Vlaue (Cr)'!$C:$FB,8)</f>
        <v>1301.4000000000001</v>
      </c>
      <c r="C35" s="50">
        <f>VLOOKUP($A35,'Data Vlaue (Cr)'!$C:$FB,11)*100</f>
        <v>1.3599999999999999</v>
      </c>
      <c r="D35" s="50">
        <f>VLOOKUP($A35,'Data Vlaue (Cr)'!$C:$FB,143)</f>
        <v>2074.94</v>
      </c>
      <c r="E35" s="50">
        <f>VLOOKUP($A35,'Data Vlaue (Cr)'!$C:$FB,144)</f>
        <v>3203</v>
      </c>
      <c r="F35" s="50">
        <f>VLOOKUP($A35,'Data Vlaue (Cr)'!$C:$FB,146)*100</f>
        <v>-35.22</v>
      </c>
      <c r="G35" s="49">
        <f>VLOOKUP($A35,'Data Vlaue (Cr)'!$C:$FB,43)</f>
        <v>1000</v>
      </c>
      <c r="H35" s="49">
        <f>VLOOKUP($A35,'Data Vlaue (Cr)'!$C:$FB,44)</f>
        <v>1172</v>
      </c>
      <c r="I35" s="49">
        <f>VLOOKUP($A35,'Data Vlaue (Cr)'!$C:$FB,46)*100</f>
        <v>-14.64</v>
      </c>
      <c r="J35" s="51">
        <f>VLOOKUP($A35,'Data Vlaue (Cr)'!$C:$FB,59)</f>
        <v>704</v>
      </c>
      <c r="K35" s="51">
        <f>VLOOKUP($A35,'Data Vlaue (Cr)'!$C:$FB,60)</f>
        <v>1243</v>
      </c>
      <c r="L35" s="51">
        <f>VLOOKUP($A35,'Data Vlaue (Cr)'!$C:$FB,62)*100</f>
        <v>-43.37</v>
      </c>
      <c r="M35" s="51">
        <f>VLOOKUP($A35,'Data Vlaue (Cr)'!$C:$FB,63)</f>
        <v>365</v>
      </c>
      <c r="N35" s="51">
        <f>VLOOKUP($A35,'Data Vlaue (Cr)'!$C:$FB,64)</f>
        <v>785</v>
      </c>
      <c r="O35" s="51">
        <f>VLOOKUP($A35,'Data Vlaue (Cr)'!$C:$FB,66)*100</f>
        <v>-53.54</v>
      </c>
    </row>
    <row r="36" spans="1:15" x14ac:dyDescent="0.25">
      <c r="A36" s="101" t="str">
        <f>'Data Vlaue (Cr)'!C31</f>
        <v>BHARTIARTL</v>
      </c>
      <c r="B36" s="50">
        <f>VLOOKUP($A36,'Data Vlaue (Cr)'!$C:$FB,8)</f>
        <v>2080.1</v>
      </c>
      <c r="C36" s="50">
        <f>VLOOKUP($A36,'Data Vlaue (Cr)'!$C:$FB,11)*100</f>
        <v>2.5</v>
      </c>
      <c r="D36" s="50">
        <f>VLOOKUP($A36,'Data Vlaue (Cr)'!$C:$FB,143)</f>
        <v>35615.440000000002</v>
      </c>
      <c r="E36" s="50">
        <f>VLOOKUP($A36,'Data Vlaue (Cr)'!$C:$FB,144)</f>
        <v>16223.43</v>
      </c>
      <c r="F36" s="50">
        <f>VLOOKUP($A36,'Data Vlaue (Cr)'!$C:$FB,146)*100</f>
        <v>119.53</v>
      </c>
      <c r="G36" s="49">
        <f>VLOOKUP($A36,'Data Vlaue (Cr)'!$C:$FB,43)</f>
        <v>6356</v>
      </c>
      <c r="H36" s="49">
        <f>VLOOKUP($A36,'Data Vlaue (Cr)'!$C:$FB,44)</f>
        <v>5655</v>
      </c>
      <c r="I36" s="49">
        <f>VLOOKUP($A36,'Data Vlaue (Cr)'!$C:$FB,46)*100</f>
        <v>12.379999999999999</v>
      </c>
      <c r="J36" s="51">
        <f>VLOOKUP($A36,'Data Vlaue (Cr)'!$C:$FB,59)</f>
        <v>21167</v>
      </c>
      <c r="K36" s="51">
        <f>VLOOKUP($A36,'Data Vlaue (Cr)'!$C:$FB,60)</f>
        <v>7245</v>
      </c>
      <c r="L36" s="51">
        <f>VLOOKUP($A36,'Data Vlaue (Cr)'!$C:$FB,62)*100</f>
        <v>192.15</v>
      </c>
      <c r="M36" s="51">
        <f>VLOOKUP($A36,'Data Vlaue (Cr)'!$C:$FB,63)</f>
        <v>7792</v>
      </c>
      <c r="N36" s="51">
        <f>VLOOKUP($A36,'Data Vlaue (Cr)'!$C:$FB,64)</f>
        <v>3615</v>
      </c>
      <c r="O36" s="51">
        <f>VLOOKUP($A36,'Data Vlaue (Cr)'!$C:$FB,66)*100</f>
        <v>115.55</v>
      </c>
    </row>
    <row r="37" spans="1:15" x14ac:dyDescent="0.25">
      <c r="A37" s="101" t="str">
        <f>'Data Vlaue (Cr)'!C32</f>
        <v>BHEL</v>
      </c>
      <c r="B37" s="50">
        <f>VLOOKUP($A37,'Data Vlaue (Cr)'!$C:$FB,8)</f>
        <v>235</v>
      </c>
      <c r="C37" s="50">
        <f>VLOOKUP($A37,'Data Vlaue (Cr)'!$C:$FB,11)*100</f>
        <v>1.76</v>
      </c>
      <c r="D37" s="50">
        <f>VLOOKUP($A37,'Data Vlaue (Cr)'!$C:$FB,143)</f>
        <v>3069.68</v>
      </c>
      <c r="E37" s="50">
        <f>VLOOKUP($A37,'Data Vlaue (Cr)'!$C:$FB,144)</f>
        <v>2455.11</v>
      </c>
      <c r="F37" s="50">
        <f>VLOOKUP($A37,'Data Vlaue (Cr)'!$C:$FB,146)*100</f>
        <v>25.03</v>
      </c>
      <c r="G37" s="49">
        <f>VLOOKUP($A37,'Data Vlaue (Cr)'!$C:$FB,43)</f>
        <v>1066</v>
      </c>
      <c r="H37" s="49">
        <f>VLOOKUP($A37,'Data Vlaue (Cr)'!$C:$FB,44)</f>
        <v>980</v>
      </c>
      <c r="I37" s="49">
        <f>VLOOKUP($A37,'Data Vlaue (Cr)'!$C:$FB,46)*100</f>
        <v>8.75</v>
      </c>
      <c r="J37" s="51">
        <f>VLOOKUP($A37,'Data Vlaue (Cr)'!$C:$FB,59)</f>
        <v>1307</v>
      </c>
      <c r="K37" s="51">
        <f>VLOOKUP($A37,'Data Vlaue (Cr)'!$C:$FB,60)</f>
        <v>958</v>
      </c>
      <c r="L37" s="51">
        <f>VLOOKUP($A37,'Data Vlaue (Cr)'!$C:$FB,62)*100</f>
        <v>36.480000000000004</v>
      </c>
      <c r="M37" s="51">
        <f>VLOOKUP($A37,'Data Vlaue (Cr)'!$C:$FB,63)</f>
        <v>639</v>
      </c>
      <c r="N37" s="51">
        <f>VLOOKUP($A37,'Data Vlaue (Cr)'!$C:$FB,64)</f>
        <v>489</v>
      </c>
      <c r="O37" s="51">
        <f>VLOOKUP($A37,'Data Vlaue (Cr)'!$C:$FB,66)*100</f>
        <v>30.64</v>
      </c>
    </row>
    <row r="38" spans="1:15" x14ac:dyDescent="0.25">
      <c r="A38" s="101" t="str">
        <f>'Data Vlaue (Cr)'!C33</f>
        <v>BIOCON</v>
      </c>
      <c r="B38" s="50">
        <f>VLOOKUP($A38,'Data Vlaue (Cr)'!$C:$FB,8)</f>
        <v>360.45</v>
      </c>
      <c r="C38" s="50">
        <f>VLOOKUP($A38,'Data Vlaue (Cr)'!$C:$FB,11)*100</f>
        <v>0.26</v>
      </c>
      <c r="D38" s="50">
        <f>VLOOKUP($A38,'Data Vlaue (Cr)'!$C:$FB,143)</f>
        <v>1762.21</v>
      </c>
      <c r="E38" s="50">
        <f>VLOOKUP($A38,'Data Vlaue (Cr)'!$C:$FB,144)</f>
        <v>1668.45</v>
      </c>
      <c r="F38" s="50">
        <f>VLOOKUP($A38,'Data Vlaue (Cr)'!$C:$FB,146)*100</f>
        <v>5.62</v>
      </c>
      <c r="G38" s="49">
        <f>VLOOKUP($A38,'Data Vlaue (Cr)'!$C:$FB,43)</f>
        <v>1173</v>
      </c>
      <c r="H38" s="49">
        <f>VLOOKUP($A38,'Data Vlaue (Cr)'!$C:$FB,44)</f>
        <v>826</v>
      </c>
      <c r="I38" s="49">
        <f>VLOOKUP($A38,'Data Vlaue (Cr)'!$C:$FB,46)*100</f>
        <v>42.07</v>
      </c>
      <c r="J38" s="51">
        <f>VLOOKUP($A38,'Data Vlaue (Cr)'!$C:$FB,59)</f>
        <v>335</v>
      </c>
      <c r="K38" s="51">
        <f>VLOOKUP($A38,'Data Vlaue (Cr)'!$C:$FB,60)</f>
        <v>498</v>
      </c>
      <c r="L38" s="51">
        <f>VLOOKUP($A38,'Data Vlaue (Cr)'!$C:$FB,62)*100</f>
        <v>-32.72</v>
      </c>
      <c r="M38" s="51">
        <f>VLOOKUP($A38,'Data Vlaue (Cr)'!$C:$FB,63)</f>
        <v>239</v>
      </c>
      <c r="N38" s="51">
        <f>VLOOKUP($A38,'Data Vlaue (Cr)'!$C:$FB,64)</f>
        <v>325</v>
      </c>
      <c r="O38" s="51">
        <f>VLOOKUP($A38,'Data Vlaue (Cr)'!$C:$FB,66)*100</f>
        <v>-26.279999999999998</v>
      </c>
    </row>
    <row r="39" spans="1:15" x14ac:dyDescent="0.25">
      <c r="A39" s="101" t="str">
        <f>'Data Vlaue (Cr)'!C34</f>
        <v>BLUESTARCO</v>
      </c>
      <c r="B39" s="50">
        <f>VLOOKUP($A39,'Data Vlaue (Cr)'!$C:$FB,8)</f>
        <v>1979.6</v>
      </c>
      <c r="C39" s="50">
        <f>VLOOKUP($A39,'Data Vlaue (Cr)'!$C:$FB,11)*100</f>
        <v>-1.32</v>
      </c>
      <c r="D39" s="50">
        <f>VLOOKUP($A39,'Data Vlaue (Cr)'!$C:$FB,143)</f>
        <v>923.41</v>
      </c>
      <c r="E39" s="50">
        <f>VLOOKUP($A39,'Data Vlaue (Cr)'!$C:$FB,144)</f>
        <v>1834.61</v>
      </c>
      <c r="F39" s="50">
        <f>VLOOKUP($A39,'Data Vlaue (Cr)'!$C:$FB,146)*100</f>
        <v>-49.669999999999995</v>
      </c>
      <c r="G39" s="49">
        <f>VLOOKUP($A39,'Data Vlaue (Cr)'!$C:$FB,43)</f>
        <v>339</v>
      </c>
      <c r="H39" s="49">
        <f>VLOOKUP($A39,'Data Vlaue (Cr)'!$C:$FB,44)</f>
        <v>441</v>
      </c>
      <c r="I39" s="49">
        <f>VLOOKUP($A39,'Data Vlaue (Cr)'!$C:$FB,46)*100</f>
        <v>-23.03</v>
      </c>
      <c r="J39" s="51">
        <f>VLOOKUP($A39,'Data Vlaue (Cr)'!$C:$FB,59)</f>
        <v>417</v>
      </c>
      <c r="K39" s="51">
        <f>VLOOKUP($A39,'Data Vlaue (Cr)'!$C:$FB,60)</f>
        <v>1053</v>
      </c>
      <c r="L39" s="51">
        <f>VLOOKUP($A39,'Data Vlaue (Cr)'!$C:$FB,62)*100</f>
        <v>-60.4</v>
      </c>
      <c r="M39" s="51">
        <f>VLOOKUP($A39,'Data Vlaue (Cr)'!$C:$FB,63)</f>
        <v>150</v>
      </c>
      <c r="N39" s="51">
        <f>VLOOKUP($A39,'Data Vlaue (Cr)'!$C:$FB,64)</f>
        <v>294</v>
      </c>
      <c r="O39" s="51">
        <f>VLOOKUP($A39,'Data Vlaue (Cr)'!$C:$FB,66)*100</f>
        <v>-48.949999999999996</v>
      </c>
    </row>
    <row r="40" spans="1:15" x14ac:dyDescent="0.25">
      <c r="A40" s="101" t="str">
        <f>'Data Vlaue (Cr)'!C35</f>
        <v>BOSCHLTD</v>
      </c>
      <c r="B40" s="50">
        <f>VLOOKUP($A40,'Data Vlaue (Cr)'!$C:$FB,8)</f>
        <v>39005</v>
      </c>
      <c r="C40" s="50">
        <f>VLOOKUP($A40,'Data Vlaue (Cr)'!$C:$FB,11)*100</f>
        <v>1.0900000000000001</v>
      </c>
      <c r="D40" s="50">
        <f>VLOOKUP($A40,'Data Vlaue (Cr)'!$C:$FB,143)</f>
        <v>1189.8</v>
      </c>
      <c r="E40" s="50">
        <f>VLOOKUP($A40,'Data Vlaue (Cr)'!$C:$FB,144)</f>
        <v>1580.39</v>
      </c>
      <c r="F40" s="50">
        <f>VLOOKUP($A40,'Data Vlaue (Cr)'!$C:$FB,146)*100</f>
        <v>-24.709999999999997</v>
      </c>
      <c r="G40" s="49">
        <f>VLOOKUP($A40,'Data Vlaue (Cr)'!$C:$FB,43)</f>
        <v>537</v>
      </c>
      <c r="H40" s="49">
        <f>VLOOKUP($A40,'Data Vlaue (Cr)'!$C:$FB,44)</f>
        <v>751</v>
      </c>
      <c r="I40" s="49">
        <f>VLOOKUP($A40,'Data Vlaue (Cr)'!$C:$FB,46)*100</f>
        <v>-28.499999999999996</v>
      </c>
      <c r="J40" s="51">
        <f>VLOOKUP($A40,'Data Vlaue (Cr)'!$C:$FB,59)</f>
        <v>510</v>
      </c>
      <c r="K40" s="51">
        <f>VLOOKUP($A40,'Data Vlaue (Cr)'!$C:$FB,60)</f>
        <v>582</v>
      </c>
      <c r="L40" s="51">
        <f>VLOOKUP($A40,'Data Vlaue (Cr)'!$C:$FB,62)*100</f>
        <v>-12.36</v>
      </c>
      <c r="M40" s="51">
        <f>VLOOKUP($A40,'Data Vlaue (Cr)'!$C:$FB,63)</f>
        <v>131</v>
      </c>
      <c r="N40" s="51">
        <f>VLOOKUP($A40,'Data Vlaue (Cr)'!$C:$FB,64)</f>
        <v>230</v>
      </c>
      <c r="O40" s="51">
        <f>VLOOKUP($A40,'Data Vlaue (Cr)'!$C:$FB,66)*100</f>
        <v>-42.86</v>
      </c>
    </row>
    <row r="41" spans="1:15" x14ac:dyDescent="0.25">
      <c r="A41" s="101" t="str">
        <f>'Data Vlaue (Cr)'!C36</f>
        <v>BPCL</v>
      </c>
      <c r="B41" s="50">
        <f>VLOOKUP($A41,'Data Vlaue (Cr)'!$C:$FB,8)</f>
        <v>343</v>
      </c>
      <c r="C41" s="50">
        <f>VLOOKUP($A41,'Data Vlaue (Cr)'!$C:$FB,11)*100</f>
        <v>3.8</v>
      </c>
      <c r="D41" s="50">
        <f>VLOOKUP($A41,'Data Vlaue (Cr)'!$C:$FB,143)</f>
        <v>3747.97</v>
      </c>
      <c r="E41" s="50">
        <f>VLOOKUP($A41,'Data Vlaue (Cr)'!$C:$FB,144)</f>
        <v>2596.62</v>
      </c>
      <c r="F41" s="50">
        <f>VLOOKUP($A41,'Data Vlaue (Cr)'!$C:$FB,146)*100</f>
        <v>44.34</v>
      </c>
      <c r="G41" s="49">
        <f>VLOOKUP($A41,'Data Vlaue (Cr)'!$C:$FB,43)</f>
        <v>867</v>
      </c>
      <c r="H41" s="49">
        <f>VLOOKUP($A41,'Data Vlaue (Cr)'!$C:$FB,44)</f>
        <v>791</v>
      </c>
      <c r="I41" s="49">
        <f>VLOOKUP($A41,'Data Vlaue (Cr)'!$C:$FB,46)*100</f>
        <v>9.5200000000000014</v>
      </c>
      <c r="J41" s="51">
        <f>VLOOKUP($A41,'Data Vlaue (Cr)'!$C:$FB,59)</f>
        <v>1977</v>
      </c>
      <c r="K41" s="51">
        <f>VLOOKUP($A41,'Data Vlaue (Cr)'!$C:$FB,60)</f>
        <v>1182</v>
      </c>
      <c r="L41" s="51">
        <f>VLOOKUP($A41,'Data Vlaue (Cr)'!$C:$FB,62)*100</f>
        <v>67.23</v>
      </c>
      <c r="M41" s="51">
        <f>VLOOKUP($A41,'Data Vlaue (Cr)'!$C:$FB,63)</f>
        <v>894</v>
      </c>
      <c r="N41" s="51">
        <f>VLOOKUP($A41,'Data Vlaue (Cr)'!$C:$FB,64)</f>
        <v>668</v>
      </c>
      <c r="O41" s="51">
        <f>VLOOKUP($A41,'Data Vlaue (Cr)'!$C:$FB,66)*100</f>
        <v>33.86</v>
      </c>
    </row>
    <row r="42" spans="1:15" x14ac:dyDescent="0.25">
      <c r="A42" s="101" t="str">
        <f>'Data Vlaue (Cr)'!C37</f>
        <v>BRITANNIA</v>
      </c>
      <c r="B42" s="50">
        <f>VLOOKUP($A42,'Data Vlaue (Cr)'!$C:$FB,8)</f>
        <v>5912</v>
      </c>
      <c r="C42" s="50">
        <f>VLOOKUP($A42,'Data Vlaue (Cr)'!$C:$FB,11)*100</f>
        <v>-2.33</v>
      </c>
      <c r="D42" s="50">
        <f>VLOOKUP($A42,'Data Vlaue (Cr)'!$C:$FB,143)</f>
        <v>4608.9399999999996</v>
      </c>
      <c r="E42" s="50">
        <f>VLOOKUP($A42,'Data Vlaue (Cr)'!$C:$FB,144)</f>
        <v>2640.67</v>
      </c>
      <c r="F42" s="50">
        <f>VLOOKUP($A42,'Data Vlaue (Cr)'!$C:$FB,146)*100</f>
        <v>74.539999999999992</v>
      </c>
      <c r="G42" s="49">
        <f>VLOOKUP($A42,'Data Vlaue (Cr)'!$C:$FB,43)</f>
        <v>1574</v>
      </c>
      <c r="H42" s="49">
        <f>VLOOKUP($A42,'Data Vlaue (Cr)'!$C:$FB,44)</f>
        <v>1657</v>
      </c>
      <c r="I42" s="49">
        <f>VLOOKUP($A42,'Data Vlaue (Cr)'!$C:$FB,46)*100</f>
        <v>-4.96</v>
      </c>
      <c r="J42" s="51">
        <f>VLOOKUP($A42,'Data Vlaue (Cr)'!$C:$FB,59)</f>
        <v>1489</v>
      </c>
      <c r="K42" s="51">
        <f>VLOOKUP($A42,'Data Vlaue (Cr)'!$C:$FB,60)</f>
        <v>485</v>
      </c>
      <c r="L42" s="51">
        <f>VLOOKUP($A42,'Data Vlaue (Cr)'!$C:$FB,62)*100</f>
        <v>207.20999999999998</v>
      </c>
      <c r="M42" s="51">
        <f>VLOOKUP($A42,'Data Vlaue (Cr)'!$C:$FB,63)</f>
        <v>1504</v>
      </c>
      <c r="N42" s="51">
        <f>VLOOKUP($A42,'Data Vlaue (Cr)'!$C:$FB,64)</f>
        <v>435</v>
      </c>
      <c r="O42" s="51">
        <f>VLOOKUP($A42,'Data Vlaue (Cr)'!$C:$FB,66)*100</f>
        <v>245.7</v>
      </c>
    </row>
    <row r="43" spans="1:15" x14ac:dyDescent="0.25">
      <c r="A43" s="101" t="str">
        <f>'Data Vlaue (Cr)'!C38</f>
        <v>BSE</v>
      </c>
      <c r="B43" s="50">
        <f>VLOOKUP($A43,'Data Vlaue (Cr)'!$C:$FB,8)</f>
        <v>2510.1999999999998</v>
      </c>
      <c r="C43" s="50">
        <f>VLOOKUP($A43,'Data Vlaue (Cr)'!$C:$FB,11)*100</f>
        <v>1.4200000000000002</v>
      </c>
      <c r="D43" s="50">
        <f>VLOOKUP($A43,'Data Vlaue (Cr)'!$C:$FB,143)</f>
        <v>9912.49</v>
      </c>
      <c r="E43" s="50">
        <f>VLOOKUP($A43,'Data Vlaue (Cr)'!$C:$FB,144)</f>
        <v>8050.43</v>
      </c>
      <c r="F43" s="50">
        <f>VLOOKUP($A43,'Data Vlaue (Cr)'!$C:$FB,146)*100</f>
        <v>23.13</v>
      </c>
      <c r="G43" s="49">
        <f>VLOOKUP($A43,'Data Vlaue (Cr)'!$C:$FB,43)</f>
        <v>2347</v>
      </c>
      <c r="H43" s="49">
        <f>VLOOKUP($A43,'Data Vlaue (Cr)'!$C:$FB,44)</f>
        <v>1969</v>
      </c>
      <c r="I43" s="49">
        <f>VLOOKUP($A43,'Data Vlaue (Cr)'!$C:$FB,46)*100</f>
        <v>19.220000000000002</v>
      </c>
      <c r="J43" s="51">
        <f>VLOOKUP($A43,'Data Vlaue (Cr)'!$C:$FB,59)</f>
        <v>4720</v>
      </c>
      <c r="K43" s="51">
        <f>VLOOKUP($A43,'Data Vlaue (Cr)'!$C:$FB,60)</f>
        <v>3457</v>
      </c>
      <c r="L43" s="51">
        <f>VLOOKUP($A43,'Data Vlaue (Cr)'!$C:$FB,62)*100</f>
        <v>36.51</v>
      </c>
      <c r="M43" s="51">
        <f>VLOOKUP($A43,'Data Vlaue (Cr)'!$C:$FB,63)</f>
        <v>2779</v>
      </c>
      <c r="N43" s="51">
        <f>VLOOKUP($A43,'Data Vlaue (Cr)'!$C:$FB,64)</f>
        <v>2622</v>
      </c>
      <c r="O43" s="51">
        <f>VLOOKUP($A43,'Data Vlaue (Cr)'!$C:$FB,66)*100</f>
        <v>5.9499999999999993</v>
      </c>
    </row>
    <row r="44" spans="1:15" x14ac:dyDescent="0.25">
      <c r="A44" s="101" t="str">
        <f>'Data Vlaue (Cr)'!C39</f>
        <v>CAMS</v>
      </c>
      <c r="B44" s="50">
        <f>VLOOKUP($A44,'Data Vlaue (Cr)'!$C:$FB,8)</f>
        <v>3965.4</v>
      </c>
      <c r="C44" s="50">
        <f>VLOOKUP($A44,'Data Vlaue (Cr)'!$C:$FB,11)*100</f>
        <v>2.1999999999999997</v>
      </c>
      <c r="D44" s="50">
        <f>VLOOKUP($A44,'Data Vlaue (Cr)'!$C:$FB,143)</f>
        <v>2872.41</v>
      </c>
      <c r="E44" s="50">
        <f>VLOOKUP($A44,'Data Vlaue (Cr)'!$C:$FB,144)</f>
        <v>1427.22</v>
      </c>
      <c r="F44" s="50">
        <f>VLOOKUP($A44,'Data Vlaue (Cr)'!$C:$FB,146)*100</f>
        <v>101.25999999999999</v>
      </c>
      <c r="G44" s="49">
        <f>VLOOKUP($A44,'Data Vlaue (Cr)'!$C:$FB,43)</f>
        <v>840</v>
      </c>
      <c r="H44" s="49">
        <f>VLOOKUP($A44,'Data Vlaue (Cr)'!$C:$FB,44)</f>
        <v>706</v>
      </c>
      <c r="I44" s="49">
        <f>VLOOKUP($A44,'Data Vlaue (Cr)'!$C:$FB,46)*100</f>
        <v>18.990000000000002</v>
      </c>
      <c r="J44" s="51">
        <f>VLOOKUP($A44,'Data Vlaue (Cr)'!$C:$FB,59)</f>
        <v>1510</v>
      </c>
      <c r="K44" s="51">
        <f>VLOOKUP($A44,'Data Vlaue (Cr)'!$C:$FB,60)</f>
        <v>494</v>
      </c>
      <c r="L44" s="51">
        <f>VLOOKUP($A44,'Data Vlaue (Cr)'!$C:$FB,62)*100</f>
        <v>206</v>
      </c>
      <c r="M44" s="51">
        <f>VLOOKUP($A44,'Data Vlaue (Cr)'!$C:$FB,63)</f>
        <v>489</v>
      </c>
      <c r="N44" s="51">
        <f>VLOOKUP($A44,'Data Vlaue (Cr)'!$C:$FB,64)</f>
        <v>242</v>
      </c>
      <c r="O44" s="51">
        <f>VLOOKUP($A44,'Data Vlaue (Cr)'!$C:$FB,66)*100</f>
        <v>102.42</v>
      </c>
    </row>
    <row r="45" spans="1:15" x14ac:dyDescent="0.25">
      <c r="A45" s="101" t="str">
        <f>'Data Vlaue (Cr)'!C40</f>
        <v>CANBK</v>
      </c>
      <c r="B45" s="50">
        <f>VLOOKUP($A45,'Data Vlaue (Cr)'!$C:$FB,8)</f>
        <v>129.13</v>
      </c>
      <c r="C45" s="50">
        <f>VLOOKUP($A45,'Data Vlaue (Cr)'!$C:$FB,11)*100</f>
        <v>2.73</v>
      </c>
      <c r="D45" s="50">
        <f>VLOOKUP($A45,'Data Vlaue (Cr)'!$C:$FB,143)</f>
        <v>6766.09</v>
      </c>
      <c r="E45" s="50">
        <f>VLOOKUP($A45,'Data Vlaue (Cr)'!$C:$FB,144)</f>
        <v>4590.55</v>
      </c>
      <c r="F45" s="50">
        <f>VLOOKUP($A45,'Data Vlaue (Cr)'!$C:$FB,146)*100</f>
        <v>47.39</v>
      </c>
      <c r="G45" s="49">
        <f>VLOOKUP($A45,'Data Vlaue (Cr)'!$C:$FB,43)</f>
        <v>2779</v>
      </c>
      <c r="H45" s="49">
        <f>VLOOKUP($A45,'Data Vlaue (Cr)'!$C:$FB,44)</f>
        <v>1908</v>
      </c>
      <c r="I45" s="49">
        <f>VLOOKUP($A45,'Data Vlaue (Cr)'!$C:$FB,46)*100</f>
        <v>45.68</v>
      </c>
      <c r="J45" s="51">
        <f>VLOOKUP($A45,'Data Vlaue (Cr)'!$C:$FB,59)</f>
        <v>2843</v>
      </c>
      <c r="K45" s="51">
        <f>VLOOKUP($A45,'Data Vlaue (Cr)'!$C:$FB,60)</f>
        <v>1857</v>
      </c>
      <c r="L45" s="51">
        <f>VLOOKUP($A45,'Data Vlaue (Cr)'!$C:$FB,62)*100</f>
        <v>53.11</v>
      </c>
      <c r="M45" s="51">
        <f>VLOOKUP($A45,'Data Vlaue (Cr)'!$C:$FB,63)</f>
        <v>1115</v>
      </c>
      <c r="N45" s="51">
        <f>VLOOKUP($A45,'Data Vlaue (Cr)'!$C:$FB,64)</f>
        <v>872</v>
      </c>
      <c r="O45" s="51">
        <f>VLOOKUP($A45,'Data Vlaue (Cr)'!$C:$FB,66)*100</f>
        <v>27.96</v>
      </c>
    </row>
    <row r="46" spans="1:15" x14ac:dyDescent="0.25">
      <c r="A46" s="101" t="str">
        <f>'Data Vlaue (Cr)'!C41</f>
        <v>CDSL</v>
      </c>
      <c r="B46" s="50">
        <f>VLOOKUP($A46,'Data Vlaue (Cr)'!$C:$FB,8)</f>
        <v>1636.5</v>
      </c>
      <c r="C46" s="50">
        <f>VLOOKUP($A46,'Data Vlaue (Cr)'!$C:$FB,11)*100</f>
        <v>2.91</v>
      </c>
      <c r="D46" s="50">
        <f>VLOOKUP($A46,'Data Vlaue (Cr)'!$C:$FB,143)</f>
        <v>6376.31</v>
      </c>
      <c r="E46" s="50">
        <f>VLOOKUP($A46,'Data Vlaue (Cr)'!$C:$FB,144)</f>
        <v>4460.0200000000004</v>
      </c>
      <c r="F46" s="50">
        <f>VLOOKUP($A46,'Data Vlaue (Cr)'!$C:$FB,146)*100</f>
        <v>42.970000000000006</v>
      </c>
      <c r="G46" s="49">
        <f>VLOOKUP($A46,'Data Vlaue (Cr)'!$C:$FB,43)</f>
        <v>1578</v>
      </c>
      <c r="H46" s="49">
        <f>VLOOKUP($A46,'Data Vlaue (Cr)'!$C:$FB,44)</f>
        <v>1353</v>
      </c>
      <c r="I46" s="49">
        <f>VLOOKUP($A46,'Data Vlaue (Cr)'!$C:$FB,46)*100</f>
        <v>16.63</v>
      </c>
      <c r="J46" s="51">
        <f>VLOOKUP($A46,'Data Vlaue (Cr)'!$C:$FB,59)</f>
        <v>3285</v>
      </c>
      <c r="K46" s="51">
        <f>VLOOKUP($A46,'Data Vlaue (Cr)'!$C:$FB,60)</f>
        <v>1994</v>
      </c>
      <c r="L46" s="51">
        <f>VLOOKUP($A46,'Data Vlaue (Cr)'!$C:$FB,62)*100</f>
        <v>64.759999999999991</v>
      </c>
      <c r="M46" s="51">
        <f>VLOOKUP($A46,'Data Vlaue (Cr)'!$C:$FB,63)</f>
        <v>1500</v>
      </c>
      <c r="N46" s="51">
        <f>VLOOKUP($A46,'Data Vlaue (Cr)'!$C:$FB,64)</f>
        <v>1158</v>
      </c>
      <c r="O46" s="51">
        <f>VLOOKUP($A46,'Data Vlaue (Cr)'!$C:$FB,66)*100</f>
        <v>29.509999999999998</v>
      </c>
    </row>
    <row r="47" spans="1:15" x14ac:dyDescent="0.25">
      <c r="A47" s="101" t="str">
        <f>'Data Vlaue (Cr)'!C42</f>
        <v>CGPOWER</v>
      </c>
      <c r="B47" s="50">
        <f>VLOOKUP($A47,'Data Vlaue (Cr)'!$C:$FB,8)</f>
        <v>728.35</v>
      </c>
      <c r="C47" s="50">
        <f>VLOOKUP($A47,'Data Vlaue (Cr)'!$C:$FB,11)*100</f>
        <v>0.62</v>
      </c>
      <c r="D47" s="50">
        <f>VLOOKUP($A47,'Data Vlaue (Cr)'!$C:$FB,143)</f>
        <v>1465.64</v>
      </c>
      <c r="E47" s="50">
        <f>VLOOKUP($A47,'Data Vlaue (Cr)'!$C:$FB,144)</f>
        <v>2100.2800000000002</v>
      </c>
      <c r="F47" s="50">
        <f>VLOOKUP($A47,'Data Vlaue (Cr)'!$C:$FB,146)*100</f>
        <v>-30.220000000000002</v>
      </c>
      <c r="G47" s="49">
        <f>VLOOKUP($A47,'Data Vlaue (Cr)'!$C:$FB,43)</f>
        <v>839</v>
      </c>
      <c r="H47" s="49">
        <f>VLOOKUP($A47,'Data Vlaue (Cr)'!$C:$FB,44)</f>
        <v>1066</v>
      </c>
      <c r="I47" s="49">
        <f>VLOOKUP($A47,'Data Vlaue (Cr)'!$C:$FB,46)*100</f>
        <v>-21.279999999999998</v>
      </c>
      <c r="J47" s="51">
        <f>VLOOKUP($A47,'Data Vlaue (Cr)'!$C:$FB,59)</f>
        <v>365</v>
      </c>
      <c r="K47" s="51">
        <f>VLOOKUP($A47,'Data Vlaue (Cr)'!$C:$FB,60)</f>
        <v>684</v>
      </c>
      <c r="L47" s="51">
        <f>VLOOKUP($A47,'Data Vlaue (Cr)'!$C:$FB,62)*100</f>
        <v>-46.54</v>
      </c>
      <c r="M47" s="51">
        <f>VLOOKUP($A47,'Data Vlaue (Cr)'!$C:$FB,63)</f>
        <v>242</v>
      </c>
      <c r="N47" s="51">
        <f>VLOOKUP($A47,'Data Vlaue (Cr)'!$C:$FB,64)</f>
        <v>307</v>
      </c>
      <c r="O47" s="51">
        <f>VLOOKUP($A47,'Data Vlaue (Cr)'!$C:$FB,66)*100</f>
        <v>-21.23</v>
      </c>
    </row>
    <row r="48" spans="1:15" x14ac:dyDescent="0.25">
      <c r="A48" s="101" t="str">
        <f>'Data Vlaue (Cr)'!C43</f>
        <v>CHOLAFIN</v>
      </c>
      <c r="B48" s="50">
        <f>VLOOKUP($A48,'Data Vlaue (Cr)'!$C:$FB,8)</f>
        <v>1732.4</v>
      </c>
      <c r="C48" s="50">
        <f>VLOOKUP($A48,'Data Vlaue (Cr)'!$C:$FB,11)*100</f>
        <v>-6.9999999999999993E-2</v>
      </c>
      <c r="D48" s="50">
        <f>VLOOKUP($A48,'Data Vlaue (Cr)'!$C:$FB,143)</f>
        <v>8194.48</v>
      </c>
      <c r="E48" s="50">
        <f>VLOOKUP($A48,'Data Vlaue (Cr)'!$C:$FB,144)</f>
        <v>7830.82</v>
      </c>
      <c r="F48" s="50">
        <f>VLOOKUP($A48,'Data Vlaue (Cr)'!$C:$FB,146)*100</f>
        <v>4.6399999999999997</v>
      </c>
      <c r="G48" s="49">
        <f>VLOOKUP($A48,'Data Vlaue (Cr)'!$C:$FB,43)</f>
        <v>2815</v>
      </c>
      <c r="H48" s="49">
        <f>VLOOKUP($A48,'Data Vlaue (Cr)'!$C:$FB,44)</f>
        <v>3148</v>
      </c>
      <c r="I48" s="49">
        <f>VLOOKUP($A48,'Data Vlaue (Cr)'!$C:$FB,46)*100</f>
        <v>-10.56</v>
      </c>
      <c r="J48" s="51">
        <f>VLOOKUP($A48,'Data Vlaue (Cr)'!$C:$FB,59)</f>
        <v>3606</v>
      </c>
      <c r="K48" s="51">
        <f>VLOOKUP($A48,'Data Vlaue (Cr)'!$C:$FB,60)</f>
        <v>3710</v>
      </c>
      <c r="L48" s="51">
        <f>VLOOKUP($A48,'Data Vlaue (Cr)'!$C:$FB,62)*100</f>
        <v>-2.8000000000000003</v>
      </c>
      <c r="M48" s="51">
        <f>VLOOKUP($A48,'Data Vlaue (Cr)'!$C:$FB,63)</f>
        <v>1713</v>
      </c>
      <c r="N48" s="51">
        <f>VLOOKUP($A48,'Data Vlaue (Cr)'!$C:$FB,64)</f>
        <v>1035</v>
      </c>
      <c r="O48" s="51">
        <f>VLOOKUP($A48,'Data Vlaue (Cr)'!$C:$FB,66)*100</f>
        <v>65.48</v>
      </c>
    </row>
    <row r="49" spans="1:15" x14ac:dyDescent="0.25">
      <c r="A49" s="101" t="str">
        <f>'Data Vlaue (Cr)'!C44</f>
        <v>CIPLA</v>
      </c>
      <c r="B49" s="50">
        <f>VLOOKUP($A49,'Data Vlaue (Cr)'!$C:$FB,8)</f>
        <v>1584</v>
      </c>
      <c r="C49" s="50">
        <f>VLOOKUP($A49,'Data Vlaue (Cr)'!$C:$FB,11)*100</f>
        <v>-0.03</v>
      </c>
      <c r="D49" s="50">
        <f>VLOOKUP($A49,'Data Vlaue (Cr)'!$C:$FB,143)</f>
        <v>7455.02</v>
      </c>
      <c r="E49" s="50">
        <f>VLOOKUP($A49,'Data Vlaue (Cr)'!$C:$FB,144)</f>
        <v>14202.77</v>
      </c>
      <c r="F49" s="50">
        <f>VLOOKUP($A49,'Data Vlaue (Cr)'!$C:$FB,146)*100</f>
        <v>-47.510000000000005</v>
      </c>
      <c r="G49" s="49">
        <f>VLOOKUP($A49,'Data Vlaue (Cr)'!$C:$FB,43)</f>
        <v>1635</v>
      </c>
      <c r="H49" s="49">
        <f>VLOOKUP($A49,'Data Vlaue (Cr)'!$C:$FB,44)</f>
        <v>2341</v>
      </c>
      <c r="I49" s="49">
        <f>VLOOKUP($A49,'Data Vlaue (Cr)'!$C:$FB,46)*100</f>
        <v>-30.14</v>
      </c>
      <c r="J49" s="51">
        <f>VLOOKUP($A49,'Data Vlaue (Cr)'!$C:$FB,59)</f>
        <v>3809</v>
      </c>
      <c r="K49" s="51">
        <f>VLOOKUP($A49,'Data Vlaue (Cr)'!$C:$FB,60)</f>
        <v>7308</v>
      </c>
      <c r="L49" s="51">
        <f>VLOOKUP($A49,'Data Vlaue (Cr)'!$C:$FB,62)*100</f>
        <v>-47.88</v>
      </c>
      <c r="M49" s="51">
        <f>VLOOKUP($A49,'Data Vlaue (Cr)'!$C:$FB,63)</f>
        <v>1923</v>
      </c>
      <c r="N49" s="51">
        <f>VLOOKUP($A49,'Data Vlaue (Cr)'!$C:$FB,64)</f>
        <v>4171</v>
      </c>
      <c r="O49" s="51">
        <f>VLOOKUP($A49,'Data Vlaue (Cr)'!$C:$FB,66)*100</f>
        <v>-53.890000000000008</v>
      </c>
    </row>
    <row r="50" spans="1:15" x14ac:dyDescent="0.25">
      <c r="A50" s="101" t="str">
        <f>'Data Vlaue (Cr)'!C45</f>
        <v>COALINDIA</v>
      </c>
      <c r="B50" s="50">
        <f>VLOOKUP($A50,'Data Vlaue (Cr)'!$C:$FB,8)</f>
        <v>396.7</v>
      </c>
      <c r="C50" s="50">
        <f>VLOOKUP($A50,'Data Vlaue (Cr)'!$C:$FB,11)*100</f>
        <v>0.67</v>
      </c>
      <c r="D50" s="50">
        <f>VLOOKUP($A50,'Data Vlaue (Cr)'!$C:$FB,143)</f>
        <v>4053.32</v>
      </c>
      <c r="E50" s="50">
        <f>VLOOKUP($A50,'Data Vlaue (Cr)'!$C:$FB,144)</f>
        <v>3133.66</v>
      </c>
      <c r="F50" s="50">
        <f>VLOOKUP($A50,'Data Vlaue (Cr)'!$C:$FB,146)*100</f>
        <v>29.349999999999998</v>
      </c>
      <c r="G50" s="49">
        <f>VLOOKUP($A50,'Data Vlaue (Cr)'!$C:$FB,43)</f>
        <v>1837</v>
      </c>
      <c r="H50" s="49">
        <f>VLOOKUP($A50,'Data Vlaue (Cr)'!$C:$FB,44)</f>
        <v>1059</v>
      </c>
      <c r="I50" s="49">
        <f>VLOOKUP($A50,'Data Vlaue (Cr)'!$C:$FB,46)*100</f>
        <v>73.5</v>
      </c>
      <c r="J50" s="51">
        <f>VLOOKUP($A50,'Data Vlaue (Cr)'!$C:$FB,59)</f>
        <v>1412</v>
      </c>
      <c r="K50" s="51">
        <f>VLOOKUP($A50,'Data Vlaue (Cr)'!$C:$FB,60)</f>
        <v>1256</v>
      </c>
      <c r="L50" s="51">
        <f>VLOOKUP($A50,'Data Vlaue (Cr)'!$C:$FB,62)*100</f>
        <v>12.45</v>
      </c>
      <c r="M50" s="51">
        <f>VLOOKUP($A50,'Data Vlaue (Cr)'!$C:$FB,63)</f>
        <v>780</v>
      </c>
      <c r="N50" s="51">
        <f>VLOOKUP($A50,'Data Vlaue (Cr)'!$C:$FB,64)</f>
        <v>801</v>
      </c>
      <c r="O50" s="51">
        <f>VLOOKUP($A50,'Data Vlaue (Cr)'!$C:$FB,66)*100</f>
        <v>-2.6100000000000003</v>
      </c>
    </row>
    <row r="51" spans="1:15" x14ac:dyDescent="0.25">
      <c r="A51" s="101" t="str">
        <f>'Data Vlaue (Cr)'!C46</f>
        <v>COFORGE</v>
      </c>
      <c r="B51" s="50">
        <f>VLOOKUP($A51,'Data Vlaue (Cr)'!$C:$FB,8)</f>
        <v>1830.6</v>
      </c>
      <c r="C51" s="50">
        <f>VLOOKUP($A51,'Data Vlaue (Cr)'!$C:$FB,11)*100</f>
        <v>4.01</v>
      </c>
      <c r="D51" s="50">
        <f>VLOOKUP($A51,'Data Vlaue (Cr)'!$C:$FB,143)</f>
        <v>20403.62</v>
      </c>
      <c r="E51" s="50">
        <f>VLOOKUP($A51,'Data Vlaue (Cr)'!$C:$FB,144)</f>
        <v>6187.82</v>
      </c>
      <c r="F51" s="50">
        <f>VLOOKUP($A51,'Data Vlaue (Cr)'!$C:$FB,146)*100</f>
        <v>229.74</v>
      </c>
      <c r="G51" s="49">
        <f>VLOOKUP($A51,'Data Vlaue (Cr)'!$C:$FB,43)</f>
        <v>2509</v>
      </c>
      <c r="H51" s="49">
        <f>VLOOKUP($A51,'Data Vlaue (Cr)'!$C:$FB,44)</f>
        <v>2506</v>
      </c>
      <c r="I51" s="49">
        <f>VLOOKUP($A51,'Data Vlaue (Cr)'!$C:$FB,46)*100</f>
        <v>0.13</v>
      </c>
      <c r="J51" s="51">
        <f>VLOOKUP($A51,'Data Vlaue (Cr)'!$C:$FB,59)</f>
        <v>11233</v>
      </c>
      <c r="K51" s="51">
        <f>VLOOKUP($A51,'Data Vlaue (Cr)'!$C:$FB,60)</f>
        <v>2665</v>
      </c>
      <c r="L51" s="51">
        <f>VLOOKUP($A51,'Data Vlaue (Cr)'!$C:$FB,62)*100</f>
        <v>321.47000000000003</v>
      </c>
      <c r="M51" s="51">
        <f>VLOOKUP($A51,'Data Vlaue (Cr)'!$C:$FB,63)</f>
        <v>6457</v>
      </c>
      <c r="N51" s="51">
        <f>VLOOKUP($A51,'Data Vlaue (Cr)'!$C:$FB,64)</f>
        <v>1131</v>
      </c>
      <c r="O51" s="51">
        <f>VLOOKUP($A51,'Data Vlaue (Cr)'!$C:$FB,66)*100</f>
        <v>470.83000000000004</v>
      </c>
    </row>
    <row r="52" spans="1:15" x14ac:dyDescent="0.25">
      <c r="A52" s="101" t="str">
        <f>'Data Vlaue (Cr)'!C47</f>
        <v>COLPAL</v>
      </c>
      <c r="B52" s="50">
        <f>VLOOKUP($A52,'Data Vlaue (Cr)'!$C:$FB,8)</f>
        <v>2216.5</v>
      </c>
      <c r="C52" s="50">
        <f>VLOOKUP($A52,'Data Vlaue (Cr)'!$C:$FB,11)*100</f>
        <v>-1.02</v>
      </c>
      <c r="D52" s="50">
        <f>VLOOKUP($A52,'Data Vlaue (Cr)'!$C:$FB,143)</f>
        <v>2527.73</v>
      </c>
      <c r="E52" s="50">
        <f>VLOOKUP($A52,'Data Vlaue (Cr)'!$C:$FB,144)</f>
        <v>7861.79</v>
      </c>
      <c r="F52" s="50">
        <f>VLOOKUP($A52,'Data Vlaue (Cr)'!$C:$FB,146)*100</f>
        <v>-67.849999999999994</v>
      </c>
      <c r="G52" s="49">
        <f>VLOOKUP($A52,'Data Vlaue (Cr)'!$C:$FB,43)</f>
        <v>769</v>
      </c>
      <c r="H52" s="49">
        <f>VLOOKUP($A52,'Data Vlaue (Cr)'!$C:$FB,44)</f>
        <v>1582</v>
      </c>
      <c r="I52" s="49">
        <f>VLOOKUP($A52,'Data Vlaue (Cr)'!$C:$FB,46)*100</f>
        <v>-51.42</v>
      </c>
      <c r="J52" s="51">
        <f>VLOOKUP($A52,'Data Vlaue (Cr)'!$C:$FB,59)</f>
        <v>1106</v>
      </c>
      <c r="K52" s="51">
        <f>VLOOKUP($A52,'Data Vlaue (Cr)'!$C:$FB,60)</f>
        <v>4007</v>
      </c>
      <c r="L52" s="51">
        <f>VLOOKUP($A52,'Data Vlaue (Cr)'!$C:$FB,62)*100</f>
        <v>-72.39</v>
      </c>
      <c r="M52" s="51">
        <f>VLOOKUP($A52,'Data Vlaue (Cr)'!$C:$FB,63)</f>
        <v>614</v>
      </c>
      <c r="N52" s="51">
        <f>VLOOKUP($A52,'Data Vlaue (Cr)'!$C:$FB,64)</f>
        <v>2137</v>
      </c>
      <c r="O52" s="51">
        <f>VLOOKUP($A52,'Data Vlaue (Cr)'!$C:$FB,66)*100</f>
        <v>-71.260000000000005</v>
      </c>
    </row>
    <row r="53" spans="1:15" x14ac:dyDescent="0.25">
      <c r="A53" s="101" t="str">
        <f>'Data Vlaue (Cr)'!C48</f>
        <v>CONCOR</v>
      </c>
      <c r="B53" s="50">
        <f>VLOOKUP($A53,'Data Vlaue (Cr)'!$C:$FB,8)</f>
        <v>540.75</v>
      </c>
      <c r="C53" s="50">
        <f>VLOOKUP($A53,'Data Vlaue (Cr)'!$C:$FB,11)*100</f>
        <v>0.72</v>
      </c>
      <c r="D53" s="50">
        <f>VLOOKUP($A53,'Data Vlaue (Cr)'!$C:$FB,143)</f>
        <v>1666.63</v>
      </c>
      <c r="E53" s="50">
        <f>VLOOKUP($A53,'Data Vlaue (Cr)'!$C:$FB,144)</f>
        <v>2582.9899999999998</v>
      </c>
      <c r="F53" s="50">
        <f>VLOOKUP($A53,'Data Vlaue (Cr)'!$C:$FB,146)*100</f>
        <v>-35.480000000000004</v>
      </c>
      <c r="G53" s="49">
        <f>VLOOKUP($A53,'Data Vlaue (Cr)'!$C:$FB,43)</f>
        <v>718</v>
      </c>
      <c r="H53" s="49">
        <f>VLOOKUP($A53,'Data Vlaue (Cr)'!$C:$FB,44)</f>
        <v>1238</v>
      </c>
      <c r="I53" s="49">
        <f>VLOOKUP($A53,'Data Vlaue (Cr)'!$C:$FB,46)*100</f>
        <v>-42.03</v>
      </c>
      <c r="J53" s="51">
        <f>VLOOKUP($A53,'Data Vlaue (Cr)'!$C:$FB,59)</f>
        <v>624</v>
      </c>
      <c r="K53" s="51">
        <f>VLOOKUP($A53,'Data Vlaue (Cr)'!$C:$FB,60)</f>
        <v>885</v>
      </c>
      <c r="L53" s="51">
        <f>VLOOKUP($A53,'Data Vlaue (Cr)'!$C:$FB,62)*100</f>
        <v>-29.45</v>
      </c>
      <c r="M53" s="51">
        <f>VLOOKUP($A53,'Data Vlaue (Cr)'!$C:$FB,63)</f>
        <v>294</v>
      </c>
      <c r="N53" s="51">
        <f>VLOOKUP($A53,'Data Vlaue (Cr)'!$C:$FB,64)</f>
        <v>430</v>
      </c>
      <c r="O53" s="51">
        <f>VLOOKUP($A53,'Data Vlaue (Cr)'!$C:$FB,66)*100</f>
        <v>-31.75</v>
      </c>
    </row>
    <row r="54" spans="1:15" x14ac:dyDescent="0.25">
      <c r="A54" s="101" t="str">
        <f>'Data Vlaue (Cr)'!C49</f>
        <v>CROMPTON</v>
      </c>
      <c r="B54" s="50">
        <f>VLOOKUP($A54,'Data Vlaue (Cr)'!$C:$FB,8)</f>
        <v>292.05</v>
      </c>
      <c r="C54" s="50">
        <f>VLOOKUP($A54,'Data Vlaue (Cr)'!$C:$FB,11)*100</f>
        <v>-0.44</v>
      </c>
      <c r="D54" s="50">
        <f>VLOOKUP($A54,'Data Vlaue (Cr)'!$C:$FB,143)</f>
        <v>1946.08</v>
      </c>
      <c r="E54" s="50">
        <f>VLOOKUP($A54,'Data Vlaue (Cr)'!$C:$FB,144)</f>
        <v>2076.17</v>
      </c>
      <c r="F54" s="50">
        <f>VLOOKUP($A54,'Data Vlaue (Cr)'!$C:$FB,146)*100</f>
        <v>-6.2700000000000005</v>
      </c>
      <c r="G54" s="49">
        <f>VLOOKUP($A54,'Data Vlaue (Cr)'!$C:$FB,43)</f>
        <v>871</v>
      </c>
      <c r="H54" s="49">
        <f>VLOOKUP($A54,'Data Vlaue (Cr)'!$C:$FB,44)</f>
        <v>1354</v>
      </c>
      <c r="I54" s="49">
        <f>VLOOKUP($A54,'Data Vlaue (Cr)'!$C:$FB,46)*100</f>
        <v>-35.68</v>
      </c>
      <c r="J54" s="51">
        <f>VLOOKUP($A54,'Data Vlaue (Cr)'!$C:$FB,59)</f>
        <v>751</v>
      </c>
      <c r="K54" s="51">
        <f>VLOOKUP($A54,'Data Vlaue (Cr)'!$C:$FB,60)</f>
        <v>517</v>
      </c>
      <c r="L54" s="51">
        <f>VLOOKUP($A54,'Data Vlaue (Cr)'!$C:$FB,62)*100</f>
        <v>45.17</v>
      </c>
      <c r="M54" s="51">
        <f>VLOOKUP($A54,'Data Vlaue (Cr)'!$C:$FB,63)</f>
        <v>265</v>
      </c>
      <c r="N54" s="51">
        <f>VLOOKUP($A54,'Data Vlaue (Cr)'!$C:$FB,64)</f>
        <v>179</v>
      </c>
      <c r="O54" s="51">
        <f>VLOOKUP($A54,'Data Vlaue (Cr)'!$C:$FB,66)*100</f>
        <v>47.910000000000004</v>
      </c>
    </row>
    <row r="55" spans="1:15" x14ac:dyDescent="0.25">
      <c r="A55" s="101" t="str">
        <f>'Data Vlaue (Cr)'!C50</f>
        <v>CUMMINSIND</v>
      </c>
      <c r="B55" s="50">
        <f>VLOOKUP($A55,'Data Vlaue (Cr)'!$C:$FB,8)</f>
        <v>4311.5</v>
      </c>
      <c r="C55" s="50">
        <f>VLOOKUP($A55,'Data Vlaue (Cr)'!$C:$FB,11)*100</f>
        <v>3.0700000000000003</v>
      </c>
      <c r="D55" s="50">
        <f>VLOOKUP($A55,'Data Vlaue (Cr)'!$C:$FB,143)</f>
        <v>6707.13</v>
      </c>
      <c r="E55" s="50">
        <f>VLOOKUP($A55,'Data Vlaue (Cr)'!$C:$FB,144)</f>
        <v>7776.57</v>
      </c>
      <c r="F55" s="50">
        <f>VLOOKUP($A55,'Data Vlaue (Cr)'!$C:$FB,146)*100</f>
        <v>-13.750000000000002</v>
      </c>
      <c r="G55" s="49">
        <f>VLOOKUP($A55,'Data Vlaue (Cr)'!$C:$FB,43)</f>
        <v>1252</v>
      </c>
      <c r="H55" s="49">
        <f>VLOOKUP($A55,'Data Vlaue (Cr)'!$C:$FB,44)</f>
        <v>1454</v>
      </c>
      <c r="I55" s="49">
        <f>VLOOKUP($A55,'Data Vlaue (Cr)'!$C:$FB,46)*100</f>
        <v>-13.900000000000002</v>
      </c>
      <c r="J55" s="51">
        <f>VLOOKUP($A55,'Data Vlaue (Cr)'!$C:$FB,59)</f>
        <v>3727</v>
      </c>
      <c r="K55" s="51">
        <f>VLOOKUP($A55,'Data Vlaue (Cr)'!$C:$FB,60)</f>
        <v>4912</v>
      </c>
      <c r="L55" s="51">
        <f>VLOOKUP($A55,'Data Vlaue (Cr)'!$C:$FB,62)*100</f>
        <v>-24.13</v>
      </c>
      <c r="M55" s="51">
        <f>VLOOKUP($A55,'Data Vlaue (Cr)'!$C:$FB,63)</f>
        <v>1735</v>
      </c>
      <c r="N55" s="51">
        <f>VLOOKUP($A55,'Data Vlaue (Cr)'!$C:$FB,64)</f>
        <v>1589</v>
      </c>
      <c r="O55" s="51">
        <f>VLOOKUP($A55,'Data Vlaue (Cr)'!$C:$FB,66)*100</f>
        <v>9.1800000000000015</v>
      </c>
    </row>
    <row r="56" spans="1:15" x14ac:dyDescent="0.25">
      <c r="A56" s="101" t="str">
        <f>'Data Vlaue (Cr)'!C51</f>
        <v>CYIENT</v>
      </c>
      <c r="B56" s="50">
        <f>VLOOKUP($A56,'Data Vlaue (Cr)'!$C:$FB,8)</f>
        <v>1208.0999999999999</v>
      </c>
      <c r="C56" s="50">
        <f>VLOOKUP($A56,'Data Vlaue (Cr)'!$C:$FB,11)*100</f>
        <v>1.9</v>
      </c>
      <c r="D56" s="50">
        <f>VLOOKUP($A56,'Data Vlaue (Cr)'!$C:$FB,143)</f>
        <v>895.09</v>
      </c>
      <c r="E56" s="50">
        <f>VLOOKUP($A56,'Data Vlaue (Cr)'!$C:$FB,144)</f>
        <v>978.37</v>
      </c>
      <c r="F56" s="50">
        <f>VLOOKUP($A56,'Data Vlaue (Cr)'!$C:$FB,146)*100</f>
        <v>-8.51</v>
      </c>
      <c r="G56" s="49">
        <f>VLOOKUP($A56,'Data Vlaue (Cr)'!$C:$FB,43)</f>
        <v>378</v>
      </c>
      <c r="H56" s="49">
        <f>VLOOKUP($A56,'Data Vlaue (Cr)'!$C:$FB,44)</f>
        <v>460</v>
      </c>
      <c r="I56" s="49">
        <f>VLOOKUP($A56,'Data Vlaue (Cr)'!$C:$FB,46)*100</f>
        <v>-17.810000000000002</v>
      </c>
      <c r="J56" s="51">
        <f>VLOOKUP($A56,'Data Vlaue (Cr)'!$C:$FB,59)</f>
        <v>344</v>
      </c>
      <c r="K56" s="51">
        <f>VLOOKUP($A56,'Data Vlaue (Cr)'!$C:$FB,60)</f>
        <v>333</v>
      </c>
      <c r="L56" s="51">
        <f>VLOOKUP($A56,'Data Vlaue (Cr)'!$C:$FB,62)*100</f>
        <v>3.1</v>
      </c>
      <c r="M56" s="51">
        <f>VLOOKUP($A56,'Data Vlaue (Cr)'!$C:$FB,63)</f>
        <v>168</v>
      </c>
      <c r="N56" s="51">
        <f>VLOOKUP($A56,'Data Vlaue (Cr)'!$C:$FB,64)</f>
        <v>188</v>
      </c>
      <c r="O56" s="51">
        <f>VLOOKUP($A56,'Data Vlaue (Cr)'!$C:$FB,66)*100</f>
        <v>-10.75</v>
      </c>
    </row>
    <row r="57" spans="1:15" x14ac:dyDescent="0.25">
      <c r="A57" s="101" t="str">
        <f>'Data Vlaue (Cr)'!C52</f>
        <v>DABUR</v>
      </c>
      <c r="B57" s="50">
        <f>VLOOKUP($A57,'Data Vlaue (Cr)'!$C:$FB,8)</f>
        <v>507.05</v>
      </c>
      <c r="C57" s="50">
        <f>VLOOKUP($A57,'Data Vlaue (Cr)'!$C:$FB,11)*100</f>
        <v>-0.27999999999999997</v>
      </c>
      <c r="D57" s="50">
        <f>VLOOKUP($A57,'Data Vlaue (Cr)'!$C:$FB,143)</f>
        <v>1813.38</v>
      </c>
      <c r="E57" s="50">
        <f>VLOOKUP($A57,'Data Vlaue (Cr)'!$C:$FB,144)</f>
        <v>2477.35</v>
      </c>
      <c r="F57" s="50">
        <f>VLOOKUP($A57,'Data Vlaue (Cr)'!$C:$FB,146)*100</f>
        <v>-26.8</v>
      </c>
      <c r="G57" s="49">
        <f>VLOOKUP($A57,'Data Vlaue (Cr)'!$C:$FB,43)</f>
        <v>843</v>
      </c>
      <c r="H57" s="49">
        <f>VLOOKUP($A57,'Data Vlaue (Cr)'!$C:$FB,44)</f>
        <v>897</v>
      </c>
      <c r="I57" s="49">
        <f>VLOOKUP($A57,'Data Vlaue (Cr)'!$C:$FB,46)*100</f>
        <v>-6.04</v>
      </c>
      <c r="J57" s="51">
        <f>VLOOKUP($A57,'Data Vlaue (Cr)'!$C:$FB,59)</f>
        <v>622</v>
      </c>
      <c r="K57" s="51">
        <f>VLOOKUP($A57,'Data Vlaue (Cr)'!$C:$FB,60)</f>
        <v>856</v>
      </c>
      <c r="L57" s="51">
        <f>VLOOKUP($A57,'Data Vlaue (Cr)'!$C:$FB,62)*100</f>
        <v>-27.35</v>
      </c>
      <c r="M57" s="51">
        <f>VLOOKUP($A57,'Data Vlaue (Cr)'!$C:$FB,63)</f>
        <v>327</v>
      </c>
      <c r="N57" s="51">
        <f>VLOOKUP($A57,'Data Vlaue (Cr)'!$C:$FB,64)</f>
        <v>720</v>
      </c>
      <c r="O57" s="51">
        <f>VLOOKUP($A57,'Data Vlaue (Cr)'!$C:$FB,66)*100</f>
        <v>-54.569999999999993</v>
      </c>
    </row>
    <row r="58" spans="1:15" x14ac:dyDescent="0.25">
      <c r="A58" s="101" t="str">
        <f>'Data Vlaue (Cr)'!C53</f>
        <v>DALBHARAT</v>
      </c>
      <c r="B58" s="50">
        <f>VLOOKUP($A58,'Data Vlaue (Cr)'!$C:$FB,8)</f>
        <v>2093.1999999999998</v>
      </c>
      <c r="C58" s="50">
        <f>VLOOKUP($A58,'Data Vlaue (Cr)'!$C:$FB,11)*100</f>
        <v>-0.25</v>
      </c>
      <c r="D58" s="50">
        <f>VLOOKUP($A58,'Data Vlaue (Cr)'!$C:$FB,143)</f>
        <v>933.54</v>
      </c>
      <c r="E58" s="50">
        <f>VLOOKUP($A58,'Data Vlaue (Cr)'!$C:$FB,144)</f>
        <v>1424.59</v>
      </c>
      <c r="F58" s="50">
        <f>VLOOKUP($A58,'Data Vlaue (Cr)'!$C:$FB,146)*100</f>
        <v>-34.47</v>
      </c>
      <c r="G58" s="49">
        <f>VLOOKUP($A58,'Data Vlaue (Cr)'!$C:$FB,43)</f>
        <v>456</v>
      </c>
      <c r="H58" s="49">
        <f>VLOOKUP($A58,'Data Vlaue (Cr)'!$C:$FB,44)</f>
        <v>411</v>
      </c>
      <c r="I58" s="49">
        <f>VLOOKUP($A58,'Data Vlaue (Cr)'!$C:$FB,46)*100</f>
        <v>10.99</v>
      </c>
      <c r="J58" s="51">
        <f>VLOOKUP($A58,'Data Vlaue (Cr)'!$C:$FB,59)</f>
        <v>335</v>
      </c>
      <c r="K58" s="51">
        <f>VLOOKUP($A58,'Data Vlaue (Cr)'!$C:$FB,60)</f>
        <v>711</v>
      </c>
      <c r="L58" s="51">
        <f>VLOOKUP($A58,'Data Vlaue (Cr)'!$C:$FB,62)*100</f>
        <v>-52.839999999999996</v>
      </c>
      <c r="M58" s="51">
        <f>VLOOKUP($A58,'Data Vlaue (Cr)'!$C:$FB,63)</f>
        <v>122</v>
      </c>
      <c r="N58" s="51">
        <f>VLOOKUP($A58,'Data Vlaue (Cr)'!$C:$FB,64)</f>
        <v>264</v>
      </c>
      <c r="O58" s="51">
        <f>VLOOKUP($A58,'Data Vlaue (Cr)'!$C:$FB,66)*100</f>
        <v>-53.900000000000006</v>
      </c>
    </row>
    <row r="59" spans="1:15" x14ac:dyDescent="0.25">
      <c r="A59" s="101" t="str">
        <f>'Data Vlaue (Cr)'!C54</f>
        <v>DELHIVERY</v>
      </c>
      <c r="B59" s="50">
        <f>VLOOKUP($A59,'Data Vlaue (Cr)'!$C:$FB,8)</f>
        <v>473</v>
      </c>
      <c r="C59" s="50">
        <f>VLOOKUP($A59,'Data Vlaue (Cr)'!$C:$FB,11)*100</f>
        <v>1.31</v>
      </c>
      <c r="D59" s="50">
        <f>VLOOKUP($A59,'Data Vlaue (Cr)'!$C:$FB,143)</f>
        <v>1418.08</v>
      </c>
      <c r="E59" s="50">
        <f>VLOOKUP($A59,'Data Vlaue (Cr)'!$C:$FB,144)</f>
        <v>2060.4499999999998</v>
      </c>
      <c r="F59" s="50">
        <f>VLOOKUP($A59,'Data Vlaue (Cr)'!$C:$FB,146)*100</f>
        <v>-31.180000000000003</v>
      </c>
      <c r="G59" s="49">
        <f>VLOOKUP($A59,'Data Vlaue (Cr)'!$C:$FB,43)</f>
        <v>738</v>
      </c>
      <c r="H59" s="49">
        <f>VLOOKUP($A59,'Data Vlaue (Cr)'!$C:$FB,44)</f>
        <v>800</v>
      </c>
      <c r="I59" s="49">
        <f>VLOOKUP($A59,'Data Vlaue (Cr)'!$C:$FB,46)*100</f>
        <v>-7.8100000000000005</v>
      </c>
      <c r="J59" s="51">
        <f>VLOOKUP($A59,'Data Vlaue (Cr)'!$C:$FB,59)</f>
        <v>437</v>
      </c>
      <c r="K59" s="51">
        <f>VLOOKUP($A59,'Data Vlaue (Cr)'!$C:$FB,60)</f>
        <v>685</v>
      </c>
      <c r="L59" s="51">
        <f>VLOOKUP($A59,'Data Vlaue (Cr)'!$C:$FB,62)*100</f>
        <v>-36.18</v>
      </c>
      <c r="M59" s="51">
        <f>VLOOKUP($A59,'Data Vlaue (Cr)'!$C:$FB,63)</f>
        <v>236</v>
      </c>
      <c r="N59" s="51">
        <f>VLOOKUP($A59,'Data Vlaue (Cr)'!$C:$FB,64)</f>
        <v>575</v>
      </c>
      <c r="O59" s="51">
        <f>VLOOKUP($A59,'Data Vlaue (Cr)'!$C:$FB,66)*100</f>
        <v>-58.940000000000005</v>
      </c>
    </row>
    <row r="60" spans="1:15" x14ac:dyDescent="0.25">
      <c r="A60" s="101" t="str">
        <f>'Data Vlaue (Cr)'!C55</f>
        <v>DIVISLAB</v>
      </c>
      <c r="B60" s="50">
        <f>VLOOKUP($A60,'Data Vlaue (Cr)'!$C:$FB,8)</f>
        <v>6490</v>
      </c>
      <c r="C60" s="50">
        <f>VLOOKUP($A60,'Data Vlaue (Cr)'!$C:$FB,11)*100</f>
        <v>-1.5599999999999998</v>
      </c>
      <c r="D60" s="50">
        <f>VLOOKUP($A60,'Data Vlaue (Cr)'!$C:$FB,143)</f>
        <v>4204.87</v>
      </c>
      <c r="E60" s="50">
        <f>VLOOKUP($A60,'Data Vlaue (Cr)'!$C:$FB,144)</f>
        <v>3011.95</v>
      </c>
      <c r="F60" s="50">
        <f>VLOOKUP($A60,'Data Vlaue (Cr)'!$C:$FB,146)*100</f>
        <v>39.61</v>
      </c>
      <c r="G60" s="49">
        <f>VLOOKUP($A60,'Data Vlaue (Cr)'!$C:$FB,43)</f>
        <v>1225</v>
      </c>
      <c r="H60" s="49">
        <f>VLOOKUP($A60,'Data Vlaue (Cr)'!$C:$FB,44)</f>
        <v>1324</v>
      </c>
      <c r="I60" s="49">
        <f>VLOOKUP($A60,'Data Vlaue (Cr)'!$C:$FB,46)*100</f>
        <v>-7.4700000000000006</v>
      </c>
      <c r="J60" s="51">
        <f>VLOOKUP($A60,'Data Vlaue (Cr)'!$C:$FB,59)</f>
        <v>1618</v>
      </c>
      <c r="K60" s="51">
        <f>VLOOKUP($A60,'Data Vlaue (Cr)'!$C:$FB,60)</f>
        <v>892</v>
      </c>
      <c r="L60" s="51">
        <f>VLOOKUP($A60,'Data Vlaue (Cr)'!$C:$FB,62)*100</f>
        <v>81.289999999999992</v>
      </c>
      <c r="M60" s="51">
        <f>VLOOKUP($A60,'Data Vlaue (Cr)'!$C:$FB,63)</f>
        <v>1324</v>
      </c>
      <c r="N60" s="51">
        <f>VLOOKUP($A60,'Data Vlaue (Cr)'!$C:$FB,64)</f>
        <v>749</v>
      </c>
      <c r="O60" s="51">
        <f>VLOOKUP($A60,'Data Vlaue (Cr)'!$C:$FB,66)*100</f>
        <v>76.84</v>
      </c>
    </row>
    <row r="61" spans="1:15" x14ac:dyDescent="0.25">
      <c r="A61" s="101" t="str">
        <f>'Data Vlaue (Cr)'!C56</f>
        <v>DIXON</v>
      </c>
      <c r="B61" s="50">
        <f>VLOOKUP($A61,'Data Vlaue (Cr)'!$C:$FB,8)</f>
        <v>15505</v>
      </c>
      <c r="C61" s="50">
        <f>VLOOKUP($A61,'Data Vlaue (Cr)'!$C:$FB,11)*100</f>
        <v>0.1</v>
      </c>
      <c r="D61" s="50">
        <f>VLOOKUP($A61,'Data Vlaue (Cr)'!$C:$FB,143)</f>
        <v>17178.63</v>
      </c>
      <c r="E61" s="50">
        <f>VLOOKUP($A61,'Data Vlaue (Cr)'!$C:$FB,144)</f>
        <v>21701.54</v>
      </c>
      <c r="F61" s="50">
        <f>VLOOKUP($A61,'Data Vlaue (Cr)'!$C:$FB,146)*100</f>
        <v>-20.84</v>
      </c>
      <c r="G61" s="49">
        <f>VLOOKUP($A61,'Data Vlaue (Cr)'!$C:$FB,43)</f>
        <v>1672</v>
      </c>
      <c r="H61" s="49">
        <f>VLOOKUP($A61,'Data Vlaue (Cr)'!$C:$FB,44)</f>
        <v>2021</v>
      </c>
      <c r="I61" s="49">
        <f>VLOOKUP($A61,'Data Vlaue (Cr)'!$C:$FB,46)*100</f>
        <v>-17.28</v>
      </c>
      <c r="J61" s="51">
        <f>VLOOKUP($A61,'Data Vlaue (Cr)'!$C:$FB,59)</f>
        <v>10178</v>
      </c>
      <c r="K61" s="51">
        <f>VLOOKUP($A61,'Data Vlaue (Cr)'!$C:$FB,60)</f>
        <v>11577</v>
      </c>
      <c r="L61" s="51">
        <f>VLOOKUP($A61,'Data Vlaue (Cr)'!$C:$FB,62)*100</f>
        <v>-12.08</v>
      </c>
      <c r="M61" s="51">
        <f>VLOOKUP($A61,'Data Vlaue (Cr)'!$C:$FB,63)</f>
        <v>4773</v>
      </c>
      <c r="N61" s="51">
        <f>VLOOKUP($A61,'Data Vlaue (Cr)'!$C:$FB,64)</f>
        <v>7354</v>
      </c>
      <c r="O61" s="51">
        <f>VLOOKUP($A61,'Data Vlaue (Cr)'!$C:$FB,66)*100</f>
        <v>-35.099999999999994</v>
      </c>
    </row>
    <row r="62" spans="1:15" x14ac:dyDescent="0.25">
      <c r="A62" s="101" t="str">
        <f>'Data Vlaue (Cr)'!C57</f>
        <v>DLF</v>
      </c>
      <c r="B62" s="50">
        <f>VLOOKUP($A62,'Data Vlaue (Cr)'!$C:$FB,8)</f>
        <v>779.5</v>
      </c>
      <c r="C62" s="50">
        <f>VLOOKUP($A62,'Data Vlaue (Cr)'!$C:$FB,11)*100</f>
        <v>0.91</v>
      </c>
      <c r="D62" s="50">
        <f>VLOOKUP($A62,'Data Vlaue (Cr)'!$C:$FB,143)</f>
        <v>5536.33</v>
      </c>
      <c r="E62" s="50">
        <f>VLOOKUP($A62,'Data Vlaue (Cr)'!$C:$FB,144)</f>
        <v>3722.23</v>
      </c>
      <c r="F62" s="50">
        <f>VLOOKUP($A62,'Data Vlaue (Cr)'!$C:$FB,146)*100</f>
        <v>48.74</v>
      </c>
      <c r="G62" s="49">
        <f>VLOOKUP($A62,'Data Vlaue (Cr)'!$C:$FB,43)</f>
        <v>2052</v>
      </c>
      <c r="H62" s="49">
        <f>VLOOKUP($A62,'Data Vlaue (Cr)'!$C:$FB,44)</f>
        <v>1888</v>
      </c>
      <c r="I62" s="49">
        <f>VLOOKUP($A62,'Data Vlaue (Cr)'!$C:$FB,46)*100</f>
        <v>8.66</v>
      </c>
      <c r="J62" s="51">
        <f>VLOOKUP($A62,'Data Vlaue (Cr)'!$C:$FB,59)</f>
        <v>2095</v>
      </c>
      <c r="K62" s="51">
        <f>VLOOKUP($A62,'Data Vlaue (Cr)'!$C:$FB,60)</f>
        <v>1123</v>
      </c>
      <c r="L62" s="51">
        <f>VLOOKUP($A62,'Data Vlaue (Cr)'!$C:$FB,62)*100</f>
        <v>86.59</v>
      </c>
      <c r="M62" s="51">
        <f>VLOOKUP($A62,'Data Vlaue (Cr)'!$C:$FB,63)</f>
        <v>1324</v>
      </c>
      <c r="N62" s="51">
        <f>VLOOKUP($A62,'Data Vlaue (Cr)'!$C:$FB,64)</f>
        <v>704</v>
      </c>
      <c r="O62" s="51">
        <f>VLOOKUP($A62,'Data Vlaue (Cr)'!$C:$FB,66)*100</f>
        <v>88</v>
      </c>
    </row>
    <row r="63" spans="1:15" x14ac:dyDescent="0.25">
      <c r="A63" s="101" t="str">
        <f>'Data Vlaue (Cr)'!C58</f>
        <v>DMART</v>
      </c>
      <c r="B63" s="50">
        <f>VLOOKUP($A63,'Data Vlaue (Cr)'!$C:$FB,8)</f>
        <v>4257.8999999999996</v>
      </c>
      <c r="C63" s="50">
        <f>VLOOKUP($A63,'Data Vlaue (Cr)'!$C:$FB,11)*100</f>
        <v>1.04</v>
      </c>
      <c r="D63" s="50">
        <f>VLOOKUP($A63,'Data Vlaue (Cr)'!$C:$FB,143)</f>
        <v>4522.92</v>
      </c>
      <c r="E63" s="50">
        <f>VLOOKUP($A63,'Data Vlaue (Cr)'!$C:$FB,144)</f>
        <v>4812.18</v>
      </c>
      <c r="F63" s="50">
        <f>VLOOKUP($A63,'Data Vlaue (Cr)'!$C:$FB,146)*100</f>
        <v>-6.01</v>
      </c>
      <c r="G63" s="49">
        <f>VLOOKUP($A63,'Data Vlaue (Cr)'!$C:$FB,43)</f>
        <v>2103</v>
      </c>
      <c r="H63" s="49">
        <f>VLOOKUP($A63,'Data Vlaue (Cr)'!$C:$FB,44)</f>
        <v>2377</v>
      </c>
      <c r="I63" s="49">
        <f>VLOOKUP($A63,'Data Vlaue (Cr)'!$C:$FB,46)*100</f>
        <v>-11.52</v>
      </c>
      <c r="J63" s="51">
        <f>VLOOKUP($A63,'Data Vlaue (Cr)'!$C:$FB,59)</f>
        <v>1747</v>
      </c>
      <c r="K63" s="51">
        <f>VLOOKUP($A63,'Data Vlaue (Cr)'!$C:$FB,60)</f>
        <v>1843</v>
      </c>
      <c r="L63" s="51">
        <f>VLOOKUP($A63,'Data Vlaue (Cr)'!$C:$FB,62)*100</f>
        <v>-5.2</v>
      </c>
      <c r="M63" s="51">
        <f>VLOOKUP($A63,'Data Vlaue (Cr)'!$C:$FB,63)</f>
        <v>621</v>
      </c>
      <c r="N63" s="51">
        <f>VLOOKUP($A63,'Data Vlaue (Cr)'!$C:$FB,64)</f>
        <v>556</v>
      </c>
      <c r="O63" s="51">
        <f>VLOOKUP($A63,'Data Vlaue (Cr)'!$C:$FB,66)*100</f>
        <v>11.84</v>
      </c>
    </row>
    <row r="64" spans="1:15" x14ac:dyDescent="0.25">
      <c r="A64" s="101" t="str">
        <f>'Data Vlaue (Cr)'!C59</f>
        <v>DRREDDY</v>
      </c>
      <c r="B64" s="50">
        <f>VLOOKUP($A64,'Data Vlaue (Cr)'!$C:$FB,8)</f>
        <v>1284.3</v>
      </c>
      <c r="C64" s="50">
        <f>VLOOKUP($A64,'Data Vlaue (Cr)'!$C:$FB,11)*100</f>
        <v>0.05</v>
      </c>
      <c r="D64" s="50">
        <f>VLOOKUP($A64,'Data Vlaue (Cr)'!$C:$FB,143)</f>
        <v>6521.17</v>
      </c>
      <c r="E64" s="50">
        <f>VLOOKUP($A64,'Data Vlaue (Cr)'!$C:$FB,144)</f>
        <v>4493.03</v>
      </c>
      <c r="F64" s="50">
        <f>VLOOKUP($A64,'Data Vlaue (Cr)'!$C:$FB,146)*100</f>
        <v>45.14</v>
      </c>
      <c r="G64" s="49">
        <f>VLOOKUP($A64,'Data Vlaue (Cr)'!$C:$FB,43)</f>
        <v>1593</v>
      </c>
      <c r="H64" s="49">
        <f>VLOOKUP($A64,'Data Vlaue (Cr)'!$C:$FB,44)</f>
        <v>1318</v>
      </c>
      <c r="I64" s="49">
        <f>VLOOKUP($A64,'Data Vlaue (Cr)'!$C:$FB,46)*100</f>
        <v>20.79</v>
      </c>
      <c r="J64" s="51">
        <f>VLOOKUP($A64,'Data Vlaue (Cr)'!$C:$FB,59)</f>
        <v>3073</v>
      </c>
      <c r="K64" s="51">
        <f>VLOOKUP($A64,'Data Vlaue (Cr)'!$C:$FB,60)</f>
        <v>2052</v>
      </c>
      <c r="L64" s="51">
        <f>VLOOKUP($A64,'Data Vlaue (Cr)'!$C:$FB,62)*100</f>
        <v>49.78</v>
      </c>
      <c r="M64" s="51">
        <f>VLOOKUP($A64,'Data Vlaue (Cr)'!$C:$FB,63)</f>
        <v>1803</v>
      </c>
      <c r="N64" s="51">
        <f>VLOOKUP($A64,'Data Vlaue (Cr)'!$C:$FB,64)</f>
        <v>1087</v>
      </c>
      <c r="O64" s="51">
        <f>VLOOKUP($A64,'Data Vlaue (Cr)'!$C:$FB,66)*100</f>
        <v>65.84</v>
      </c>
    </row>
    <row r="65" spans="1:15" x14ac:dyDescent="0.25">
      <c r="A65" s="101" t="str">
        <f>'Data Vlaue (Cr)'!C60</f>
        <v>EICHERMOT</v>
      </c>
      <c r="B65" s="50">
        <f>VLOOKUP($A65,'Data Vlaue (Cr)'!$C:$FB,8)</f>
        <v>6906.5</v>
      </c>
      <c r="C65" s="50">
        <f>VLOOKUP($A65,'Data Vlaue (Cr)'!$C:$FB,11)*100</f>
        <v>0.97</v>
      </c>
      <c r="D65" s="50">
        <f>VLOOKUP($A65,'Data Vlaue (Cr)'!$C:$FB,143)</f>
        <v>4327.07</v>
      </c>
      <c r="E65" s="50">
        <f>VLOOKUP($A65,'Data Vlaue (Cr)'!$C:$FB,144)</f>
        <v>5823.27</v>
      </c>
      <c r="F65" s="50">
        <f>VLOOKUP($A65,'Data Vlaue (Cr)'!$C:$FB,146)*100</f>
        <v>-25.69</v>
      </c>
      <c r="G65" s="49">
        <f>VLOOKUP($A65,'Data Vlaue (Cr)'!$C:$FB,43)</f>
        <v>2002</v>
      </c>
      <c r="H65" s="49">
        <f>VLOOKUP($A65,'Data Vlaue (Cr)'!$C:$FB,44)</f>
        <v>1601</v>
      </c>
      <c r="I65" s="49">
        <f>VLOOKUP($A65,'Data Vlaue (Cr)'!$C:$FB,46)*100</f>
        <v>25</v>
      </c>
      <c r="J65" s="51">
        <f>VLOOKUP($A65,'Data Vlaue (Cr)'!$C:$FB,59)</f>
        <v>1580</v>
      </c>
      <c r="K65" s="51">
        <f>VLOOKUP($A65,'Data Vlaue (Cr)'!$C:$FB,60)</f>
        <v>2488</v>
      </c>
      <c r="L65" s="51">
        <f>VLOOKUP($A65,'Data Vlaue (Cr)'!$C:$FB,62)*100</f>
        <v>-36.480000000000004</v>
      </c>
      <c r="M65" s="51">
        <f>VLOOKUP($A65,'Data Vlaue (Cr)'!$C:$FB,63)</f>
        <v>711</v>
      </c>
      <c r="N65" s="51">
        <f>VLOOKUP($A65,'Data Vlaue (Cr)'!$C:$FB,64)</f>
        <v>1712</v>
      </c>
      <c r="O65" s="51">
        <f>VLOOKUP($A65,'Data Vlaue (Cr)'!$C:$FB,66)*100</f>
        <v>-58.46</v>
      </c>
    </row>
    <row r="66" spans="1:15" x14ac:dyDescent="0.25">
      <c r="A66" s="101" t="str">
        <f>'Data Vlaue (Cr)'!C61</f>
        <v>ETERNAL</v>
      </c>
      <c r="B66" s="50">
        <f>VLOOKUP($A66,'Data Vlaue (Cr)'!$C:$FB,8)</f>
        <v>333.7</v>
      </c>
      <c r="C66" s="50">
        <f>VLOOKUP($A66,'Data Vlaue (Cr)'!$C:$FB,11)*100</f>
        <v>2.17</v>
      </c>
      <c r="D66" s="50">
        <f>VLOOKUP($A66,'Data Vlaue (Cr)'!$C:$FB,143)</f>
        <v>10183.629999999999</v>
      </c>
      <c r="E66" s="50">
        <f>VLOOKUP($A66,'Data Vlaue (Cr)'!$C:$FB,144)</f>
        <v>12075.03</v>
      </c>
      <c r="F66" s="50">
        <f>VLOOKUP($A66,'Data Vlaue (Cr)'!$C:$FB,146)*100</f>
        <v>-15.659999999999998</v>
      </c>
      <c r="G66" s="49">
        <f>VLOOKUP($A66,'Data Vlaue (Cr)'!$C:$FB,43)</f>
        <v>3810</v>
      </c>
      <c r="H66" s="49">
        <f>VLOOKUP($A66,'Data Vlaue (Cr)'!$C:$FB,44)</f>
        <v>6170</v>
      </c>
      <c r="I66" s="49">
        <f>VLOOKUP($A66,'Data Vlaue (Cr)'!$C:$FB,46)*100</f>
        <v>-38.25</v>
      </c>
      <c r="J66" s="51">
        <f>VLOOKUP($A66,'Data Vlaue (Cr)'!$C:$FB,59)</f>
        <v>4287</v>
      </c>
      <c r="K66" s="51">
        <f>VLOOKUP($A66,'Data Vlaue (Cr)'!$C:$FB,60)</f>
        <v>3945</v>
      </c>
      <c r="L66" s="51">
        <f>VLOOKUP($A66,'Data Vlaue (Cr)'!$C:$FB,62)*100</f>
        <v>8.6499999999999986</v>
      </c>
      <c r="M66" s="51">
        <f>VLOOKUP($A66,'Data Vlaue (Cr)'!$C:$FB,63)</f>
        <v>2047</v>
      </c>
      <c r="N66" s="51">
        <f>VLOOKUP($A66,'Data Vlaue (Cr)'!$C:$FB,64)</f>
        <v>1998</v>
      </c>
      <c r="O66" s="51">
        <f>VLOOKUP($A66,'Data Vlaue (Cr)'!$C:$FB,66)*100</f>
        <v>2.46</v>
      </c>
    </row>
    <row r="67" spans="1:15" x14ac:dyDescent="0.25">
      <c r="A67" s="101" t="str">
        <f>'Data Vlaue (Cr)'!C62</f>
        <v>EXIDEIND</v>
      </c>
      <c r="B67" s="50">
        <f>VLOOKUP($A67,'Data Vlaue (Cr)'!$C:$FB,8)</f>
        <v>379.95</v>
      </c>
      <c r="C67" s="50">
        <f>VLOOKUP($A67,'Data Vlaue (Cr)'!$C:$FB,11)*100</f>
        <v>-2.25</v>
      </c>
      <c r="D67" s="50">
        <f>VLOOKUP($A67,'Data Vlaue (Cr)'!$C:$FB,143)</f>
        <v>3064.74</v>
      </c>
      <c r="E67" s="50">
        <f>VLOOKUP($A67,'Data Vlaue (Cr)'!$C:$FB,144)</f>
        <v>2152.9699999999998</v>
      </c>
      <c r="F67" s="50">
        <f>VLOOKUP($A67,'Data Vlaue (Cr)'!$C:$FB,146)*100</f>
        <v>42.35</v>
      </c>
      <c r="G67" s="49">
        <f>VLOOKUP($A67,'Data Vlaue (Cr)'!$C:$FB,43)</f>
        <v>1089</v>
      </c>
      <c r="H67" s="49">
        <f>VLOOKUP($A67,'Data Vlaue (Cr)'!$C:$FB,44)</f>
        <v>807</v>
      </c>
      <c r="I67" s="49">
        <f>VLOOKUP($A67,'Data Vlaue (Cr)'!$C:$FB,46)*100</f>
        <v>34.910000000000004</v>
      </c>
      <c r="J67" s="51">
        <f>VLOOKUP($A67,'Data Vlaue (Cr)'!$C:$FB,59)</f>
        <v>1059</v>
      </c>
      <c r="K67" s="51">
        <f>VLOOKUP($A67,'Data Vlaue (Cr)'!$C:$FB,60)</f>
        <v>747</v>
      </c>
      <c r="L67" s="51">
        <f>VLOOKUP($A67,'Data Vlaue (Cr)'!$C:$FB,62)*100</f>
        <v>41.85</v>
      </c>
      <c r="M67" s="51">
        <f>VLOOKUP($A67,'Data Vlaue (Cr)'!$C:$FB,63)</f>
        <v>821</v>
      </c>
      <c r="N67" s="51">
        <f>VLOOKUP($A67,'Data Vlaue (Cr)'!$C:$FB,64)</f>
        <v>514</v>
      </c>
      <c r="O67" s="51">
        <f>VLOOKUP($A67,'Data Vlaue (Cr)'!$C:$FB,66)*100</f>
        <v>59.86</v>
      </c>
    </row>
    <row r="68" spans="1:15" x14ac:dyDescent="0.25">
      <c r="A68" s="101" t="str">
        <f>'Data Vlaue (Cr)'!C63</f>
        <v>FEDERALBNK</v>
      </c>
      <c r="B68" s="50">
        <f>VLOOKUP($A68,'Data Vlaue (Cr)'!$C:$FB,8)</f>
        <v>234.04</v>
      </c>
      <c r="C68" s="50">
        <f>VLOOKUP($A68,'Data Vlaue (Cr)'!$C:$FB,11)*100</f>
        <v>2.92</v>
      </c>
      <c r="D68" s="50">
        <f>VLOOKUP($A68,'Data Vlaue (Cr)'!$C:$FB,143)</f>
        <v>10486.24</v>
      </c>
      <c r="E68" s="50">
        <f>VLOOKUP($A68,'Data Vlaue (Cr)'!$C:$FB,144)</f>
        <v>11845.1</v>
      </c>
      <c r="F68" s="50">
        <f>VLOOKUP($A68,'Data Vlaue (Cr)'!$C:$FB,146)*100</f>
        <v>-11.469999999999999</v>
      </c>
      <c r="G68" s="49">
        <f>VLOOKUP($A68,'Data Vlaue (Cr)'!$C:$FB,43)</f>
        <v>2262</v>
      </c>
      <c r="H68" s="49">
        <f>VLOOKUP($A68,'Data Vlaue (Cr)'!$C:$FB,44)</f>
        <v>3206</v>
      </c>
      <c r="I68" s="49">
        <f>VLOOKUP($A68,'Data Vlaue (Cr)'!$C:$FB,46)*100</f>
        <v>-29.470000000000002</v>
      </c>
      <c r="J68" s="51">
        <f>VLOOKUP($A68,'Data Vlaue (Cr)'!$C:$FB,59)</f>
        <v>5366</v>
      </c>
      <c r="K68" s="51">
        <f>VLOOKUP($A68,'Data Vlaue (Cr)'!$C:$FB,60)</f>
        <v>5609</v>
      </c>
      <c r="L68" s="51">
        <f>VLOOKUP($A68,'Data Vlaue (Cr)'!$C:$FB,62)*100</f>
        <v>-4.34</v>
      </c>
      <c r="M68" s="51">
        <f>VLOOKUP($A68,'Data Vlaue (Cr)'!$C:$FB,63)</f>
        <v>2812</v>
      </c>
      <c r="N68" s="51">
        <f>VLOOKUP($A68,'Data Vlaue (Cr)'!$C:$FB,64)</f>
        <v>3131</v>
      </c>
      <c r="O68" s="51">
        <f>VLOOKUP($A68,'Data Vlaue (Cr)'!$C:$FB,66)*100</f>
        <v>-10.18</v>
      </c>
    </row>
    <row r="69" spans="1:15" x14ac:dyDescent="0.25">
      <c r="A69" s="101" t="str">
        <f>'Data Vlaue (Cr)'!C64</f>
        <v>FINNIFTY</v>
      </c>
      <c r="B69" s="50">
        <f>VLOOKUP($A69,'Data Vlaue (Cr)'!$C:$FB,8)</f>
        <v>27519</v>
      </c>
      <c r="C69" s="50">
        <f>VLOOKUP($A69,'Data Vlaue (Cr)'!$C:$FB,11)*100</f>
        <v>0.44999999999999996</v>
      </c>
      <c r="D69" s="50">
        <f>VLOOKUP($A69,'Data Vlaue (Cr)'!$C:$FB,143)</f>
        <v>131949.54</v>
      </c>
      <c r="E69" s="50">
        <f>VLOOKUP($A69,'Data Vlaue (Cr)'!$C:$FB,144)</f>
        <v>79772.570000000007</v>
      </c>
      <c r="F69" s="50">
        <f>VLOOKUP($A69,'Data Vlaue (Cr)'!$C:$FB,146)*100</f>
        <v>65.41</v>
      </c>
      <c r="G69" s="49">
        <f>VLOOKUP($A69,'Data Vlaue (Cr)'!$C:$FB,43)</f>
        <v>153</v>
      </c>
      <c r="H69" s="49">
        <f>VLOOKUP($A69,'Data Vlaue (Cr)'!$C:$FB,44)</f>
        <v>99</v>
      </c>
      <c r="I69" s="49">
        <f>VLOOKUP($A69,'Data Vlaue (Cr)'!$C:$FB,46)*100</f>
        <v>55.45</v>
      </c>
      <c r="J69" s="51">
        <f>VLOOKUP($A69,'Data Vlaue (Cr)'!$C:$FB,59)</f>
        <v>64531</v>
      </c>
      <c r="K69" s="51">
        <f>VLOOKUP($A69,'Data Vlaue (Cr)'!$C:$FB,60)</f>
        <v>39669</v>
      </c>
      <c r="L69" s="51">
        <f>VLOOKUP($A69,'Data Vlaue (Cr)'!$C:$FB,62)*100</f>
        <v>62.67</v>
      </c>
      <c r="M69" s="51">
        <f>VLOOKUP($A69,'Data Vlaue (Cr)'!$C:$FB,63)</f>
        <v>67426</v>
      </c>
      <c r="N69" s="51">
        <f>VLOOKUP($A69,'Data Vlaue (Cr)'!$C:$FB,64)</f>
        <v>40194</v>
      </c>
      <c r="O69" s="51">
        <f>VLOOKUP($A69,'Data Vlaue (Cr)'!$C:$FB,66)*100</f>
        <v>67.75</v>
      </c>
    </row>
    <row r="70" spans="1:15" x14ac:dyDescent="0.25">
      <c r="A70" s="101" t="str">
        <f>'Data Vlaue (Cr)'!C65</f>
        <v>FORTIS</v>
      </c>
      <c r="B70" s="50">
        <f>VLOOKUP($A70,'Data Vlaue (Cr)'!$C:$FB,8)</f>
        <v>1052.55</v>
      </c>
      <c r="C70" s="50">
        <f>VLOOKUP($A70,'Data Vlaue (Cr)'!$C:$FB,11)*100</f>
        <v>1.47</v>
      </c>
      <c r="D70" s="50">
        <f>VLOOKUP($A70,'Data Vlaue (Cr)'!$C:$FB,143)</f>
        <v>1722.15</v>
      </c>
      <c r="E70" s="50">
        <f>VLOOKUP($A70,'Data Vlaue (Cr)'!$C:$FB,144)</f>
        <v>2200.6799999999998</v>
      </c>
      <c r="F70" s="50">
        <f>VLOOKUP($A70,'Data Vlaue (Cr)'!$C:$FB,146)*100</f>
        <v>-21.740000000000002</v>
      </c>
      <c r="G70" s="49">
        <f>VLOOKUP($A70,'Data Vlaue (Cr)'!$C:$FB,43)</f>
        <v>721</v>
      </c>
      <c r="H70" s="49">
        <f>VLOOKUP($A70,'Data Vlaue (Cr)'!$C:$FB,44)</f>
        <v>910</v>
      </c>
      <c r="I70" s="49">
        <f>VLOOKUP($A70,'Data Vlaue (Cr)'!$C:$FB,46)*100</f>
        <v>-20.73</v>
      </c>
      <c r="J70" s="51">
        <f>VLOOKUP($A70,'Data Vlaue (Cr)'!$C:$FB,59)</f>
        <v>585</v>
      </c>
      <c r="K70" s="51">
        <f>VLOOKUP($A70,'Data Vlaue (Cr)'!$C:$FB,60)</f>
        <v>792</v>
      </c>
      <c r="L70" s="51">
        <f>VLOOKUP($A70,'Data Vlaue (Cr)'!$C:$FB,62)*100</f>
        <v>-26.13</v>
      </c>
      <c r="M70" s="51">
        <f>VLOOKUP($A70,'Data Vlaue (Cr)'!$C:$FB,63)</f>
        <v>413</v>
      </c>
      <c r="N70" s="51">
        <f>VLOOKUP($A70,'Data Vlaue (Cr)'!$C:$FB,64)</f>
        <v>475</v>
      </c>
      <c r="O70" s="51">
        <f>VLOOKUP($A70,'Data Vlaue (Cr)'!$C:$FB,66)*100</f>
        <v>-13.03</v>
      </c>
    </row>
    <row r="71" spans="1:15" x14ac:dyDescent="0.25">
      <c r="A71" s="101" t="str">
        <f>'Data Vlaue (Cr)'!C66</f>
        <v>GAIL</v>
      </c>
      <c r="B71" s="50">
        <f>VLOOKUP($A71,'Data Vlaue (Cr)'!$C:$FB,8)</f>
        <v>180.17</v>
      </c>
      <c r="C71" s="50">
        <f>VLOOKUP($A71,'Data Vlaue (Cr)'!$C:$FB,11)*100</f>
        <v>-0.47000000000000003</v>
      </c>
      <c r="D71" s="50">
        <f>VLOOKUP($A71,'Data Vlaue (Cr)'!$C:$FB,143)</f>
        <v>1767.47</v>
      </c>
      <c r="E71" s="50">
        <f>VLOOKUP($A71,'Data Vlaue (Cr)'!$C:$FB,144)</f>
        <v>2660.24</v>
      </c>
      <c r="F71" s="50">
        <f>VLOOKUP($A71,'Data Vlaue (Cr)'!$C:$FB,146)*100</f>
        <v>-33.56</v>
      </c>
      <c r="G71" s="49">
        <f>VLOOKUP($A71,'Data Vlaue (Cr)'!$C:$FB,43)</f>
        <v>959</v>
      </c>
      <c r="H71" s="49">
        <f>VLOOKUP($A71,'Data Vlaue (Cr)'!$C:$FB,44)</f>
        <v>1355</v>
      </c>
      <c r="I71" s="49">
        <f>VLOOKUP($A71,'Data Vlaue (Cr)'!$C:$FB,46)*100</f>
        <v>-29.220000000000002</v>
      </c>
      <c r="J71" s="51">
        <f>VLOOKUP($A71,'Data Vlaue (Cr)'!$C:$FB,59)</f>
        <v>541</v>
      </c>
      <c r="K71" s="51">
        <f>VLOOKUP($A71,'Data Vlaue (Cr)'!$C:$FB,60)</f>
        <v>834</v>
      </c>
      <c r="L71" s="51">
        <f>VLOOKUP($A71,'Data Vlaue (Cr)'!$C:$FB,62)*100</f>
        <v>-35.199999999999996</v>
      </c>
      <c r="M71" s="51">
        <f>VLOOKUP($A71,'Data Vlaue (Cr)'!$C:$FB,63)</f>
        <v>236</v>
      </c>
      <c r="N71" s="51">
        <f>VLOOKUP($A71,'Data Vlaue (Cr)'!$C:$FB,64)</f>
        <v>410</v>
      </c>
      <c r="O71" s="51">
        <f>VLOOKUP($A71,'Data Vlaue (Cr)'!$C:$FB,66)*100</f>
        <v>-42.620000000000005</v>
      </c>
    </row>
    <row r="72" spans="1:15" x14ac:dyDescent="0.25">
      <c r="A72" s="101" t="str">
        <f>'Data Vlaue (Cr)'!C67</f>
        <v>GLENMARK</v>
      </c>
      <c r="B72" s="50">
        <f>VLOOKUP($A72,'Data Vlaue (Cr)'!$C:$FB,8)</f>
        <v>1812.7</v>
      </c>
      <c r="C72" s="50">
        <f>VLOOKUP($A72,'Data Vlaue (Cr)'!$C:$FB,11)*100</f>
        <v>-0.33999999999999997</v>
      </c>
      <c r="D72" s="50">
        <f>VLOOKUP($A72,'Data Vlaue (Cr)'!$C:$FB,143)</f>
        <v>2376.14</v>
      </c>
      <c r="E72" s="50">
        <f>VLOOKUP($A72,'Data Vlaue (Cr)'!$C:$FB,144)</f>
        <v>2406.71</v>
      </c>
      <c r="F72" s="50">
        <f>VLOOKUP($A72,'Data Vlaue (Cr)'!$C:$FB,146)*100</f>
        <v>-1.27</v>
      </c>
      <c r="G72" s="49">
        <f>VLOOKUP($A72,'Data Vlaue (Cr)'!$C:$FB,43)</f>
        <v>1132</v>
      </c>
      <c r="H72" s="49">
        <f>VLOOKUP($A72,'Data Vlaue (Cr)'!$C:$FB,44)</f>
        <v>1303</v>
      </c>
      <c r="I72" s="49">
        <f>VLOOKUP($A72,'Data Vlaue (Cr)'!$C:$FB,46)*100</f>
        <v>-13.100000000000001</v>
      </c>
      <c r="J72" s="51">
        <f>VLOOKUP($A72,'Data Vlaue (Cr)'!$C:$FB,59)</f>
        <v>943</v>
      </c>
      <c r="K72" s="51">
        <f>VLOOKUP($A72,'Data Vlaue (Cr)'!$C:$FB,60)</f>
        <v>743</v>
      </c>
      <c r="L72" s="51">
        <f>VLOOKUP($A72,'Data Vlaue (Cr)'!$C:$FB,62)*100</f>
        <v>26.790000000000003</v>
      </c>
      <c r="M72" s="51">
        <f>VLOOKUP($A72,'Data Vlaue (Cr)'!$C:$FB,63)</f>
        <v>249</v>
      </c>
      <c r="N72" s="51">
        <f>VLOOKUP($A72,'Data Vlaue (Cr)'!$C:$FB,64)</f>
        <v>291</v>
      </c>
      <c r="O72" s="51">
        <f>VLOOKUP($A72,'Data Vlaue (Cr)'!$C:$FB,66)*100</f>
        <v>-14.45</v>
      </c>
    </row>
    <row r="73" spans="1:15" x14ac:dyDescent="0.25">
      <c r="A73" s="101" t="str">
        <f>'Data Vlaue (Cr)'!C68</f>
        <v>GMRAIRPORT</v>
      </c>
      <c r="B73" s="50">
        <f>VLOOKUP($A73,'Data Vlaue (Cr)'!$C:$FB,8)</f>
        <v>92.34</v>
      </c>
      <c r="C73" s="50">
        <f>VLOOKUP($A73,'Data Vlaue (Cr)'!$C:$FB,11)*100</f>
        <v>-0.91999999999999993</v>
      </c>
      <c r="D73" s="50">
        <f>VLOOKUP($A73,'Data Vlaue (Cr)'!$C:$FB,143)</f>
        <v>1831.01</v>
      </c>
      <c r="E73" s="50">
        <f>VLOOKUP($A73,'Data Vlaue (Cr)'!$C:$FB,144)</f>
        <v>3390.53</v>
      </c>
      <c r="F73" s="50">
        <f>VLOOKUP($A73,'Data Vlaue (Cr)'!$C:$FB,146)*100</f>
        <v>-46</v>
      </c>
      <c r="G73" s="49">
        <f>VLOOKUP($A73,'Data Vlaue (Cr)'!$C:$FB,43)</f>
        <v>1030</v>
      </c>
      <c r="H73" s="49">
        <f>VLOOKUP($A73,'Data Vlaue (Cr)'!$C:$FB,44)</f>
        <v>1471</v>
      </c>
      <c r="I73" s="49">
        <f>VLOOKUP($A73,'Data Vlaue (Cr)'!$C:$FB,46)*100</f>
        <v>-29.970000000000002</v>
      </c>
      <c r="J73" s="51">
        <f>VLOOKUP($A73,'Data Vlaue (Cr)'!$C:$FB,59)</f>
        <v>546</v>
      </c>
      <c r="K73" s="51">
        <f>VLOOKUP($A73,'Data Vlaue (Cr)'!$C:$FB,60)</f>
        <v>1358</v>
      </c>
      <c r="L73" s="51">
        <f>VLOOKUP($A73,'Data Vlaue (Cr)'!$C:$FB,62)*100</f>
        <v>-59.79</v>
      </c>
      <c r="M73" s="51">
        <f>VLOOKUP($A73,'Data Vlaue (Cr)'!$C:$FB,63)</f>
        <v>229</v>
      </c>
      <c r="N73" s="51">
        <f>VLOOKUP($A73,'Data Vlaue (Cr)'!$C:$FB,64)</f>
        <v>484</v>
      </c>
      <c r="O73" s="51">
        <f>VLOOKUP($A73,'Data Vlaue (Cr)'!$C:$FB,66)*100</f>
        <v>-52.66</v>
      </c>
    </row>
    <row r="74" spans="1:15" x14ac:dyDescent="0.25">
      <c r="A74" s="101" t="str">
        <f>'Data Vlaue (Cr)'!C69</f>
        <v>GODREJCP</v>
      </c>
      <c r="B74" s="50">
        <f>VLOOKUP($A74,'Data Vlaue (Cr)'!$C:$FB,8)</f>
        <v>1124.7</v>
      </c>
      <c r="C74" s="50">
        <f>VLOOKUP($A74,'Data Vlaue (Cr)'!$C:$FB,11)*100</f>
        <v>-0.5</v>
      </c>
      <c r="D74" s="50">
        <f>VLOOKUP($A74,'Data Vlaue (Cr)'!$C:$FB,143)</f>
        <v>1351.65</v>
      </c>
      <c r="E74" s="50">
        <f>VLOOKUP($A74,'Data Vlaue (Cr)'!$C:$FB,144)</f>
        <v>1653.13</v>
      </c>
      <c r="F74" s="50">
        <f>VLOOKUP($A74,'Data Vlaue (Cr)'!$C:$FB,146)*100</f>
        <v>-18.240000000000002</v>
      </c>
      <c r="G74" s="49">
        <f>VLOOKUP($A74,'Data Vlaue (Cr)'!$C:$FB,43)</f>
        <v>921</v>
      </c>
      <c r="H74" s="49">
        <f>VLOOKUP($A74,'Data Vlaue (Cr)'!$C:$FB,44)</f>
        <v>1058</v>
      </c>
      <c r="I74" s="49">
        <f>VLOOKUP($A74,'Data Vlaue (Cr)'!$C:$FB,46)*100</f>
        <v>-12.950000000000001</v>
      </c>
      <c r="J74" s="51">
        <f>VLOOKUP($A74,'Data Vlaue (Cr)'!$C:$FB,59)</f>
        <v>281</v>
      </c>
      <c r="K74" s="51">
        <f>VLOOKUP($A74,'Data Vlaue (Cr)'!$C:$FB,60)</f>
        <v>374</v>
      </c>
      <c r="L74" s="51">
        <f>VLOOKUP($A74,'Data Vlaue (Cr)'!$C:$FB,62)*100</f>
        <v>-25.09</v>
      </c>
      <c r="M74" s="51">
        <f>VLOOKUP($A74,'Data Vlaue (Cr)'!$C:$FB,63)</f>
        <v>139</v>
      </c>
      <c r="N74" s="51">
        <f>VLOOKUP($A74,'Data Vlaue (Cr)'!$C:$FB,64)</f>
        <v>213</v>
      </c>
      <c r="O74" s="51">
        <f>VLOOKUP($A74,'Data Vlaue (Cr)'!$C:$FB,66)*100</f>
        <v>-34.61</v>
      </c>
    </row>
    <row r="75" spans="1:15" x14ac:dyDescent="0.25">
      <c r="A75" s="101" t="str">
        <f>'Data Vlaue (Cr)'!C70</f>
        <v>GODREJPROP</v>
      </c>
      <c r="B75" s="50">
        <f>VLOOKUP($A75,'Data Vlaue (Cr)'!$C:$FB,8)</f>
        <v>2320.3000000000002</v>
      </c>
      <c r="C75" s="50">
        <f>VLOOKUP($A75,'Data Vlaue (Cr)'!$C:$FB,11)*100</f>
        <v>1.4200000000000002</v>
      </c>
      <c r="D75" s="50">
        <f>VLOOKUP($A75,'Data Vlaue (Cr)'!$C:$FB,143)</f>
        <v>3936.34</v>
      </c>
      <c r="E75" s="50">
        <f>VLOOKUP($A75,'Data Vlaue (Cr)'!$C:$FB,144)</f>
        <v>3300.9</v>
      </c>
      <c r="F75" s="50">
        <f>VLOOKUP($A75,'Data Vlaue (Cr)'!$C:$FB,146)*100</f>
        <v>19.25</v>
      </c>
      <c r="G75" s="49">
        <f>VLOOKUP($A75,'Data Vlaue (Cr)'!$C:$FB,43)</f>
        <v>1237</v>
      </c>
      <c r="H75" s="49">
        <f>VLOOKUP($A75,'Data Vlaue (Cr)'!$C:$FB,44)</f>
        <v>1745</v>
      </c>
      <c r="I75" s="49">
        <f>VLOOKUP($A75,'Data Vlaue (Cr)'!$C:$FB,46)*100</f>
        <v>-29.13</v>
      </c>
      <c r="J75" s="51">
        <f>VLOOKUP($A75,'Data Vlaue (Cr)'!$C:$FB,59)</f>
        <v>1736</v>
      </c>
      <c r="K75" s="51">
        <f>VLOOKUP($A75,'Data Vlaue (Cr)'!$C:$FB,60)</f>
        <v>876</v>
      </c>
      <c r="L75" s="51">
        <f>VLOOKUP($A75,'Data Vlaue (Cr)'!$C:$FB,62)*100</f>
        <v>98.17</v>
      </c>
      <c r="M75" s="51">
        <f>VLOOKUP($A75,'Data Vlaue (Cr)'!$C:$FB,63)</f>
        <v>929</v>
      </c>
      <c r="N75" s="51">
        <f>VLOOKUP($A75,'Data Vlaue (Cr)'!$C:$FB,64)</f>
        <v>712</v>
      </c>
      <c r="O75" s="51">
        <f>VLOOKUP($A75,'Data Vlaue (Cr)'!$C:$FB,66)*100</f>
        <v>30.42</v>
      </c>
    </row>
    <row r="76" spans="1:15" x14ac:dyDescent="0.25">
      <c r="A76" s="101" t="str">
        <f>'Data Vlaue (Cr)'!C71</f>
        <v>GRASIM</v>
      </c>
      <c r="B76" s="50">
        <f>VLOOKUP($A76,'Data Vlaue (Cr)'!$C:$FB,8)</f>
        <v>2923.9</v>
      </c>
      <c r="C76" s="50">
        <f>VLOOKUP($A76,'Data Vlaue (Cr)'!$C:$FB,11)*100</f>
        <v>2.91</v>
      </c>
      <c r="D76" s="50">
        <f>VLOOKUP($A76,'Data Vlaue (Cr)'!$C:$FB,143)</f>
        <v>5380.12</v>
      </c>
      <c r="E76" s="50">
        <f>VLOOKUP($A76,'Data Vlaue (Cr)'!$C:$FB,144)</f>
        <v>4832.72</v>
      </c>
      <c r="F76" s="50">
        <f>VLOOKUP($A76,'Data Vlaue (Cr)'!$C:$FB,146)*100</f>
        <v>11.33</v>
      </c>
      <c r="G76" s="49">
        <f>VLOOKUP($A76,'Data Vlaue (Cr)'!$C:$FB,43)</f>
        <v>2191</v>
      </c>
      <c r="H76" s="49">
        <f>VLOOKUP($A76,'Data Vlaue (Cr)'!$C:$FB,44)</f>
        <v>3632</v>
      </c>
      <c r="I76" s="49">
        <f>VLOOKUP($A76,'Data Vlaue (Cr)'!$C:$FB,46)*100</f>
        <v>-39.68</v>
      </c>
      <c r="J76" s="51">
        <f>VLOOKUP($A76,'Data Vlaue (Cr)'!$C:$FB,59)</f>
        <v>2337</v>
      </c>
      <c r="K76" s="51">
        <f>VLOOKUP($A76,'Data Vlaue (Cr)'!$C:$FB,60)</f>
        <v>837</v>
      </c>
      <c r="L76" s="51">
        <f>VLOOKUP($A76,'Data Vlaue (Cr)'!$C:$FB,62)*100</f>
        <v>179.22</v>
      </c>
      <c r="M76" s="51">
        <f>VLOOKUP($A76,'Data Vlaue (Cr)'!$C:$FB,63)</f>
        <v>837</v>
      </c>
      <c r="N76" s="51">
        <f>VLOOKUP($A76,'Data Vlaue (Cr)'!$C:$FB,64)</f>
        <v>458</v>
      </c>
      <c r="O76" s="51">
        <f>VLOOKUP($A76,'Data Vlaue (Cr)'!$C:$FB,66)*100</f>
        <v>82.56</v>
      </c>
    </row>
    <row r="77" spans="1:15" x14ac:dyDescent="0.25">
      <c r="A77" s="101" t="str">
        <f>'Data Vlaue (Cr)'!C72</f>
        <v>HAL</v>
      </c>
      <c r="B77" s="50">
        <f>VLOOKUP($A77,'Data Vlaue (Cr)'!$C:$FB,8)</f>
        <v>4756.8</v>
      </c>
      <c r="C77" s="50">
        <f>VLOOKUP($A77,'Data Vlaue (Cr)'!$C:$FB,11)*100</f>
        <v>-1.1900000000000002</v>
      </c>
      <c r="D77" s="50">
        <f>VLOOKUP($A77,'Data Vlaue (Cr)'!$C:$FB,143)</f>
        <v>9680.11</v>
      </c>
      <c r="E77" s="50">
        <f>VLOOKUP($A77,'Data Vlaue (Cr)'!$C:$FB,144)</f>
        <v>10601.68</v>
      </c>
      <c r="F77" s="50">
        <f>VLOOKUP($A77,'Data Vlaue (Cr)'!$C:$FB,146)*100</f>
        <v>-8.6900000000000013</v>
      </c>
      <c r="G77" s="49">
        <f>VLOOKUP($A77,'Data Vlaue (Cr)'!$C:$FB,43)</f>
        <v>2991</v>
      </c>
      <c r="H77" s="49">
        <f>VLOOKUP($A77,'Data Vlaue (Cr)'!$C:$FB,44)</f>
        <v>3200</v>
      </c>
      <c r="I77" s="49">
        <f>VLOOKUP($A77,'Data Vlaue (Cr)'!$C:$FB,46)*100</f>
        <v>-6.54</v>
      </c>
      <c r="J77" s="51">
        <f>VLOOKUP($A77,'Data Vlaue (Cr)'!$C:$FB,59)</f>
        <v>4580</v>
      </c>
      <c r="K77" s="51">
        <f>VLOOKUP($A77,'Data Vlaue (Cr)'!$C:$FB,60)</f>
        <v>5314</v>
      </c>
      <c r="L77" s="51">
        <f>VLOOKUP($A77,'Data Vlaue (Cr)'!$C:$FB,62)*100</f>
        <v>-13.8</v>
      </c>
      <c r="M77" s="51">
        <f>VLOOKUP($A77,'Data Vlaue (Cr)'!$C:$FB,63)</f>
        <v>1884</v>
      </c>
      <c r="N77" s="51">
        <f>VLOOKUP($A77,'Data Vlaue (Cr)'!$C:$FB,64)</f>
        <v>1756</v>
      </c>
      <c r="O77" s="51">
        <f>VLOOKUP($A77,'Data Vlaue (Cr)'!$C:$FB,66)*100</f>
        <v>7.2499999999999991</v>
      </c>
    </row>
    <row r="78" spans="1:15" x14ac:dyDescent="0.25">
      <c r="A78" s="101" t="str">
        <f>'Data Vlaue (Cr)'!C73</f>
        <v>HAVELLS</v>
      </c>
      <c r="B78" s="50">
        <f>VLOOKUP($A78,'Data Vlaue (Cr)'!$C:$FB,8)</f>
        <v>1492.6</v>
      </c>
      <c r="C78" s="50">
        <f>VLOOKUP($A78,'Data Vlaue (Cr)'!$C:$FB,11)*100</f>
        <v>-0.15</v>
      </c>
      <c r="D78" s="50">
        <f>VLOOKUP($A78,'Data Vlaue (Cr)'!$C:$FB,143)</f>
        <v>1657.84</v>
      </c>
      <c r="E78" s="50">
        <f>VLOOKUP($A78,'Data Vlaue (Cr)'!$C:$FB,144)</f>
        <v>2335.36</v>
      </c>
      <c r="F78" s="50">
        <f>VLOOKUP($A78,'Data Vlaue (Cr)'!$C:$FB,146)*100</f>
        <v>-29.01</v>
      </c>
      <c r="G78" s="49">
        <f>VLOOKUP($A78,'Data Vlaue (Cr)'!$C:$FB,43)</f>
        <v>781</v>
      </c>
      <c r="H78" s="49">
        <f>VLOOKUP($A78,'Data Vlaue (Cr)'!$C:$FB,44)</f>
        <v>1211</v>
      </c>
      <c r="I78" s="49">
        <f>VLOOKUP($A78,'Data Vlaue (Cr)'!$C:$FB,46)*100</f>
        <v>-35.5</v>
      </c>
      <c r="J78" s="51">
        <f>VLOOKUP($A78,'Data Vlaue (Cr)'!$C:$FB,59)</f>
        <v>477</v>
      </c>
      <c r="K78" s="51">
        <f>VLOOKUP($A78,'Data Vlaue (Cr)'!$C:$FB,60)</f>
        <v>738</v>
      </c>
      <c r="L78" s="51">
        <f>VLOOKUP($A78,'Data Vlaue (Cr)'!$C:$FB,62)*100</f>
        <v>-35.4</v>
      </c>
      <c r="M78" s="51">
        <f>VLOOKUP($A78,'Data Vlaue (Cr)'!$C:$FB,63)</f>
        <v>389</v>
      </c>
      <c r="N78" s="51">
        <f>VLOOKUP($A78,'Data Vlaue (Cr)'!$C:$FB,64)</f>
        <v>352</v>
      </c>
      <c r="O78" s="51">
        <f>VLOOKUP($A78,'Data Vlaue (Cr)'!$C:$FB,66)*100</f>
        <v>10.69</v>
      </c>
    </row>
    <row r="79" spans="1:15" x14ac:dyDescent="0.25">
      <c r="A79" s="101" t="str">
        <f>'Data Vlaue (Cr)'!C74</f>
        <v>HCLTECH</v>
      </c>
      <c r="B79" s="50">
        <f>VLOOKUP($A79,'Data Vlaue (Cr)'!$C:$FB,8)</f>
        <v>1533.5</v>
      </c>
      <c r="C79" s="50">
        <f>VLOOKUP($A79,'Data Vlaue (Cr)'!$C:$FB,11)*100</f>
        <v>0.64</v>
      </c>
      <c r="D79" s="50">
        <f>VLOOKUP($A79,'Data Vlaue (Cr)'!$C:$FB,143)</f>
        <v>4302.7299999999996</v>
      </c>
      <c r="E79" s="50">
        <f>VLOOKUP($A79,'Data Vlaue (Cr)'!$C:$FB,144)</f>
        <v>4961.1499999999996</v>
      </c>
      <c r="F79" s="50">
        <f>VLOOKUP($A79,'Data Vlaue (Cr)'!$C:$FB,146)*100</f>
        <v>-13.270000000000001</v>
      </c>
      <c r="G79" s="49">
        <f>VLOOKUP($A79,'Data Vlaue (Cr)'!$C:$FB,43)</f>
        <v>2041</v>
      </c>
      <c r="H79" s="49">
        <f>VLOOKUP($A79,'Data Vlaue (Cr)'!$C:$FB,44)</f>
        <v>2161</v>
      </c>
      <c r="I79" s="49">
        <f>VLOOKUP($A79,'Data Vlaue (Cr)'!$C:$FB,46)*100</f>
        <v>-5.53</v>
      </c>
      <c r="J79" s="51">
        <f>VLOOKUP($A79,'Data Vlaue (Cr)'!$C:$FB,59)</f>
        <v>1421</v>
      </c>
      <c r="K79" s="51">
        <f>VLOOKUP($A79,'Data Vlaue (Cr)'!$C:$FB,60)</f>
        <v>1674</v>
      </c>
      <c r="L79" s="51">
        <f>VLOOKUP($A79,'Data Vlaue (Cr)'!$C:$FB,62)*100</f>
        <v>-15.09</v>
      </c>
      <c r="M79" s="51">
        <f>VLOOKUP($A79,'Data Vlaue (Cr)'!$C:$FB,63)</f>
        <v>802</v>
      </c>
      <c r="N79" s="51">
        <f>VLOOKUP($A79,'Data Vlaue (Cr)'!$C:$FB,64)</f>
        <v>1118</v>
      </c>
      <c r="O79" s="51">
        <f>VLOOKUP($A79,'Data Vlaue (Cr)'!$C:$FB,66)*100</f>
        <v>-28.26</v>
      </c>
    </row>
    <row r="80" spans="1:15" x14ac:dyDescent="0.25">
      <c r="A80" s="101" t="str">
        <f>'Data Vlaue (Cr)'!C75</f>
        <v>HDFCAMC</v>
      </c>
      <c r="B80" s="50">
        <f>VLOOKUP($A80,'Data Vlaue (Cr)'!$C:$FB,8)</f>
        <v>5559</v>
      </c>
      <c r="C80" s="50">
        <f>VLOOKUP($A80,'Data Vlaue (Cr)'!$C:$FB,11)*100</f>
        <v>0.27999999999999997</v>
      </c>
      <c r="D80" s="50">
        <f>VLOOKUP($A80,'Data Vlaue (Cr)'!$C:$FB,143)</f>
        <v>2563.54</v>
      </c>
      <c r="E80" s="50">
        <f>VLOOKUP($A80,'Data Vlaue (Cr)'!$C:$FB,144)</f>
        <v>4262.97</v>
      </c>
      <c r="F80" s="50">
        <f>VLOOKUP($A80,'Data Vlaue (Cr)'!$C:$FB,146)*100</f>
        <v>-39.869999999999997</v>
      </c>
      <c r="G80" s="49">
        <f>VLOOKUP($A80,'Data Vlaue (Cr)'!$C:$FB,43)</f>
        <v>904</v>
      </c>
      <c r="H80" s="49">
        <f>VLOOKUP($A80,'Data Vlaue (Cr)'!$C:$FB,44)</f>
        <v>1060</v>
      </c>
      <c r="I80" s="49">
        <f>VLOOKUP($A80,'Data Vlaue (Cr)'!$C:$FB,46)*100</f>
        <v>-14.77</v>
      </c>
      <c r="J80" s="51">
        <f>VLOOKUP($A80,'Data Vlaue (Cr)'!$C:$FB,59)</f>
        <v>1167</v>
      </c>
      <c r="K80" s="51">
        <f>VLOOKUP($A80,'Data Vlaue (Cr)'!$C:$FB,60)</f>
        <v>2161</v>
      </c>
      <c r="L80" s="51">
        <f>VLOOKUP($A80,'Data Vlaue (Cr)'!$C:$FB,62)*100</f>
        <v>-46.03</v>
      </c>
      <c r="M80" s="51">
        <f>VLOOKUP($A80,'Data Vlaue (Cr)'!$C:$FB,63)</f>
        <v>437</v>
      </c>
      <c r="N80" s="51">
        <f>VLOOKUP($A80,'Data Vlaue (Cr)'!$C:$FB,64)</f>
        <v>935</v>
      </c>
      <c r="O80" s="51">
        <f>VLOOKUP($A80,'Data Vlaue (Cr)'!$C:$FB,66)*100</f>
        <v>-53.290000000000006</v>
      </c>
    </row>
    <row r="81" spans="1:15" x14ac:dyDescent="0.25">
      <c r="A81" s="101" t="str">
        <f>'Data Vlaue (Cr)'!C76</f>
        <v>HDFCBANK</v>
      </c>
      <c r="B81" s="50">
        <f>VLOOKUP($A81,'Data Vlaue (Cr)'!$C:$FB,8)</f>
        <v>1002.95</v>
      </c>
      <c r="C81" s="50">
        <f>VLOOKUP($A81,'Data Vlaue (Cr)'!$C:$FB,11)*100</f>
        <v>0.82000000000000006</v>
      </c>
      <c r="D81" s="50">
        <f>VLOOKUP($A81,'Data Vlaue (Cr)'!$C:$FB,143)</f>
        <v>26210.26</v>
      </c>
      <c r="E81" s="50">
        <f>VLOOKUP($A81,'Data Vlaue (Cr)'!$C:$FB,144)</f>
        <v>32107.77</v>
      </c>
      <c r="F81" s="50">
        <f>VLOOKUP($A81,'Data Vlaue (Cr)'!$C:$FB,146)*100</f>
        <v>-18.37</v>
      </c>
      <c r="G81" s="49">
        <f>VLOOKUP($A81,'Data Vlaue (Cr)'!$C:$FB,43)</f>
        <v>11118</v>
      </c>
      <c r="H81" s="49">
        <f>VLOOKUP($A81,'Data Vlaue (Cr)'!$C:$FB,44)</f>
        <v>14477</v>
      </c>
      <c r="I81" s="49">
        <f>VLOOKUP($A81,'Data Vlaue (Cr)'!$C:$FB,46)*100</f>
        <v>-23.200000000000003</v>
      </c>
      <c r="J81" s="51">
        <f>VLOOKUP($A81,'Data Vlaue (Cr)'!$C:$FB,59)</f>
        <v>8977</v>
      </c>
      <c r="K81" s="51">
        <f>VLOOKUP($A81,'Data Vlaue (Cr)'!$C:$FB,60)</f>
        <v>9512</v>
      </c>
      <c r="L81" s="51">
        <f>VLOOKUP($A81,'Data Vlaue (Cr)'!$C:$FB,62)*100</f>
        <v>-5.63</v>
      </c>
      <c r="M81" s="51">
        <f>VLOOKUP($A81,'Data Vlaue (Cr)'!$C:$FB,63)</f>
        <v>5966</v>
      </c>
      <c r="N81" s="51">
        <f>VLOOKUP($A81,'Data Vlaue (Cr)'!$C:$FB,64)</f>
        <v>8064</v>
      </c>
      <c r="O81" s="51">
        <f>VLOOKUP($A81,'Data Vlaue (Cr)'!$C:$FB,66)*100</f>
        <v>-26.02</v>
      </c>
    </row>
    <row r="82" spans="1:15" x14ac:dyDescent="0.25">
      <c r="A82" s="101" t="str">
        <f>'Data Vlaue (Cr)'!C77</f>
        <v>HDFCLIFE</v>
      </c>
      <c r="B82" s="50">
        <f>VLOOKUP($A82,'Data Vlaue (Cr)'!$C:$FB,8)</f>
        <v>737.25</v>
      </c>
      <c r="C82" s="50">
        <f>VLOOKUP($A82,'Data Vlaue (Cr)'!$C:$FB,11)*100</f>
        <v>0.31</v>
      </c>
      <c r="D82" s="50">
        <f>VLOOKUP($A82,'Data Vlaue (Cr)'!$C:$FB,143)</f>
        <v>3952.57</v>
      </c>
      <c r="E82" s="50">
        <f>VLOOKUP($A82,'Data Vlaue (Cr)'!$C:$FB,144)</f>
        <v>3098.12</v>
      </c>
      <c r="F82" s="50">
        <f>VLOOKUP($A82,'Data Vlaue (Cr)'!$C:$FB,146)*100</f>
        <v>27.58</v>
      </c>
      <c r="G82" s="49">
        <f>VLOOKUP($A82,'Data Vlaue (Cr)'!$C:$FB,43)</f>
        <v>2128</v>
      </c>
      <c r="H82" s="49">
        <f>VLOOKUP($A82,'Data Vlaue (Cr)'!$C:$FB,44)</f>
        <v>1769</v>
      </c>
      <c r="I82" s="49">
        <f>VLOOKUP($A82,'Data Vlaue (Cr)'!$C:$FB,46)*100</f>
        <v>20.330000000000002</v>
      </c>
      <c r="J82" s="51">
        <f>VLOOKUP($A82,'Data Vlaue (Cr)'!$C:$FB,59)</f>
        <v>1234</v>
      </c>
      <c r="K82" s="51">
        <f>VLOOKUP($A82,'Data Vlaue (Cr)'!$C:$FB,60)</f>
        <v>964</v>
      </c>
      <c r="L82" s="51">
        <f>VLOOKUP($A82,'Data Vlaue (Cr)'!$C:$FB,62)*100</f>
        <v>27.96</v>
      </c>
      <c r="M82" s="51">
        <f>VLOOKUP($A82,'Data Vlaue (Cr)'!$C:$FB,63)</f>
        <v>540</v>
      </c>
      <c r="N82" s="51">
        <f>VLOOKUP($A82,'Data Vlaue (Cr)'!$C:$FB,64)</f>
        <v>324</v>
      </c>
      <c r="O82" s="51">
        <f>VLOOKUP($A82,'Data Vlaue (Cr)'!$C:$FB,66)*100</f>
        <v>66.73</v>
      </c>
    </row>
    <row r="83" spans="1:15" x14ac:dyDescent="0.25">
      <c r="A83" s="101" t="str">
        <f>'Data Vlaue (Cr)'!C78</f>
        <v>HEROMOTOCO</v>
      </c>
      <c r="B83" s="50">
        <f>VLOOKUP($A83,'Data Vlaue (Cr)'!$C:$FB,8)</f>
        <v>5646.5</v>
      </c>
      <c r="C83" s="50">
        <f>VLOOKUP($A83,'Data Vlaue (Cr)'!$C:$FB,11)*100</f>
        <v>1.91</v>
      </c>
      <c r="D83" s="50">
        <f>VLOOKUP($A83,'Data Vlaue (Cr)'!$C:$FB,143)</f>
        <v>7511.14</v>
      </c>
      <c r="E83" s="50">
        <f>VLOOKUP($A83,'Data Vlaue (Cr)'!$C:$FB,144)</f>
        <v>6116.17</v>
      </c>
      <c r="F83" s="50">
        <f>VLOOKUP($A83,'Data Vlaue (Cr)'!$C:$FB,146)*100</f>
        <v>22.81</v>
      </c>
      <c r="G83" s="49">
        <f>VLOOKUP($A83,'Data Vlaue (Cr)'!$C:$FB,43)</f>
        <v>2410</v>
      </c>
      <c r="H83" s="49">
        <f>VLOOKUP($A83,'Data Vlaue (Cr)'!$C:$FB,44)</f>
        <v>2123</v>
      </c>
      <c r="I83" s="49">
        <f>VLOOKUP($A83,'Data Vlaue (Cr)'!$C:$FB,46)*100</f>
        <v>13.489999999999998</v>
      </c>
      <c r="J83" s="51">
        <f>VLOOKUP($A83,'Data Vlaue (Cr)'!$C:$FB,59)</f>
        <v>3304</v>
      </c>
      <c r="K83" s="51">
        <f>VLOOKUP($A83,'Data Vlaue (Cr)'!$C:$FB,60)</f>
        <v>2629</v>
      </c>
      <c r="L83" s="51">
        <f>VLOOKUP($A83,'Data Vlaue (Cr)'!$C:$FB,62)*100</f>
        <v>25.7</v>
      </c>
      <c r="M83" s="51">
        <f>VLOOKUP($A83,'Data Vlaue (Cr)'!$C:$FB,63)</f>
        <v>1772</v>
      </c>
      <c r="N83" s="51">
        <f>VLOOKUP($A83,'Data Vlaue (Cr)'!$C:$FB,64)</f>
        <v>1394</v>
      </c>
      <c r="O83" s="51">
        <f>VLOOKUP($A83,'Data Vlaue (Cr)'!$C:$FB,66)*100</f>
        <v>27.04</v>
      </c>
    </row>
    <row r="84" spans="1:15" x14ac:dyDescent="0.25">
      <c r="A84" s="101" t="str">
        <f>'Data Vlaue (Cr)'!C79</f>
        <v>HFCL</v>
      </c>
      <c r="B84" s="50">
        <f>VLOOKUP($A84,'Data Vlaue (Cr)'!$C:$FB,8)</f>
        <v>76.849999999999994</v>
      </c>
      <c r="C84" s="50">
        <f>VLOOKUP($A84,'Data Vlaue (Cr)'!$C:$FB,11)*100</f>
        <v>-1.1400000000000001</v>
      </c>
      <c r="D84" s="50">
        <f>VLOOKUP($A84,'Data Vlaue (Cr)'!$C:$FB,143)</f>
        <v>1186.8499999999999</v>
      </c>
      <c r="E84" s="50">
        <f>VLOOKUP($A84,'Data Vlaue (Cr)'!$C:$FB,144)</f>
        <v>1429.02</v>
      </c>
      <c r="F84" s="50">
        <f>VLOOKUP($A84,'Data Vlaue (Cr)'!$C:$FB,146)*100</f>
        <v>-16.950000000000003</v>
      </c>
      <c r="G84" s="49">
        <f>VLOOKUP($A84,'Data Vlaue (Cr)'!$C:$FB,43)</f>
        <v>567</v>
      </c>
      <c r="H84" s="49">
        <f>VLOOKUP($A84,'Data Vlaue (Cr)'!$C:$FB,44)</f>
        <v>590</v>
      </c>
      <c r="I84" s="49">
        <f>VLOOKUP($A84,'Data Vlaue (Cr)'!$C:$FB,46)*100</f>
        <v>-3.9800000000000004</v>
      </c>
      <c r="J84" s="51">
        <f>VLOOKUP($A84,'Data Vlaue (Cr)'!$C:$FB,59)</f>
        <v>444</v>
      </c>
      <c r="K84" s="51">
        <f>VLOOKUP($A84,'Data Vlaue (Cr)'!$C:$FB,60)</f>
        <v>583</v>
      </c>
      <c r="L84" s="51">
        <f>VLOOKUP($A84,'Data Vlaue (Cr)'!$C:$FB,62)*100</f>
        <v>-23.95</v>
      </c>
      <c r="M84" s="51">
        <f>VLOOKUP($A84,'Data Vlaue (Cr)'!$C:$FB,63)</f>
        <v>145</v>
      </c>
      <c r="N84" s="51">
        <f>VLOOKUP($A84,'Data Vlaue (Cr)'!$C:$FB,64)</f>
        <v>212</v>
      </c>
      <c r="O84" s="51">
        <f>VLOOKUP($A84,'Data Vlaue (Cr)'!$C:$FB,66)*100</f>
        <v>-31.77</v>
      </c>
    </row>
    <row r="85" spans="1:15" x14ac:dyDescent="0.25">
      <c r="A85" s="101" t="str">
        <f>'Data Vlaue (Cr)'!C80</f>
        <v>HINDALCO</v>
      </c>
      <c r="B85" s="50">
        <f>VLOOKUP($A85,'Data Vlaue (Cr)'!$C:$FB,8)</f>
        <v>840.85</v>
      </c>
      <c r="C85" s="50">
        <f>VLOOKUP($A85,'Data Vlaue (Cr)'!$C:$FB,11)*100</f>
        <v>1.9900000000000002</v>
      </c>
      <c r="D85" s="50">
        <f>VLOOKUP($A85,'Data Vlaue (Cr)'!$C:$FB,143)</f>
        <v>12844.42</v>
      </c>
      <c r="E85" s="50">
        <f>VLOOKUP($A85,'Data Vlaue (Cr)'!$C:$FB,144)</f>
        <v>23063.05</v>
      </c>
      <c r="F85" s="50">
        <f>VLOOKUP($A85,'Data Vlaue (Cr)'!$C:$FB,146)*100</f>
        <v>-44.31</v>
      </c>
      <c r="G85" s="49">
        <f>VLOOKUP($A85,'Data Vlaue (Cr)'!$C:$FB,43)</f>
        <v>3049</v>
      </c>
      <c r="H85" s="49">
        <f>VLOOKUP($A85,'Data Vlaue (Cr)'!$C:$FB,44)</f>
        <v>4135</v>
      </c>
      <c r="I85" s="49">
        <f>VLOOKUP($A85,'Data Vlaue (Cr)'!$C:$FB,46)*100</f>
        <v>-26.27</v>
      </c>
      <c r="J85" s="51">
        <f>VLOOKUP($A85,'Data Vlaue (Cr)'!$C:$FB,59)</f>
        <v>6091</v>
      </c>
      <c r="K85" s="51">
        <f>VLOOKUP($A85,'Data Vlaue (Cr)'!$C:$FB,60)</f>
        <v>13539</v>
      </c>
      <c r="L85" s="51">
        <f>VLOOKUP($A85,'Data Vlaue (Cr)'!$C:$FB,62)*100</f>
        <v>-55.010000000000005</v>
      </c>
      <c r="M85" s="51">
        <f>VLOOKUP($A85,'Data Vlaue (Cr)'!$C:$FB,63)</f>
        <v>3704</v>
      </c>
      <c r="N85" s="51">
        <f>VLOOKUP($A85,'Data Vlaue (Cr)'!$C:$FB,64)</f>
        <v>5689</v>
      </c>
      <c r="O85" s="51">
        <f>VLOOKUP($A85,'Data Vlaue (Cr)'!$C:$FB,66)*100</f>
        <v>-34.89</v>
      </c>
    </row>
    <row r="86" spans="1:15" x14ac:dyDescent="0.25">
      <c r="A86" s="101" t="str">
        <f>'Data Vlaue (Cr)'!C81</f>
        <v>HINDPETRO</v>
      </c>
      <c r="B86" s="50">
        <f>VLOOKUP($A86,'Data Vlaue (Cr)'!$C:$FB,8)</f>
        <v>453.75</v>
      </c>
      <c r="C86" s="50">
        <f>VLOOKUP($A86,'Data Vlaue (Cr)'!$C:$FB,11)*100</f>
        <v>3.49</v>
      </c>
      <c r="D86" s="50">
        <f>VLOOKUP($A86,'Data Vlaue (Cr)'!$C:$FB,143)</f>
        <v>5021.68</v>
      </c>
      <c r="E86" s="50">
        <f>VLOOKUP($A86,'Data Vlaue (Cr)'!$C:$FB,144)</f>
        <v>4543.9799999999996</v>
      </c>
      <c r="F86" s="50">
        <f>VLOOKUP($A86,'Data Vlaue (Cr)'!$C:$FB,146)*100</f>
        <v>10.51</v>
      </c>
      <c r="G86" s="49">
        <f>VLOOKUP($A86,'Data Vlaue (Cr)'!$C:$FB,43)</f>
        <v>1695</v>
      </c>
      <c r="H86" s="49">
        <f>VLOOKUP($A86,'Data Vlaue (Cr)'!$C:$FB,44)</f>
        <v>2030</v>
      </c>
      <c r="I86" s="49">
        <f>VLOOKUP($A86,'Data Vlaue (Cr)'!$C:$FB,46)*100</f>
        <v>-16.489999999999998</v>
      </c>
      <c r="J86" s="51">
        <f>VLOOKUP($A86,'Data Vlaue (Cr)'!$C:$FB,59)</f>
        <v>2191</v>
      </c>
      <c r="K86" s="51">
        <f>VLOOKUP($A86,'Data Vlaue (Cr)'!$C:$FB,60)</f>
        <v>1569</v>
      </c>
      <c r="L86" s="51">
        <f>VLOOKUP($A86,'Data Vlaue (Cr)'!$C:$FB,62)*100</f>
        <v>39.700000000000003</v>
      </c>
      <c r="M86" s="51">
        <f>VLOOKUP($A86,'Data Vlaue (Cr)'!$C:$FB,63)</f>
        <v>1116</v>
      </c>
      <c r="N86" s="51">
        <f>VLOOKUP($A86,'Data Vlaue (Cr)'!$C:$FB,64)</f>
        <v>1034</v>
      </c>
      <c r="O86" s="51">
        <f>VLOOKUP($A86,'Data Vlaue (Cr)'!$C:$FB,66)*100</f>
        <v>7.9200000000000008</v>
      </c>
    </row>
    <row r="87" spans="1:15" x14ac:dyDescent="0.25">
      <c r="A87" s="101" t="str">
        <f>'Data Vlaue (Cr)'!C82</f>
        <v>HINDUNILVR</v>
      </c>
      <c r="B87" s="50">
        <f>VLOOKUP($A87,'Data Vlaue (Cr)'!$C:$FB,8)</f>
        <v>2511.8000000000002</v>
      </c>
      <c r="C87" s="50">
        <f>VLOOKUP($A87,'Data Vlaue (Cr)'!$C:$FB,11)*100</f>
        <v>-0.18</v>
      </c>
      <c r="D87" s="50">
        <f>VLOOKUP($A87,'Data Vlaue (Cr)'!$C:$FB,143)</f>
        <v>9098.57</v>
      </c>
      <c r="E87" s="50">
        <f>VLOOKUP($A87,'Data Vlaue (Cr)'!$C:$FB,144)</f>
        <v>22651.94</v>
      </c>
      <c r="F87" s="50">
        <f>VLOOKUP($A87,'Data Vlaue (Cr)'!$C:$FB,146)*100</f>
        <v>-59.830000000000005</v>
      </c>
      <c r="G87" s="49">
        <f>VLOOKUP($A87,'Data Vlaue (Cr)'!$C:$FB,43)</f>
        <v>2870</v>
      </c>
      <c r="H87" s="49">
        <f>VLOOKUP($A87,'Data Vlaue (Cr)'!$C:$FB,44)</f>
        <v>4432</v>
      </c>
      <c r="I87" s="49">
        <f>VLOOKUP($A87,'Data Vlaue (Cr)'!$C:$FB,46)*100</f>
        <v>-35.25</v>
      </c>
      <c r="J87" s="51">
        <f>VLOOKUP($A87,'Data Vlaue (Cr)'!$C:$FB,59)</f>
        <v>4299</v>
      </c>
      <c r="K87" s="51">
        <f>VLOOKUP($A87,'Data Vlaue (Cr)'!$C:$FB,60)</f>
        <v>11381</v>
      </c>
      <c r="L87" s="51">
        <f>VLOOKUP($A87,'Data Vlaue (Cr)'!$C:$FB,62)*100</f>
        <v>-62.23</v>
      </c>
      <c r="M87" s="51">
        <f>VLOOKUP($A87,'Data Vlaue (Cr)'!$C:$FB,63)</f>
        <v>1808</v>
      </c>
      <c r="N87" s="51">
        <f>VLOOKUP($A87,'Data Vlaue (Cr)'!$C:$FB,64)</f>
        <v>6456</v>
      </c>
      <c r="O87" s="51">
        <f>VLOOKUP($A87,'Data Vlaue (Cr)'!$C:$FB,66)*100</f>
        <v>-72</v>
      </c>
    </row>
    <row r="88" spans="1:15" x14ac:dyDescent="0.25">
      <c r="A88" s="101" t="str">
        <f>'Data Vlaue (Cr)'!C83</f>
        <v>HINDZINC</v>
      </c>
      <c r="B88" s="50">
        <f>VLOOKUP($A88,'Data Vlaue (Cr)'!$C:$FB,8)</f>
        <v>482.3</v>
      </c>
      <c r="C88" s="50">
        <f>VLOOKUP($A88,'Data Vlaue (Cr)'!$C:$FB,11)*100</f>
        <v>-0.89999999999999991</v>
      </c>
      <c r="D88" s="50">
        <f>VLOOKUP($A88,'Data Vlaue (Cr)'!$C:$FB,143)</f>
        <v>3106.08</v>
      </c>
      <c r="E88" s="50">
        <f>VLOOKUP($A88,'Data Vlaue (Cr)'!$C:$FB,144)</f>
        <v>6580.23</v>
      </c>
      <c r="F88" s="50">
        <f>VLOOKUP($A88,'Data Vlaue (Cr)'!$C:$FB,146)*100</f>
        <v>-52.800000000000004</v>
      </c>
      <c r="G88" s="49">
        <f>VLOOKUP($A88,'Data Vlaue (Cr)'!$C:$FB,43)</f>
        <v>934</v>
      </c>
      <c r="H88" s="49">
        <f>VLOOKUP($A88,'Data Vlaue (Cr)'!$C:$FB,44)</f>
        <v>1523</v>
      </c>
      <c r="I88" s="49">
        <f>VLOOKUP($A88,'Data Vlaue (Cr)'!$C:$FB,46)*100</f>
        <v>-38.68</v>
      </c>
      <c r="J88" s="51">
        <f>VLOOKUP($A88,'Data Vlaue (Cr)'!$C:$FB,59)</f>
        <v>1597</v>
      </c>
      <c r="K88" s="51">
        <f>VLOOKUP($A88,'Data Vlaue (Cr)'!$C:$FB,60)</f>
        <v>3623</v>
      </c>
      <c r="L88" s="51">
        <f>VLOOKUP($A88,'Data Vlaue (Cr)'!$C:$FB,62)*100</f>
        <v>-55.93</v>
      </c>
      <c r="M88" s="51">
        <f>VLOOKUP($A88,'Data Vlaue (Cr)'!$C:$FB,63)</f>
        <v>467</v>
      </c>
      <c r="N88" s="51">
        <f>VLOOKUP($A88,'Data Vlaue (Cr)'!$C:$FB,64)</f>
        <v>1173</v>
      </c>
      <c r="O88" s="51">
        <f>VLOOKUP($A88,'Data Vlaue (Cr)'!$C:$FB,66)*100</f>
        <v>-60.22</v>
      </c>
    </row>
    <row r="89" spans="1:15" x14ac:dyDescent="0.25">
      <c r="A89" s="101" t="str">
        <f>'Data Vlaue (Cr)'!C84</f>
        <v>HUDCO</v>
      </c>
      <c r="B89" s="50">
        <f>VLOOKUP($A89,'Data Vlaue (Cr)'!$C:$FB,8)</f>
        <v>227.01</v>
      </c>
      <c r="C89" s="50">
        <f>VLOOKUP($A89,'Data Vlaue (Cr)'!$C:$FB,11)*100</f>
        <v>6.9999999999999993E-2</v>
      </c>
      <c r="D89" s="50">
        <f>VLOOKUP($A89,'Data Vlaue (Cr)'!$C:$FB,143)</f>
        <v>1028.3800000000001</v>
      </c>
      <c r="E89" s="50">
        <f>VLOOKUP($A89,'Data Vlaue (Cr)'!$C:$FB,144)</f>
        <v>941.11</v>
      </c>
      <c r="F89" s="50">
        <f>VLOOKUP($A89,'Data Vlaue (Cr)'!$C:$FB,146)*100</f>
        <v>9.27</v>
      </c>
      <c r="G89" s="49">
        <f>VLOOKUP($A89,'Data Vlaue (Cr)'!$C:$FB,43)</f>
        <v>498</v>
      </c>
      <c r="H89" s="49">
        <f>VLOOKUP($A89,'Data Vlaue (Cr)'!$C:$FB,44)</f>
        <v>435</v>
      </c>
      <c r="I89" s="49">
        <f>VLOOKUP($A89,'Data Vlaue (Cr)'!$C:$FB,46)*100</f>
        <v>14.610000000000001</v>
      </c>
      <c r="J89" s="51">
        <f>VLOOKUP($A89,'Data Vlaue (Cr)'!$C:$FB,59)</f>
        <v>360</v>
      </c>
      <c r="K89" s="51">
        <f>VLOOKUP($A89,'Data Vlaue (Cr)'!$C:$FB,60)</f>
        <v>347</v>
      </c>
      <c r="L89" s="51">
        <f>VLOOKUP($A89,'Data Vlaue (Cr)'!$C:$FB,62)*100</f>
        <v>3.7800000000000002</v>
      </c>
      <c r="M89" s="51">
        <f>VLOOKUP($A89,'Data Vlaue (Cr)'!$C:$FB,63)</f>
        <v>149</v>
      </c>
      <c r="N89" s="51">
        <f>VLOOKUP($A89,'Data Vlaue (Cr)'!$C:$FB,64)</f>
        <v>142</v>
      </c>
      <c r="O89" s="51">
        <f>VLOOKUP($A89,'Data Vlaue (Cr)'!$C:$FB,66)*100</f>
        <v>4.8500000000000005</v>
      </c>
    </row>
    <row r="90" spans="1:15" x14ac:dyDescent="0.25">
      <c r="A90" s="101" t="str">
        <f>'Data Vlaue (Cr)'!C85</f>
        <v>ICICIBANK</v>
      </c>
      <c r="B90" s="50">
        <f>VLOOKUP($A90,'Data Vlaue (Cr)'!$C:$FB,8)</f>
        <v>1377.6</v>
      </c>
      <c r="C90" s="50">
        <f>VLOOKUP($A90,'Data Vlaue (Cr)'!$C:$FB,11)*100</f>
        <v>-0.01</v>
      </c>
      <c r="D90" s="50">
        <f>VLOOKUP($A90,'Data Vlaue (Cr)'!$C:$FB,143)</f>
        <v>19164.14</v>
      </c>
      <c r="E90" s="50">
        <f>VLOOKUP($A90,'Data Vlaue (Cr)'!$C:$FB,144)</f>
        <v>28421.22</v>
      </c>
      <c r="F90" s="50">
        <f>VLOOKUP($A90,'Data Vlaue (Cr)'!$C:$FB,146)*100</f>
        <v>-32.57</v>
      </c>
      <c r="G90" s="49">
        <f>VLOOKUP($A90,'Data Vlaue (Cr)'!$C:$FB,43)</f>
        <v>6966</v>
      </c>
      <c r="H90" s="49">
        <f>VLOOKUP($A90,'Data Vlaue (Cr)'!$C:$FB,44)</f>
        <v>10627</v>
      </c>
      <c r="I90" s="49">
        <f>VLOOKUP($A90,'Data Vlaue (Cr)'!$C:$FB,46)*100</f>
        <v>-34.449999999999996</v>
      </c>
      <c r="J90" s="51">
        <f>VLOOKUP($A90,'Data Vlaue (Cr)'!$C:$FB,59)</f>
        <v>7580</v>
      </c>
      <c r="K90" s="51">
        <f>VLOOKUP($A90,'Data Vlaue (Cr)'!$C:$FB,60)</f>
        <v>11413</v>
      </c>
      <c r="L90" s="51">
        <f>VLOOKUP($A90,'Data Vlaue (Cr)'!$C:$FB,62)*100</f>
        <v>-33.589999999999996</v>
      </c>
      <c r="M90" s="51">
        <f>VLOOKUP($A90,'Data Vlaue (Cr)'!$C:$FB,63)</f>
        <v>4357</v>
      </c>
      <c r="N90" s="51">
        <f>VLOOKUP($A90,'Data Vlaue (Cr)'!$C:$FB,64)</f>
        <v>6117</v>
      </c>
      <c r="O90" s="51">
        <f>VLOOKUP($A90,'Data Vlaue (Cr)'!$C:$FB,66)*100</f>
        <v>-28.78</v>
      </c>
    </row>
    <row r="91" spans="1:15" x14ac:dyDescent="0.25">
      <c r="A91" s="101" t="str">
        <f>'Data Vlaue (Cr)'!C86</f>
        <v>ICICIGI</v>
      </c>
      <c r="B91" s="50">
        <f>VLOOKUP($A91,'Data Vlaue (Cr)'!$C:$FB,8)</f>
        <v>1986.4</v>
      </c>
      <c r="C91" s="50">
        <f>VLOOKUP($A91,'Data Vlaue (Cr)'!$C:$FB,11)*100</f>
        <v>-0.38</v>
      </c>
      <c r="D91" s="50">
        <f>VLOOKUP($A91,'Data Vlaue (Cr)'!$C:$FB,143)</f>
        <v>1270.3499999999999</v>
      </c>
      <c r="E91" s="50">
        <f>VLOOKUP($A91,'Data Vlaue (Cr)'!$C:$FB,144)</f>
        <v>2027.06</v>
      </c>
      <c r="F91" s="50">
        <f>VLOOKUP($A91,'Data Vlaue (Cr)'!$C:$FB,146)*100</f>
        <v>-37.330000000000005</v>
      </c>
      <c r="G91" s="49">
        <f>VLOOKUP($A91,'Data Vlaue (Cr)'!$C:$FB,43)</f>
        <v>747</v>
      </c>
      <c r="H91" s="49">
        <f>VLOOKUP($A91,'Data Vlaue (Cr)'!$C:$FB,44)</f>
        <v>1171</v>
      </c>
      <c r="I91" s="49">
        <f>VLOOKUP($A91,'Data Vlaue (Cr)'!$C:$FB,46)*100</f>
        <v>-36.24</v>
      </c>
      <c r="J91" s="51">
        <f>VLOOKUP($A91,'Data Vlaue (Cr)'!$C:$FB,59)</f>
        <v>287</v>
      </c>
      <c r="K91" s="51">
        <f>VLOOKUP($A91,'Data Vlaue (Cr)'!$C:$FB,60)</f>
        <v>373</v>
      </c>
      <c r="L91" s="51">
        <f>VLOOKUP($A91,'Data Vlaue (Cr)'!$C:$FB,62)*100</f>
        <v>-22.86</v>
      </c>
      <c r="M91" s="51">
        <f>VLOOKUP($A91,'Data Vlaue (Cr)'!$C:$FB,63)</f>
        <v>230</v>
      </c>
      <c r="N91" s="51">
        <f>VLOOKUP($A91,'Data Vlaue (Cr)'!$C:$FB,64)</f>
        <v>483</v>
      </c>
      <c r="O91" s="51">
        <f>VLOOKUP($A91,'Data Vlaue (Cr)'!$C:$FB,66)*100</f>
        <v>-52.33</v>
      </c>
    </row>
    <row r="92" spans="1:15" x14ac:dyDescent="0.25">
      <c r="A92" s="101" t="str">
        <f>'Data Vlaue (Cr)'!C87</f>
        <v>ICICIPRULI</v>
      </c>
      <c r="B92" s="50">
        <f>VLOOKUP($A92,'Data Vlaue (Cr)'!$C:$FB,8)</f>
        <v>600.75</v>
      </c>
      <c r="C92" s="50">
        <f>VLOOKUP($A92,'Data Vlaue (Cr)'!$C:$FB,11)*100</f>
        <v>-0.2</v>
      </c>
      <c r="D92" s="50">
        <f>VLOOKUP($A92,'Data Vlaue (Cr)'!$C:$FB,143)</f>
        <v>901.27</v>
      </c>
      <c r="E92" s="50">
        <f>VLOOKUP($A92,'Data Vlaue (Cr)'!$C:$FB,144)</f>
        <v>907.04</v>
      </c>
      <c r="F92" s="50">
        <f>VLOOKUP($A92,'Data Vlaue (Cr)'!$C:$FB,146)*100</f>
        <v>-0.64</v>
      </c>
      <c r="G92" s="49">
        <f>VLOOKUP($A92,'Data Vlaue (Cr)'!$C:$FB,43)</f>
        <v>548</v>
      </c>
      <c r="H92" s="49">
        <f>VLOOKUP($A92,'Data Vlaue (Cr)'!$C:$FB,44)</f>
        <v>554</v>
      </c>
      <c r="I92" s="49">
        <f>VLOOKUP($A92,'Data Vlaue (Cr)'!$C:$FB,46)*100</f>
        <v>-1.1499999999999999</v>
      </c>
      <c r="J92" s="51">
        <f>VLOOKUP($A92,'Data Vlaue (Cr)'!$C:$FB,59)</f>
        <v>251</v>
      </c>
      <c r="K92" s="51">
        <f>VLOOKUP($A92,'Data Vlaue (Cr)'!$C:$FB,60)</f>
        <v>213</v>
      </c>
      <c r="L92" s="51">
        <f>VLOOKUP($A92,'Data Vlaue (Cr)'!$C:$FB,62)*100</f>
        <v>17.940000000000001</v>
      </c>
      <c r="M92" s="51">
        <f>VLOOKUP($A92,'Data Vlaue (Cr)'!$C:$FB,63)</f>
        <v>92</v>
      </c>
      <c r="N92" s="51">
        <f>VLOOKUP($A92,'Data Vlaue (Cr)'!$C:$FB,64)</f>
        <v>132</v>
      </c>
      <c r="O92" s="51">
        <f>VLOOKUP($A92,'Data Vlaue (Cr)'!$C:$FB,66)*100</f>
        <v>-30.580000000000002</v>
      </c>
    </row>
    <row r="93" spans="1:15" x14ac:dyDescent="0.25">
      <c r="A93" s="101" t="str">
        <f>'Data Vlaue (Cr)'!C88</f>
        <v>IDEA</v>
      </c>
      <c r="B93" s="50">
        <f>VLOOKUP($A93,'Data Vlaue (Cr)'!$C:$FB,8)</f>
        <v>9.9700000000000006</v>
      </c>
      <c r="C93" s="50">
        <f>VLOOKUP($A93,'Data Vlaue (Cr)'!$C:$FB,11)*100</f>
        <v>3.64</v>
      </c>
      <c r="D93" s="50">
        <f>VLOOKUP($A93,'Data Vlaue (Cr)'!$C:$FB,143)</f>
        <v>17874.259999999998</v>
      </c>
      <c r="E93" s="50">
        <f>VLOOKUP($A93,'Data Vlaue (Cr)'!$C:$FB,144)</f>
        <v>6544</v>
      </c>
      <c r="F93" s="50">
        <f>VLOOKUP($A93,'Data Vlaue (Cr)'!$C:$FB,146)*100</f>
        <v>173.14000000000001</v>
      </c>
      <c r="G93" s="49">
        <f>VLOOKUP($A93,'Data Vlaue (Cr)'!$C:$FB,43)</f>
        <v>4909</v>
      </c>
      <c r="H93" s="49">
        <f>VLOOKUP($A93,'Data Vlaue (Cr)'!$C:$FB,44)</f>
        <v>2418</v>
      </c>
      <c r="I93" s="49">
        <f>VLOOKUP($A93,'Data Vlaue (Cr)'!$C:$FB,46)*100</f>
        <v>103</v>
      </c>
      <c r="J93" s="51">
        <f>VLOOKUP($A93,'Data Vlaue (Cr)'!$C:$FB,59)</f>
        <v>3612</v>
      </c>
      <c r="K93" s="51">
        <f>VLOOKUP($A93,'Data Vlaue (Cr)'!$C:$FB,60)</f>
        <v>982</v>
      </c>
      <c r="L93" s="51">
        <f>VLOOKUP($A93,'Data Vlaue (Cr)'!$C:$FB,62)*100</f>
        <v>267.91999999999996</v>
      </c>
      <c r="M93" s="51">
        <f>VLOOKUP($A93,'Data Vlaue (Cr)'!$C:$FB,63)</f>
        <v>1088</v>
      </c>
      <c r="N93" s="51">
        <f>VLOOKUP($A93,'Data Vlaue (Cr)'!$C:$FB,64)</f>
        <v>377</v>
      </c>
      <c r="O93" s="51">
        <f>VLOOKUP($A93,'Data Vlaue (Cr)'!$C:$FB,66)*100</f>
        <v>188.72</v>
      </c>
    </row>
    <row r="94" spans="1:15" x14ac:dyDescent="0.25">
      <c r="A94" s="101" t="str">
        <f>'Data Vlaue (Cr)'!C89</f>
        <v>IDFCFIRSTB</v>
      </c>
      <c r="B94" s="50">
        <f>VLOOKUP($A94,'Data Vlaue (Cr)'!$C:$FB,8)</f>
        <v>78.03</v>
      </c>
      <c r="C94" s="50">
        <f>VLOOKUP($A94,'Data Vlaue (Cr)'!$C:$FB,11)*100</f>
        <v>-0.22</v>
      </c>
      <c r="D94" s="50">
        <f>VLOOKUP($A94,'Data Vlaue (Cr)'!$C:$FB,143)</f>
        <v>3295.93</v>
      </c>
      <c r="E94" s="50">
        <f>VLOOKUP($A94,'Data Vlaue (Cr)'!$C:$FB,144)</f>
        <v>3878.86</v>
      </c>
      <c r="F94" s="50">
        <f>VLOOKUP($A94,'Data Vlaue (Cr)'!$C:$FB,146)*100</f>
        <v>-15.03</v>
      </c>
      <c r="G94" s="49">
        <f>VLOOKUP($A94,'Data Vlaue (Cr)'!$C:$FB,43)</f>
        <v>1651</v>
      </c>
      <c r="H94" s="49">
        <f>VLOOKUP($A94,'Data Vlaue (Cr)'!$C:$FB,44)</f>
        <v>1913</v>
      </c>
      <c r="I94" s="49">
        <f>VLOOKUP($A94,'Data Vlaue (Cr)'!$C:$FB,46)*100</f>
        <v>-13.669999999999998</v>
      </c>
      <c r="J94" s="51">
        <f>VLOOKUP($A94,'Data Vlaue (Cr)'!$C:$FB,59)</f>
        <v>1030</v>
      </c>
      <c r="K94" s="51">
        <f>VLOOKUP($A94,'Data Vlaue (Cr)'!$C:$FB,60)</f>
        <v>1281</v>
      </c>
      <c r="L94" s="51">
        <f>VLOOKUP($A94,'Data Vlaue (Cr)'!$C:$FB,62)*100</f>
        <v>-19.61</v>
      </c>
      <c r="M94" s="51">
        <f>VLOOKUP($A94,'Data Vlaue (Cr)'!$C:$FB,63)</f>
        <v>578</v>
      </c>
      <c r="N94" s="51">
        <f>VLOOKUP($A94,'Data Vlaue (Cr)'!$C:$FB,64)</f>
        <v>626</v>
      </c>
      <c r="O94" s="51">
        <f>VLOOKUP($A94,'Data Vlaue (Cr)'!$C:$FB,66)*100</f>
        <v>-7.7299999999999995</v>
      </c>
    </row>
    <row r="95" spans="1:15" x14ac:dyDescent="0.25">
      <c r="A95" s="101" t="str">
        <f>'Data Vlaue (Cr)'!C90</f>
        <v>IEX</v>
      </c>
      <c r="B95" s="50">
        <f>VLOOKUP($A95,'Data Vlaue (Cr)'!$C:$FB,8)</f>
        <v>147.13999999999999</v>
      </c>
      <c r="C95" s="50">
        <f>VLOOKUP($A95,'Data Vlaue (Cr)'!$C:$FB,11)*100</f>
        <v>0.06</v>
      </c>
      <c r="D95" s="50">
        <f>VLOOKUP($A95,'Data Vlaue (Cr)'!$C:$FB,143)</f>
        <v>1802.69</v>
      </c>
      <c r="E95" s="50">
        <f>VLOOKUP($A95,'Data Vlaue (Cr)'!$C:$FB,144)</f>
        <v>3272.46</v>
      </c>
      <c r="F95" s="50">
        <f>VLOOKUP($A95,'Data Vlaue (Cr)'!$C:$FB,146)*100</f>
        <v>-44.91</v>
      </c>
      <c r="G95" s="49">
        <f>VLOOKUP($A95,'Data Vlaue (Cr)'!$C:$FB,43)</f>
        <v>644</v>
      </c>
      <c r="H95" s="49">
        <f>VLOOKUP($A95,'Data Vlaue (Cr)'!$C:$FB,44)</f>
        <v>903</v>
      </c>
      <c r="I95" s="49">
        <f>VLOOKUP($A95,'Data Vlaue (Cr)'!$C:$FB,46)*100</f>
        <v>-28.71</v>
      </c>
      <c r="J95" s="51">
        <f>VLOOKUP($A95,'Data Vlaue (Cr)'!$C:$FB,59)</f>
        <v>794</v>
      </c>
      <c r="K95" s="51">
        <f>VLOOKUP($A95,'Data Vlaue (Cr)'!$C:$FB,60)</f>
        <v>1618</v>
      </c>
      <c r="L95" s="51">
        <f>VLOOKUP($A95,'Data Vlaue (Cr)'!$C:$FB,62)*100</f>
        <v>-50.94</v>
      </c>
      <c r="M95" s="51">
        <f>VLOOKUP($A95,'Data Vlaue (Cr)'!$C:$FB,63)</f>
        <v>316</v>
      </c>
      <c r="N95" s="51">
        <f>VLOOKUP($A95,'Data Vlaue (Cr)'!$C:$FB,64)</f>
        <v>695</v>
      </c>
      <c r="O95" s="51">
        <f>VLOOKUP($A95,'Data Vlaue (Cr)'!$C:$FB,66)*100</f>
        <v>-54.54</v>
      </c>
    </row>
    <row r="96" spans="1:15" x14ac:dyDescent="0.25">
      <c r="A96" s="101" t="str">
        <f>'Data Vlaue (Cr)'!C91</f>
        <v>IGL</v>
      </c>
      <c r="B96" s="50">
        <f>VLOOKUP($A96,'Data Vlaue (Cr)'!$C:$FB,8)</f>
        <v>213.47</v>
      </c>
      <c r="C96" s="50">
        <f>VLOOKUP($A96,'Data Vlaue (Cr)'!$C:$FB,11)*100</f>
        <v>1.0900000000000001</v>
      </c>
      <c r="D96" s="50">
        <f>VLOOKUP($A96,'Data Vlaue (Cr)'!$C:$FB,143)</f>
        <v>760.21</v>
      </c>
      <c r="E96" s="50">
        <f>VLOOKUP($A96,'Data Vlaue (Cr)'!$C:$FB,144)</f>
        <v>764.42</v>
      </c>
      <c r="F96" s="50">
        <f>VLOOKUP($A96,'Data Vlaue (Cr)'!$C:$FB,146)*100</f>
        <v>-0.54999999999999993</v>
      </c>
      <c r="G96" s="49">
        <f>VLOOKUP($A96,'Data Vlaue (Cr)'!$C:$FB,43)</f>
        <v>286</v>
      </c>
      <c r="H96" s="49">
        <f>VLOOKUP($A96,'Data Vlaue (Cr)'!$C:$FB,44)</f>
        <v>286</v>
      </c>
      <c r="I96" s="49">
        <f>VLOOKUP($A96,'Data Vlaue (Cr)'!$C:$FB,46)*100</f>
        <v>0</v>
      </c>
      <c r="J96" s="51">
        <f>VLOOKUP($A96,'Data Vlaue (Cr)'!$C:$FB,59)</f>
        <v>344</v>
      </c>
      <c r="K96" s="51">
        <f>VLOOKUP($A96,'Data Vlaue (Cr)'!$C:$FB,60)</f>
        <v>337</v>
      </c>
      <c r="L96" s="51">
        <f>VLOOKUP($A96,'Data Vlaue (Cr)'!$C:$FB,62)*100</f>
        <v>2.0099999999999998</v>
      </c>
      <c r="M96" s="51">
        <f>VLOOKUP($A96,'Data Vlaue (Cr)'!$C:$FB,63)</f>
        <v>116</v>
      </c>
      <c r="N96" s="51">
        <f>VLOOKUP($A96,'Data Vlaue (Cr)'!$C:$FB,64)</f>
        <v>135</v>
      </c>
      <c r="O96" s="51">
        <f>VLOOKUP($A96,'Data Vlaue (Cr)'!$C:$FB,66)*100</f>
        <v>-13.69</v>
      </c>
    </row>
    <row r="97" spans="1:15" x14ac:dyDescent="0.25">
      <c r="A97" s="101" t="str">
        <f>'Data Vlaue (Cr)'!C92</f>
        <v>IIFL</v>
      </c>
      <c r="B97" s="50">
        <f>VLOOKUP($A97,'Data Vlaue (Cr)'!$C:$FB,8)</f>
        <v>505.35</v>
      </c>
      <c r="C97" s="50">
        <f>VLOOKUP($A97,'Data Vlaue (Cr)'!$C:$FB,11)*100</f>
        <v>3.17</v>
      </c>
      <c r="D97" s="50">
        <f>VLOOKUP($A97,'Data Vlaue (Cr)'!$C:$FB,143)</f>
        <v>1537.92</v>
      </c>
      <c r="E97" s="50">
        <f>VLOOKUP($A97,'Data Vlaue (Cr)'!$C:$FB,144)</f>
        <v>855.1</v>
      </c>
      <c r="F97" s="50">
        <f>VLOOKUP($A97,'Data Vlaue (Cr)'!$C:$FB,146)*100</f>
        <v>79.849999999999994</v>
      </c>
      <c r="G97" s="49">
        <f>VLOOKUP($A97,'Data Vlaue (Cr)'!$C:$FB,43)</f>
        <v>753</v>
      </c>
      <c r="H97" s="49">
        <f>VLOOKUP($A97,'Data Vlaue (Cr)'!$C:$FB,44)</f>
        <v>636</v>
      </c>
      <c r="I97" s="49">
        <f>VLOOKUP($A97,'Data Vlaue (Cr)'!$C:$FB,46)*100</f>
        <v>18.240000000000002</v>
      </c>
      <c r="J97" s="51">
        <f>VLOOKUP($A97,'Data Vlaue (Cr)'!$C:$FB,59)</f>
        <v>581</v>
      </c>
      <c r="K97" s="51">
        <f>VLOOKUP($A97,'Data Vlaue (Cr)'!$C:$FB,60)</f>
        <v>156</v>
      </c>
      <c r="L97" s="51">
        <f>VLOOKUP($A97,'Data Vlaue (Cr)'!$C:$FB,62)*100</f>
        <v>273.45999999999998</v>
      </c>
      <c r="M97" s="51">
        <f>VLOOKUP($A97,'Data Vlaue (Cr)'!$C:$FB,63)</f>
        <v>195</v>
      </c>
      <c r="N97" s="51">
        <f>VLOOKUP($A97,'Data Vlaue (Cr)'!$C:$FB,64)</f>
        <v>81</v>
      </c>
      <c r="O97" s="51">
        <f>VLOOKUP($A97,'Data Vlaue (Cr)'!$C:$FB,66)*100</f>
        <v>139.54999999999998</v>
      </c>
    </row>
    <row r="98" spans="1:15" x14ac:dyDescent="0.25">
      <c r="A98" s="101" t="str">
        <f>'Data Vlaue (Cr)'!C93</f>
        <v>INDHOTEL</v>
      </c>
      <c r="B98" s="50">
        <f>VLOOKUP($A98,'Data Vlaue (Cr)'!$C:$FB,8)</f>
        <v>746.55</v>
      </c>
      <c r="C98" s="50">
        <f>VLOOKUP($A98,'Data Vlaue (Cr)'!$C:$FB,11)*100</f>
        <v>1.4500000000000002</v>
      </c>
      <c r="D98" s="50">
        <f>VLOOKUP($A98,'Data Vlaue (Cr)'!$C:$FB,143)</f>
        <v>3418.11</v>
      </c>
      <c r="E98" s="50">
        <f>VLOOKUP($A98,'Data Vlaue (Cr)'!$C:$FB,144)</f>
        <v>2691.56</v>
      </c>
      <c r="F98" s="50">
        <f>VLOOKUP($A98,'Data Vlaue (Cr)'!$C:$FB,146)*100</f>
        <v>26.99</v>
      </c>
      <c r="G98" s="49">
        <f>VLOOKUP($A98,'Data Vlaue (Cr)'!$C:$FB,43)</f>
        <v>1639</v>
      </c>
      <c r="H98" s="49">
        <f>VLOOKUP($A98,'Data Vlaue (Cr)'!$C:$FB,44)</f>
        <v>1305</v>
      </c>
      <c r="I98" s="49">
        <f>VLOOKUP($A98,'Data Vlaue (Cr)'!$C:$FB,46)*100</f>
        <v>25.56</v>
      </c>
      <c r="J98" s="51">
        <f>VLOOKUP($A98,'Data Vlaue (Cr)'!$C:$FB,59)</f>
        <v>1086</v>
      </c>
      <c r="K98" s="51">
        <f>VLOOKUP($A98,'Data Vlaue (Cr)'!$C:$FB,60)</f>
        <v>922</v>
      </c>
      <c r="L98" s="51">
        <f>VLOOKUP($A98,'Data Vlaue (Cr)'!$C:$FB,62)*100</f>
        <v>17.78</v>
      </c>
      <c r="M98" s="51">
        <f>VLOOKUP($A98,'Data Vlaue (Cr)'!$C:$FB,63)</f>
        <v>668</v>
      </c>
      <c r="N98" s="51">
        <f>VLOOKUP($A98,'Data Vlaue (Cr)'!$C:$FB,64)</f>
        <v>461</v>
      </c>
      <c r="O98" s="51">
        <f>VLOOKUP($A98,'Data Vlaue (Cr)'!$C:$FB,66)*100</f>
        <v>44.96</v>
      </c>
    </row>
    <row r="99" spans="1:15" x14ac:dyDescent="0.25">
      <c r="A99" s="101" t="str">
        <f>'Data Vlaue (Cr)'!C94</f>
        <v>INDIANB</v>
      </c>
      <c r="B99" s="50">
        <f>VLOOKUP($A99,'Data Vlaue (Cr)'!$C:$FB,8)</f>
        <v>825.85</v>
      </c>
      <c r="C99" s="50">
        <f>VLOOKUP($A99,'Data Vlaue (Cr)'!$C:$FB,11)*100</f>
        <v>0.71000000000000008</v>
      </c>
      <c r="D99" s="50">
        <f>VLOOKUP($A99,'Data Vlaue (Cr)'!$C:$FB,143)</f>
        <v>1728</v>
      </c>
      <c r="E99" s="50">
        <f>VLOOKUP($A99,'Data Vlaue (Cr)'!$C:$FB,144)</f>
        <v>1933.9</v>
      </c>
      <c r="F99" s="50">
        <f>VLOOKUP($A99,'Data Vlaue (Cr)'!$C:$FB,146)*100</f>
        <v>-10.65</v>
      </c>
      <c r="G99" s="49">
        <f>VLOOKUP($A99,'Data Vlaue (Cr)'!$C:$FB,43)</f>
        <v>618</v>
      </c>
      <c r="H99" s="49">
        <f>VLOOKUP($A99,'Data Vlaue (Cr)'!$C:$FB,44)</f>
        <v>706</v>
      </c>
      <c r="I99" s="49">
        <f>VLOOKUP($A99,'Data Vlaue (Cr)'!$C:$FB,46)*100</f>
        <v>-12.55</v>
      </c>
      <c r="J99" s="51">
        <f>VLOOKUP($A99,'Data Vlaue (Cr)'!$C:$FB,59)</f>
        <v>685</v>
      </c>
      <c r="K99" s="51">
        <f>VLOOKUP($A99,'Data Vlaue (Cr)'!$C:$FB,60)</f>
        <v>754</v>
      </c>
      <c r="L99" s="51">
        <f>VLOOKUP($A99,'Data Vlaue (Cr)'!$C:$FB,62)*100</f>
        <v>-9.1300000000000008</v>
      </c>
      <c r="M99" s="51">
        <f>VLOOKUP($A99,'Data Vlaue (Cr)'!$C:$FB,63)</f>
        <v>417</v>
      </c>
      <c r="N99" s="51">
        <f>VLOOKUP($A99,'Data Vlaue (Cr)'!$C:$FB,64)</f>
        <v>481</v>
      </c>
      <c r="O99" s="51">
        <f>VLOOKUP($A99,'Data Vlaue (Cr)'!$C:$FB,66)*100</f>
        <v>-13.22</v>
      </c>
    </row>
    <row r="100" spans="1:15" x14ac:dyDescent="0.25">
      <c r="A100" s="101" t="str">
        <f>'Data Vlaue (Cr)'!C95</f>
        <v>INDIAVIX</v>
      </c>
      <c r="B100" s="50">
        <f>VLOOKUP($A100,'Data Vlaue (Cr)'!$C:$FB,8)</f>
        <v>11.86</v>
      </c>
      <c r="C100" s="50">
        <f>VLOOKUP($A100,'Data Vlaue (Cr)'!$C:$FB,11)*100</f>
        <v>2.31</v>
      </c>
      <c r="D100" s="50">
        <f>VLOOKUP($A100,'Data Vlaue (Cr)'!$C:$FB,143)</f>
        <v>0</v>
      </c>
      <c r="E100" s="50">
        <f>VLOOKUP($A100,'Data Vlaue (Cr)'!$C:$FB,144)</f>
        <v>0</v>
      </c>
      <c r="F100" s="50">
        <f>VLOOKUP($A100,'Data Vlaue (Cr)'!$C:$FB,146)*100</f>
        <v>0</v>
      </c>
      <c r="G100" s="49">
        <f>VLOOKUP($A100,'Data Vlaue (Cr)'!$C:$FB,43)</f>
        <v>0</v>
      </c>
      <c r="H100" s="49">
        <f>VLOOKUP($A100,'Data Vlaue (Cr)'!$C:$FB,44)</f>
        <v>0</v>
      </c>
      <c r="I100" s="49">
        <f>VLOOKUP($A100,'Data Vlaue (Cr)'!$C:$FB,46)*100</f>
        <v>0</v>
      </c>
      <c r="J100" s="51">
        <f>VLOOKUP($A100,'Data Vlaue (Cr)'!$C:$FB,59)</f>
        <v>0</v>
      </c>
      <c r="K100" s="51">
        <f>VLOOKUP($A100,'Data Vlaue (Cr)'!$C:$FB,60)</f>
        <v>0</v>
      </c>
      <c r="L100" s="51">
        <f>VLOOKUP($A100,'Data Vlaue (Cr)'!$C:$FB,62)*100</f>
        <v>0</v>
      </c>
      <c r="M100" s="51">
        <f>VLOOKUP($A100,'Data Vlaue (Cr)'!$C:$FB,63)</f>
        <v>0</v>
      </c>
      <c r="N100" s="51">
        <f>VLOOKUP($A100,'Data Vlaue (Cr)'!$C:$FB,64)</f>
        <v>0</v>
      </c>
      <c r="O100" s="51">
        <f>VLOOKUP($A100,'Data Vlaue (Cr)'!$C:$FB,66)*100</f>
        <v>0</v>
      </c>
    </row>
    <row r="101" spans="1:15" x14ac:dyDescent="0.25">
      <c r="A101" s="101" t="str">
        <f>'Data Vlaue (Cr)'!C96</f>
        <v>INDIGO</v>
      </c>
      <c r="B101" s="50">
        <f>VLOOKUP($A101,'Data Vlaue (Cr)'!$C:$FB,8)</f>
        <v>5835</v>
      </c>
      <c r="C101" s="50">
        <f>VLOOKUP($A101,'Data Vlaue (Cr)'!$C:$FB,11)*100</f>
        <v>0.97</v>
      </c>
      <c r="D101" s="50">
        <f>VLOOKUP($A101,'Data Vlaue (Cr)'!$C:$FB,143)</f>
        <v>8703.81</v>
      </c>
      <c r="E101" s="50">
        <f>VLOOKUP($A101,'Data Vlaue (Cr)'!$C:$FB,144)</f>
        <v>8806.51</v>
      </c>
      <c r="F101" s="50">
        <f>VLOOKUP($A101,'Data Vlaue (Cr)'!$C:$FB,146)*100</f>
        <v>-1.17</v>
      </c>
      <c r="G101" s="49">
        <f>VLOOKUP($A101,'Data Vlaue (Cr)'!$C:$FB,43)</f>
        <v>3599</v>
      </c>
      <c r="H101" s="49">
        <f>VLOOKUP($A101,'Data Vlaue (Cr)'!$C:$FB,44)</f>
        <v>4158</v>
      </c>
      <c r="I101" s="49">
        <f>VLOOKUP($A101,'Data Vlaue (Cr)'!$C:$FB,46)*100</f>
        <v>-13.450000000000001</v>
      </c>
      <c r="J101" s="51">
        <f>VLOOKUP($A101,'Data Vlaue (Cr)'!$C:$FB,59)</f>
        <v>2915</v>
      </c>
      <c r="K101" s="51">
        <f>VLOOKUP($A101,'Data Vlaue (Cr)'!$C:$FB,60)</f>
        <v>2881</v>
      </c>
      <c r="L101" s="51">
        <f>VLOOKUP($A101,'Data Vlaue (Cr)'!$C:$FB,62)*100</f>
        <v>1.18</v>
      </c>
      <c r="M101" s="51">
        <f>VLOOKUP($A101,'Data Vlaue (Cr)'!$C:$FB,63)</f>
        <v>2124</v>
      </c>
      <c r="N101" s="51">
        <f>VLOOKUP($A101,'Data Vlaue (Cr)'!$C:$FB,64)</f>
        <v>1830</v>
      </c>
      <c r="O101" s="51">
        <f>VLOOKUP($A101,'Data Vlaue (Cr)'!$C:$FB,66)*100</f>
        <v>16.03</v>
      </c>
    </row>
    <row r="102" spans="1:15" x14ac:dyDescent="0.25">
      <c r="A102" s="101" t="str">
        <f>'Data Vlaue (Cr)'!C97</f>
        <v>INDUSINDBK</v>
      </c>
      <c r="B102" s="50">
        <f>VLOOKUP($A102,'Data Vlaue (Cr)'!$C:$FB,8)</f>
        <v>770.05</v>
      </c>
      <c r="C102" s="50">
        <f>VLOOKUP($A102,'Data Vlaue (Cr)'!$C:$FB,11)*100</f>
        <v>1.9900000000000002</v>
      </c>
      <c r="D102" s="50">
        <f>VLOOKUP($A102,'Data Vlaue (Cr)'!$C:$FB,143)</f>
        <v>6287.26</v>
      </c>
      <c r="E102" s="50">
        <f>VLOOKUP($A102,'Data Vlaue (Cr)'!$C:$FB,144)</f>
        <v>4775.34</v>
      </c>
      <c r="F102" s="50">
        <f>VLOOKUP($A102,'Data Vlaue (Cr)'!$C:$FB,146)*100</f>
        <v>31.66</v>
      </c>
      <c r="G102" s="49">
        <f>VLOOKUP($A102,'Data Vlaue (Cr)'!$C:$FB,43)</f>
        <v>2934</v>
      </c>
      <c r="H102" s="49">
        <f>VLOOKUP($A102,'Data Vlaue (Cr)'!$C:$FB,44)</f>
        <v>2305</v>
      </c>
      <c r="I102" s="49">
        <f>VLOOKUP($A102,'Data Vlaue (Cr)'!$C:$FB,46)*100</f>
        <v>27.27</v>
      </c>
      <c r="J102" s="51">
        <f>VLOOKUP($A102,'Data Vlaue (Cr)'!$C:$FB,59)</f>
        <v>2069</v>
      </c>
      <c r="K102" s="51">
        <f>VLOOKUP($A102,'Data Vlaue (Cr)'!$C:$FB,60)</f>
        <v>1446</v>
      </c>
      <c r="L102" s="51">
        <f>VLOOKUP($A102,'Data Vlaue (Cr)'!$C:$FB,62)*100</f>
        <v>43.13</v>
      </c>
      <c r="M102" s="51">
        <f>VLOOKUP($A102,'Data Vlaue (Cr)'!$C:$FB,63)</f>
        <v>1249</v>
      </c>
      <c r="N102" s="51">
        <f>VLOOKUP($A102,'Data Vlaue (Cr)'!$C:$FB,64)</f>
        <v>1058</v>
      </c>
      <c r="O102" s="51">
        <f>VLOOKUP($A102,'Data Vlaue (Cr)'!$C:$FB,66)*100</f>
        <v>17.98</v>
      </c>
    </row>
    <row r="103" spans="1:15" x14ac:dyDescent="0.25">
      <c r="A103" s="101" t="str">
        <f>'Data Vlaue (Cr)'!C98</f>
        <v>INDUSTOWER</v>
      </c>
      <c r="B103" s="50">
        <f>VLOOKUP($A103,'Data Vlaue (Cr)'!$C:$FB,8)</f>
        <v>371.3</v>
      </c>
      <c r="C103" s="50">
        <f>VLOOKUP($A103,'Data Vlaue (Cr)'!$C:$FB,11)*100</f>
        <v>2.7</v>
      </c>
      <c r="D103" s="50">
        <f>VLOOKUP($A103,'Data Vlaue (Cr)'!$C:$FB,143)</f>
        <v>14846.17</v>
      </c>
      <c r="E103" s="50">
        <f>VLOOKUP($A103,'Data Vlaue (Cr)'!$C:$FB,144)</f>
        <v>3487.75</v>
      </c>
      <c r="F103" s="50">
        <f>VLOOKUP($A103,'Data Vlaue (Cr)'!$C:$FB,146)*100</f>
        <v>325.67</v>
      </c>
      <c r="G103" s="49">
        <f>VLOOKUP($A103,'Data Vlaue (Cr)'!$C:$FB,43)</f>
        <v>4347</v>
      </c>
      <c r="H103" s="49">
        <f>VLOOKUP($A103,'Data Vlaue (Cr)'!$C:$FB,44)</f>
        <v>2010</v>
      </c>
      <c r="I103" s="49">
        <f>VLOOKUP($A103,'Data Vlaue (Cr)'!$C:$FB,46)*100</f>
        <v>116.24000000000001</v>
      </c>
      <c r="J103" s="51">
        <f>VLOOKUP($A103,'Data Vlaue (Cr)'!$C:$FB,59)</f>
        <v>7112</v>
      </c>
      <c r="K103" s="51">
        <f>VLOOKUP($A103,'Data Vlaue (Cr)'!$C:$FB,60)</f>
        <v>1110</v>
      </c>
      <c r="L103" s="51">
        <f>VLOOKUP($A103,'Data Vlaue (Cr)'!$C:$FB,62)*100</f>
        <v>540.54</v>
      </c>
      <c r="M103" s="51">
        <f>VLOOKUP($A103,'Data Vlaue (Cr)'!$C:$FB,63)</f>
        <v>3102</v>
      </c>
      <c r="N103" s="51">
        <f>VLOOKUP($A103,'Data Vlaue (Cr)'!$C:$FB,64)</f>
        <v>429</v>
      </c>
      <c r="O103" s="51">
        <f>VLOOKUP($A103,'Data Vlaue (Cr)'!$C:$FB,66)*100</f>
        <v>623.09</v>
      </c>
    </row>
    <row r="104" spans="1:15" x14ac:dyDescent="0.25">
      <c r="A104" s="101" t="str">
        <f>'Data Vlaue (Cr)'!C99</f>
        <v>INFY</v>
      </c>
      <c r="B104" s="50">
        <f>VLOOKUP($A104,'Data Vlaue (Cr)'!$C:$FB,8)</f>
        <v>1504.5</v>
      </c>
      <c r="C104" s="50">
        <f>VLOOKUP($A104,'Data Vlaue (Cr)'!$C:$FB,11)*100</f>
        <v>-1.37</v>
      </c>
      <c r="D104" s="50">
        <f>VLOOKUP($A104,'Data Vlaue (Cr)'!$C:$FB,143)</f>
        <v>18790.96</v>
      </c>
      <c r="E104" s="50">
        <f>VLOOKUP($A104,'Data Vlaue (Cr)'!$C:$FB,144)</f>
        <v>23606.22</v>
      </c>
      <c r="F104" s="50">
        <f>VLOOKUP($A104,'Data Vlaue (Cr)'!$C:$FB,146)*100</f>
        <v>-20.399999999999999</v>
      </c>
      <c r="G104" s="49">
        <f>VLOOKUP($A104,'Data Vlaue (Cr)'!$C:$FB,43)</f>
        <v>4777</v>
      </c>
      <c r="H104" s="49">
        <f>VLOOKUP($A104,'Data Vlaue (Cr)'!$C:$FB,44)</f>
        <v>4581</v>
      </c>
      <c r="I104" s="49">
        <f>VLOOKUP($A104,'Data Vlaue (Cr)'!$C:$FB,46)*100</f>
        <v>4.2799999999999994</v>
      </c>
      <c r="J104" s="51">
        <f>VLOOKUP($A104,'Data Vlaue (Cr)'!$C:$FB,59)</f>
        <v>9543</v>
      </c>
      <c r="K104" s="51">
        <f>VLOOKUP($A104,'Data Vlaue (Cr)'!$C:$FB,60)</f>
        <v>12944</v>
      </c>
      <c r="L104" s="51">
        <f>VLOOKUP($A104,'Data Vlaue (Cr)'!$C:$FB,62)*100</f>
        <v>-26.27</v>
      </c>
      <c r="M104" s="51">
        <f>VLOOKUP($A104,'Data Vlaue (Cr)'!$C:$FB,63)</f>
        <v>4215</v>
      </c>
      <c r="N104" s="51">
        <f>VLOOKUP($A104,'Data Vlaue (Cr)'!$C:$FB,64)</f>
        <v>5674</v>
      </c>
      <c r="O104" s="51">
        <f>VLOOKUP($A104,'Data Vlaue (Cr)'!$C:$FB,66)*100</f>
        <v>-25.72</v>
      </c>
    </row>
    <row r="105" spans="1:15" x14ac:dyDescent="0.25">
      <c r="A105" s="101" t="str">
        <f>'Data Vlaue (Cr)'!C100</f>
        <v>INOXWIND</v>
      </c>
      <c r="B105" s="50">
        <f>VLOOKUP($A105,'Data Vlaue (Cr)'!$C:$FB,8)</f>
        <v>153.1</v>
      </c>
      <c r="C105" s="50">
        <f>VLOOKUP($A105,'Data Vlaue (Cr)'!$C:$FB,11)*100</f>
        <v>-0.64</v>
      </c>
      <c r="D105" s="50">
        <f>VLOOKUP($A105,'Data Vlaue (Cr)'!$C:$FB,143)</f>
        <v>951.46</v>
      </c>
      <c r="E105" s="50">
        <f>VLOOKUP($A105,'Data Vlaue (Cr)'!$C:$FB,144)</f>
        <v>1988.57</v>
      </c>
      <c r="F105" s="50">
        <f>VLOOKUP($A105,'Data Vlaue (Cr)'!$C:$FB,146)*100</f>
        <v>-52.15</v>
      </c>
      <c r="G105" s="49">
        <f>VLOOKUP($A105,'Data Vlaue (Cr)'!$C:$FB,43)</f>
        <v>562</v>
      </c>
      <c r="H105" s="49">
        <f>VLOOKUP($A105,'Data Vlaue (Cr)'!$C:$FB,44)</f>
        <v>661</v>
      </c>
      <c r="I105" s="49">
        <f>VLOOKUP($A105,'Data Vlaue (Cr)'!$C:$FB,46)*100</f>
        <v>-15.02</v>
      </c>
      <c r="J105" s="51">
        <f>VLOOKUP($A105,'Data Vlaue (Cr)'!$C:$FB,59)</f>
        <v>279</v>
      </c>
      <c r="K105" s="51">
        <f>VLOOKUP($A105,'Data Vlaue (Cr)'!$C:$FB,60)</f>
        <v>889</v>
      </c>
      <c r="L105" s="51">
        <f>VLOOKUP($A105,'Data Vlaue (Cr)'!$C:$FB,62)*100</f>
        <v>-68.63</v>
      </c>
      <c r="M105" s="51">
        <f>VLOOKUP($A105,'Data Vlaue (Cr)'!$C:$FB,63)</f>
        <v>91</v>
      </c>
      <c r="N105" s="51">
        <f>VLOOKUP($A105,'Data Vlaue (Cr)'!$C:$FB,64)</f>
        <v>384</v>
      </c>
      <c r="O105" s="51">
        <f>VLOOKUP($A105,'Data Vlaue (Cr)'!$C:$FB,66)*100</f>
        <v>-76.149999999999991</v>
      </c>
    </row>
    <row r="106" spans="1:15" x14ac:dyDescent="0.25">
      <c r="A106" s="101" t="str">
        <f>'Data Vlaue (Cr)'!C101</f>
        <v>IOC</v>
      </c>
      <c r="B106" s="50">
        <f>VLOOKUP($A106,'Data Vlaue (Cr)'!$C:$FB,8)</f>
        <v>155.19999999999999</v>
      </c>
      <c r="C106" s="50">
        <f>VLOOKUP($A106,'Data Vlaue (Cr)'!$C:$FB,11)*100</f>
        <v>3.2099999999999995</v>
      </c>
      <c r="D106" s="50">
        <f>VLOOKUP($A106,'Data Vlaue (Cr)'!$C:$FB,143)</f>
        <v>4912.76</v>
      </c>
      <c r="E106" s="50">
        <f>VLOOKUP($A106,'Data Vlaue (Cr)'!$C:$FB,144)</f>
        <v>2878.71</v>
      </c>
      <c r="F106" s="50">
        <f>VLOOKUP($A106,'Data Vlaue (Cr)'!$C:$FB,146)*100</f>
        <v>70.66</v>
      </c>
      <c r="G106" s="49">
        <f>VLOOKUP($A106,'Data Vlaue (Cr)'!$C:$FB,43)</f>
        <v>1420</v>
      </c>
      <c r="H106" s="49">
        <f>VLOOKUP($A106,'Data Vlaue (Cr)'!$C:$FB,44)</f>
        <v>1391</v>
      </c>
      <c r="I106" s="49">
        <f>VLOOKUP($A106,'Data Vlaue (Cr)'!$C:$FB,46)*100</f>
        <v>2.0299999999999998</v>
      </c>
      <c r="J106" s="51">
        <f>VLOOKUP($A106,'Data Vlaue (Cr)'!$C:$FB,59)</f>
        <v>2517</v>
      </c>
      <c r="K106" s="51">
        <f>VLOOKUP($A106,'Data Vlaue (Cr)'!$C:$FB,60)</f>
        <v>1003</v>
      </c>
      <c r="L106" s="51">
        <f>VLOOKUP($A106,'Data Vlaue (Cr)'!$C:$FB,62)*100</f>
        <v>150.89999999999998</v>
      </c>
      <c r="M106" s="51">
        <f>VLOOKUP($A106,'Data Vlaue (Cr)'!$C:$FB,63)</f>
        <v>952</v>
      </c>
      <c r="N106" s="51">
        <f>VLOOKUP($A106,'Data Vlaue (Cr)'!$C:$FB,64)</f>
        <v>522</v>
      </c>
      <c r="O106" s="51">
        <f>VLOOKUP($A106,'Data Vlaue (Cr)'!$C:$FB,66)*100</f>
        <v>82.28</v>
      </c>
    </row>
    <row r="107" spans="1:15" x14ac:dyDescent="0.25">
      <c r="A107" s="101" t="str">
        <f>'Data Vlaue (Cr)'!C102</f>
        <v>IRCTC</v>
      </c>
      <c r="B107" s="50">
        <f>VLOOKUP($A107,'Data Vlaue (Cr)'!$C:$FB,8)</f>
        <v>724.1</v>
      </c>
      <c r="C107" s="50">
        <f>VLOOKUP($A107,'Data Vlaue (Cr)'!$C:$FB,11)*100</f>
        <v>1.3</v>
      </c>
      <c r="D107" s="50">
        <f>VLOOKUP($A107,'Data Vlaue (Cr)'!$C:$FB,143)</f>
        <v>1617.74</v>
      </c>
      <c r="E107" s="50">
        <f>VLOOKUP($A107,'Data Vlaue (Cr)'!$C:$FB,144)</f>
        <v>2668.59</v>
      </c>
      <c r="F107" s="50">
        <f>VLOOKUP($A107,'Data Vlaue (Cr)'!$C:$FB,146)*100</f>
        <v>-39.379999999999995</v>
      </c>
      <c r="G107" s="49">
        <f>VLOOKUP($A107,'Data Vlaue (Cr)'!$C:$FB,43)</f>
        <v>658</v>
      </c>
      <c r="H107" s="49">
        <f>VLOOKUP($A107,'Data Vlaue (Cr)'!$C:$FB,44)</f>
        <v>844</v>
      </c>
      <c r="I107" s="49">
        <f>VLOOKUP($A107,'Data Vlaue (Cr)'!$C:$FB,46)*100</f>
        <v>-22</v>
      </c>
      <c r="J107" s="51">
        <f>VLOOKUP($A107,'Data Vlaue (Cr)'!$C:$FB,59)</f>
        <v>638</v>
      </c>
      <c r="K107" s="51">
        <f>VLOOKUP($A107,'Data Vlaue (Cr)'!$C:$FB,60)</f>
        <v>1385</v>
      </c>
      <c r="L107" s="51">
        <f>VLOOKUP($A107,'Data Vlaue (Cr)'!$C:$FB,62)*100</f>
        <v>-53.910000000000004</v>
      </c>
      <c r="M107" s="51">
        <f>VLOOKUP($A107,'Data Vlaue (Cr)'!$C:$FB,63)</f>
        <v>301</v>
      </c>
      <c r="N107" s="51">
        <f>VLOOKUP($A107,'Data Vlaue (Cr)'!$C:$FB,64)</f>
        <v>408</v>
      </c>
      <c r="O107" s="51">
        <f>VLOOKUP($A107,'Data Vlaue (Cr)'!$C:$FB,66)*100</f>
        <v>-26.240000000000002</v>
      </c>
    </row>
    <row r="108" spans="1:15" x14ac:dyDescent="0.25">
      <c r="A108" s="101" t="str">
        <f>'Data Vlaue (Cr)'!C103</f>
        <v>IREDA</v>
      </c>
      <c r="B108" s="50">
        <f>VLOOKUP($A108,'Data Vlaue (Cr)'!$C:$FB,8)</f>
        <v>153.37</v>
      </c>
      <c r="C108" s="50">
        <f>VLOOKUP($A108,'Data Vlaue (Cr)'!$C:$FB,11)*100</f>
        <v>-0.02</v>
      </c>
      <c r="D108" s="50">
        <f>VLOOKUP($A108,'Data Vlaue (Cr)'!$C:$FB,143)</f>
        <v>1332.22</v>
      </c>
      <c r="E108" s="50">
        <f>VLOOKUP($A108,'Data Vlaue (Cr)'!$C:$FB,144)</f>
        <v>1326.39</v>
      </c>
      <c r="F108" s="50">
        <f>VLOOKUP($A108,'Data Vlaue (Cr)'!$C:$FB,146)*100</f>
        <v>0.44</v>
      </c>
      <c r="G108" s="49">
        <f>VLOOKUP($A108,'Data Vlaue (Cr)'!$C:$FB,43)</f>
        <v>649</v>
      </c>
      <c r="H108" s="49">
        <f>VLOOKUP($A108,'Data Vlaue (Cr)'!$C:$FB,44)</f>
        <v>545</v>
      </c>
      <c r="I108" s="49">
        <f>VLOOKUP($A108,'Data Vlaue (Cr)'!$C:$FB,46)*100</f>
        <v>19.149999999999999</v>
      </c>
      <c r="J108" s="51">
        <f>VLOOKUP($A108,'Data Vlaue (Cr)'!$C:$FB,59)</f>
        <v>493</v>
      </c>
      <c r="K108" s="51">
        <f>VLOOKUP($A108,'Data Vlaue (Cr)'!$C:$FB,60)</f>
        <v>566</v>
      </c>
      <c r="L108" s="51">
        <f>VLOOKUP($A108,'Data Vlaue (Cr)'!$C:$FB,62)*100</f>
        <v>-12.86</v>
      </c>
      <c r="M108" s="51">
        <f>VLOOKUP($A108,'Data Vlaue (Cr)'!$C:$FB,63)</f>
        <v>166</v>
      </c>
      <c r="N108" s="51">
        <f>VLOOKUP($A108,'Data Vlaue (Cr)'!$C:$FB,64)</f>
        <v>192</v>
      </c>
      <c r="O108" s="51">
        <f>VLOOKUP($A108,'Data Vlaue (Cr)'!$C:$FB,66)*100</f>
        <v>-13.88</v>
      </c>
    </row>
    <row r="109" spans="1:15" x14ac:dyDescent="0.25">
      <c r="A109" s="101" t="str">
        <f>'Data Vlaue (Cr)'!C104</f>
        <v>IRFC</v>
      </c>
      <c r="B109" s="50">
        <f>VLOOKUP($A109,'Data Vlaue (Cr)'!$C:$FB,8)</f>
        <v>123.45</v>
      </c>
      <c r="C109" s="50">
        <f>VLOOKUP($A109,'Data Vlaue (Cr)'!$C:$FB,11)*100</f>
        <v>-0.22999999999999998</v>
      </c>
      <c r="D109" s="50">
        <f>VLOOKUP($A109,'Data Vlaue (Cr)'!$C:$FB,143)</f>
        <v>714.99</v>
      </c>
      <c r="E109" s="50">
        <f>VLOOKUP($A109,'Data Vlaue (Cr)'!$C:$FB,144)</f>
        <v>734.53</v>
      </c>
      <c r="F109" s="50">
        <f>VLOOKUP($A109,'Data Vlaue (Cr)'!$C:$FB,146)*100</f>
        <v>-2.6599999999999997</v>
      </c>
      <c r="G109" s="49">
        <f>VLOOKUP($A109,'Data Vlaue (Cr)'!$C:$FB,43)</f>
        <v>372</v>
      </c>
      <c r="H109" s="49">
        <f>VLOOKUP($A109,'Data Vlaue (Cr)'!$C:$FB,44)</f>
        <v>395</v>
      </c>
      <c r="I109" s="49">
        <f>VLOOKUP($A109,'Data Vlaue (Cr)'!$C:$FB,46)*100</f>
        <v>-5.87</v>
      </c>
      <c r="J109" s="51">
        <f>VLOOKUP($A109,'Data Vlaue (Cr)'!$C:$FB,59)</f>
        <v>209</v>
      </c>
      <c r="K109" s="51">
        <f>VLOOKUP($A109,'Data Vlaue (Cr)'!$C:$FB,60)</f>
        <v>234</v>
      </c>
      <c r="L109" s="51">
        <f>VLOOKUP($A109,'Data Vlaue (Cr)'!$C:$FB,62)*100</f>
        <v>-10.74</v>
      </c>
      <c r="M109" s="51">
        <f>VLOOKUP($A109,'Data Vlaue (Cr)'!$C:$FB,63)</f>
        <v>119</v>
      </c>
      <c r="N109" s="51">
        <f>VLOOKUP($A109,'Data Vlaue (Cr)'!$C:$FB,64)</f>
        <v>92</v>
      </c>
      <c r="O109" s="51">
        <f>VLOOKUP($A109,'Data Vlaue (Cr)'!$C:$FB,66)*100</f>
        <v>29.43</v>
      </c>
    </row>
    <row r="110" spans="1:15" x14ac:dyDescent="0.25">
      <c r="A110" s="101" t="str">
        <f>'Data Vlaue (Cr)'!C105</f>
        <v>ITC</v>
      </c>
      <c r="B110" s="50">
        <f>VLOOKUP($A110,'Data Vlaue (Cr)'!$C:$FB,8)</f>
        <v>420.65</v>
      </c>
      <c r="C110" s="50">
        <f>VLOOKUP($A110,'Data Vlaue (Cr)'!$C:$FB,11)*100</f>
        <v>0.91999999999999993</v>
      </c>
      <c r="D110" s="50">
        <f>VLOOKUP($A110,'Data Vlaue (Cr)'!$C:$FB,143)</f>
        <v>10041.200000000001</v>
      </c>
      <c r="E110" s="50">
        <f>VLOOKUP($A110,'Data Vlaue (Cr)'!$C:$FB,144)</f>
        <v>7780.21</v>
      </c>
      <c r="F110" s="50">
        <f>VLOOKUP($A110,'Data Vlaue (Cr)'!$C:$FB,146)*100</f>
        <v>29.060000000000002</v>
      </c>
      <c r="G110" s="49">
        <f>VLOOKUP($A110,'Data Vlaue (Cr)'!$C:$FB,43)</f>
        <v>4438</v>
      </c>
      <c r="H110" s="49">
        <f>VLOOKUP($A110,'Data Vlaue (Cr)'!$C:$FB,44)</f>
        <v>4016</v>
      </c>
      <c r="I110" s="49">
        <f>VLOOKUP($A110,'Data Vlaue (Cr)'!$C:$FB,46)*100</f>
        <v>10.52</v>
      </c>
      <c r="J110" s="51">
        <f>VLOOKUP($A110,'Data Vlaue (Cr)'!$C:$FB,59)</f>
        <v>3308</v>
      </c>
      <c r="K110" s="51">
        <f>VLOOKUP($A110,'Data Vlaue (Cr)'!$C:$FB,60)</f>
        <v>2273</v>
      </c>
      <c r="L110" s="51">
        <f>VLOOKUP($A110,'Data Vlaue (Cr)'!$C:$FB,62)*100</f>
        <v>45.57</v>
      </c>
      <c r="M110" s="51">
        <f>VLOOKUP($A110,'Data Vlaue (Cr)'!$C:$FB,63)</f>
        <v>2251</v>
      </c>
      <c r="N110" s="51">
        <f>VLOOKUP($A110,'Data Vlaue (Cr)'!$C:$FB,64)</f>
        <v>1532</v>
      </c>
      <c r="O110" s="51">
        <f>VLOOKUP($A110,'Data Vlaue (Cr)'!$C:$FB,66)*100</f>
        <v>46.92</v>
      </c>
    </row>
    <row r="111" spans="1:15" x14ac:dyDescent="0.25">
      <c r="A111" s="101" t="str">
        <f>'Data Vlaue (Cr)'!C106</f>
        <v>JINDALSTEL</v>
      </c>
      <c r="B111" s="50">
        <f>VLOOKUP($A111,'Data Vlaue (Cr)'!$C:$FB,8)</f>
        <v>1034.3</v>
      </c>
      <c r="C111" s="50">
        <f>VLOOKUP($A111,'Data Vlaue (Cr)'!$C:$FB,11)*100</f>
        <v>2.59</v>
      </c>
      <c r="D111" s="50">
        <f>VLOOKUP($A111,'Data Vlaue (Cr)'!$C:$FB,143)</f>
        <v>2978.14</v>
      </c>
      <c r="E111" s="50">
        <f>VLOOKUP($A111,'Data Vlaue (Cr)'!$C:$FB,144)</f>
        <v>2751.47</v>
      </c>
      <c r="F111" s="50">
        <f>VLOOKUP($A111,'Data Vlaue (Cr)'!$C:$FB,146)*100</f>
        <v>8.24</v>
      </c>
      <c r="G111" s="49">
        <f>VLOOKUP($A111,'Data Vlaue (Cr)'!$C:$FB,43)</f>
        <v>1066</v>
      </c>
      <c r="H111" s="49">
        <f>VLOOKUP($A111,'Data Vlaue (Cr)'!$C:$FB,44)</f>
        <v>997</v>
      </c>
      <c r="I111" s="49">
        <f>VLOOKUP($A111,'Data Vlaue (Cr)'!$C:$FB,46)*100</f>
        <v>6.94</v>
      </c>
      <c r="J111" s="51">
        <f>VLOOKUP($A111,'Data Vlaue (Cr)'!$C:$FB,59)</f>
        <v>1286</v>
      </c>
      <c r="K111" s="51">
        <f>VLOOKUP($A111,'Data Vlaue (Cr)'!$C:$FB,60)</f>
        <v>1307</v>
      </c>
      <c r="L111" s="51">
        <f>VLOOKUP($A111,'Data Vlaue (Cr)'!$C:$FB,62)*100</f>
        <v>-1.6199999999999999</v>
      </c>
      <c r="M111" s="51">
        <f>VLOOKUP($A111,'Data Vlaue (Cr)'!$C:$FB,63)</f>
        <v>608</v>
      </c>
      <c r="N111" s="51">
        <f>VLOOKUP($A111,'Data Vlaue (Cr)'!$C:$FB,64)</f>
        <v>455</v>
      </c>
      <c r="O111" s="51">
        <f>VLOOKUP($A111,'Data Vlaue (Cr)'!$C:$FB,66)*100</f>
        <v>33.67</v>
      </c>
    </row>
    <row r="112" spans="1:15" x14ac:dyDescent="0.25">
      <c r="A112" s="101" t="str">
        <f>'Data Vlaue (Cr)'!C107</f>
        <v>JIOFIN</v>
      </c>
      <c r="B112" s="50">
        <f>VLOOKUP($A112,'Data Vlaue (Cr)'!$C:$FB,8)</f>
        <v>305.55</v>
      </c>
      <c r="C112" s="50">
        <f>VLOOKUP($A112,'Data Vlaue (Cr)'!$C:$FB,11)*100</f>
        <v>-0.13</v>
      </c>
      <c r="D112" s="50">
        <f>VLOOKUP($A112,'Data Vlaue (Cr)'!$C:$FB,143)</f>
        <v>5184.3900000000003</v>
      </c>
      <c r="E112" s="50">
        <f>VLOOKUP($A112,'Data Vlaue (Cr)'!$C:$FB,144)</f>
        <v>5685.74</v>
      </c>
      <c r="F112" s="50">
        <f>VLOOKUP($A112,'Data Vlaue (Cr)'!$C:$FB,146)*100</f>
        <v>-8.82</v>
      </c>
      <c r="G112" s="49">
        <f>VLOOKUP($A112,'Data Vlaue (Cr)'!$C:$FB,43)</f>
        <v>2422</v>
      </c>
      <c r="H112" s="49">
        <f>VLOOKUP($A112,'Data Vlaue (Cr)'!$C:$FB,44)</f>
        <v>2104</v>
      </c>
      <c r="I112" s="49">
        <f>VLOOKUP($A112,'Data Vlaue (Cr)'!$C:$FB,46)*100</f>
        <v>15.129999999999999</v>
      </c>
      <c r="J112" s="51">
        <f>VLOOKUP($A112,'Data Vlaue (Cr)'!$C:$FB,59)</f>
        <v>1728</v>
      </c>
      <c r="K112" s="51">
        <f>VLOOKUP($A112,'Data Vlaue (Cr)'!$C:$FB,60)</f>
        <v>2402</v>
      </c>
      <c r="L112" s="51">
        <f>VLOOKUP($A112,'Data Vlaue (Cr)'!$C:$FB,62)*100</f>
        <v>-28.060000000000002</v>
      </c>
      <c r="M112" s="51">
        <f>VLOOKUP($A112,'Data Vlaue (Cr)'!$C:$FB,63)</f>
        <v>896</v>
      </c>
      <c r="N112" s="51">
        <f>VLOOKUP($A112,'Data Vlaue (Cr)'!$C:$FB,64)</f>
        <v>1004</v>
      </c>
      <c r="O112" s="51">
        <f>VLOOKUP($A112,'Data Vlaue (Cr)'!$C:$FB,66)*100</f>
        <v>-10.72</v>
      </c>
    </row>
    <row r="113" spans="1:15" x14ac:dyDescent="0.25">
      <c r="A113" s="101" t="str">
        <f>'Data Vlaue (Cr)'!C108</f>
        <v>JSWENERGY</v>
      </c>
      <c r="B113" s="50">
        <f>VLOOKUP($A113,'Data Vlaue (Cr)'!$C:$FB,8)</f>
        <v>529.35</v>
      </c>
      <c r="C113" s="50">
        <f>VLOOKUP($A113,'Data Vlaue (Cr)'!$C:$FB,11)*100</f>
        <v>-0.33999999999999997</v>
      </c>
      <c r="D113" s="50">
        <f>VLOOKUP($A113,'Data Vlaue (Cr)'!$C:$FB,143)</f>
        <v>2455.27</v>
      </c>
      <c r="E113" s="50">
        <f>VLOOKUP($A113,'Data Vlaue (Cr)'!$C:$FB,144)</f>
        <v>3305.85</v>
      </c>
      <c r="F113" s="50">
        <f>VLOOKUP($A113,'Data Vlaue (Cr)'!$C:$FB,146)*100</f>
        <v>-25.729999999999997</v>
      </c>
      <c r="G113" s="49">
        <f>VLOOKUP($A113,'Data Vlaue (Cr)'!$C:$FB,43)</f>
        <v>1234</v>
      </c>
      <c r="H113" s="49">
        <f>VLOOKUP($A113,'Data Vlaue (Cr)'!$C:$FB,44)</f>
        <v>1583</v>
      </c>
      <c r="I113" s="49">
        <f>VLOOKUP($A113,'Data Vlaue (Cr)'!$C:$FB,46)*100</f>
        <v>-22.06</v>
      </c>
      <c r="J113" s="51">
        <f>VLOOKUP($A113,'Data Vlaue (Cr)'!$C:$FB,59)</f>
        <v>826</v>
      </c>
      <c r="K113" s="51">
        <f>VLOOKUP($A113,'Data Vlaue (Cr)'!$C:$FB,60)</f>
        <v>1261</v>
      </c>
      <c r="L113" s="51">
        <f>VLOOKUP($A113,'Data Vlaue (Cr)'!$C:$FB,62)*100</f>
        <v>-34.510000000000005</v>
      </c>
      <c r="M113" s="51">
        <f>VLOOKUP($A113,'Data Vlaue (Cr)'!$C:$FB,63)</f>
        <v>342</v>
      </c>
      <c r="N113" s="51">
        <f>VLOOKUP($A113,'Data Vlaue (Cr)'!$C:$FB,64)</f>
        <v>388</v>
      </c>
      <c r="O113" s="51">
        <f>VLOOKUP($A113,'Data Vlaue (Cr)'!$C:$FB,66)*100</f>
        <v>-11.98</v>
      </c>
    </row>
    <row r="114" spans="1:15" x14ac:dyDescent="0.25">
      <c r="A114" s="101" t="str">
        <f>'Data Vlaue (Cr)'!C109</f>
        <v>JSWSTEEL</v>
      </c>
      <c r="B114" s="50">
        <f>VLOOKUP($A114,'Data Vlaue (Cr)'!$C:$FB,8)</f>
        <v>1150.5999999999999</v>
      </c>
      <c r="C114" s="50">
        <f>VLOOKUP($A114,'Data Vlaue (Cr)'!$C:$FB,11)*100</f>
        <v>0.80999999999999994</v>
      </c>
      <c r="D114" s="50">
        <f>VLOOKUP($A114,'Data Vlaue (Cr)'!$C:$FB,143)</f>
        <v>4471.97</v>
      </c>
      <c r="E114" s="50">
        <f>VLOOKUP($A114,'Data Vlaue (Cr)'!$C:$FB,144)</f>
        <v>5499.75</v>
      </c>
      <c r="F114" s="50">
        <f>VLOOKUP($A114,'Data Vlaue (Cr)'!$C:$FB,146)*100</f>
        <v>-18.690000000000001</v>
      </c>
      <c r="G114" s="49">
        <f>VLOOKUP($A114,'Data Vlaue (Cr)'!$C:$FB,43)</f>
        <v>2406</v>
      </c>
      <c r="H114" s="49">
        <f>VLOOKUP($A114,'Data Vlaue (Cr)'!$C:$FB,44)</f>
        <v>3218</v>
      </c>
      <c r="I114" s="49">
        <f>VLOOKUP($A114,'Data Vlaue (Cr)'!$C:$FB,46)*100</f>
        <v>-25.240000000000002</v>
      </c>
      <c r="J114" s="51">
        <f>VLOOKUP($A114,'Data Vlaue (Cr)'!$C:$FB,59)</f>
        <v>1328</v>
      </c>
      <c r="K114" s="51">
        <f>VLOOKUP($A114,'Data Vlaue (Cr)'!$C:$FB,60)</f>
        <v>1501</v>
      </c>
      <c r="L114" s="51">
        <f>VLOOKUP($A114,'Data Vlaue (Cr)'!$C:$FB,62)*100</f>
        <v>-11.51</v>
      </c>
      <c r="M114" s="51">
        <f>VLOOKUP($A114,'Data Vlaue (Cr)'!$C:$FB,63)</f>
        <v>695</v>
      </c>
      <c r="N114" s="51">
        <f>VLOOKUP($A114,'Data Vlaue (Cr)'!$C:$FB,64)</f>
        <v>760</v>
      </c>
      <c r="O114" s="51">
        <f>VLOOKUP($A114,'Data Vlaue (Cr)'!$C:$FB,66)*100</f>
        <v>-8.58</v>
      </c>
    </row>
    <row r="115" spans="1:15" x14ac:dyDescent="0.25">
      <c r="A115" s="101" t="str">
        <f>'Data Vlaue (Cr)'!C110</f>
        <v>JUBLFOOD</v>
      </c>
      <c r="B115" s="50">
        <f>VLOOKUP($A115,'Data Vlaue (Cr)'!$C:$FB,8)</f>
        <v>595.70000000000005</v>
      </c>
      <c r="C115" s="50">
        <f>VLOOKUP($A115,'Data Vlaue (Cr)'!$C:$FB,11)*100</f>
        <v>0.86999999999999988</v>
      </c>
      <c r="D115" s="50">
        <f>VLOOKUP($A115,'Data Vlaue (Cr)'!$C:$FB,143)</f>
        <v>1786.46</v>
      </c>
      <c r="E115" s="50">
        <f>VLOOKUP($A115,'Data Vlaue (Cr)'!$C:$FB,144)</f>
        <v>1778.87</v>
      </c>
      <c r="F115" s="50">
        <f>VLOOKUP($A115,'Data Vlaue (Cr)'!$C:$FB,146)*100</f>
        <v>0.43</v>
      </c>
      <c r="G115" s="49">
        <f>VLOOKUP($A115,'Data Vlaue (Cr)'!$C:$FB,43)</f>
        <v>1122</v>
      </c>
      <c r="H115" s="49">
        <f>VLOOKUP($A115,'Data Vlaue (Cr)'!$C:$FB,44)</f>
        <v>1015</v>
      </c>
      <c r="I115" s="49">
        <f>VLOOKUP($A115,'Data Vlaue (Cr)'!$C:$FB,46)*100</f>
        <v>10.63</v>
      </c>
      <c r="J115" s="51">
        <f>VLOOKUP($A115,'Data Vlaue (Cr)'!$C:$FB,59)</f>
        <v>448</v>
      </c>
      <c r="K115" s="51">
        <f>VLOOKUP($A115,'Data Vlaue (Cr)'!$C:$FB,60)</f>
        <v>499</v>
      </c>
      <c r="L115" s="51">
        <f>VLOOKUP($A115,'Data Vlaue (Cr)'!$C:$FB,62)*100</f>
        <v>-10.17</v>
      </c>
      <c r="M115" s="51">
        <f>VLOOKUP($A115,'Data Vlaue (Cr)'!$C:$FB,63)</f>
        <v>197</v>
      </c>
      <c r="N115" s="51">
        <f>VLOOKUP($A115,'Data Vlaue (Cr)'!$C:$FB,64)</f>
        <v>248</v>
      </c>
      <c r="O115" s="51">
        <f>VLOOKUP($A115,'Data Vlaue (Cr)'!$C:$FB,66)*100</f>
        <v>-20.23</v>
      </c>
    </row>
    <row r="116" spans="1:15" x14ac:dyDescent="0.25">
      <c r="A116" s="101" t="str">
        <f>'Data Vlaue (Cr)'!C111</f>
        <v>KALYANKJIL</v>
      </c>
      <c r="B116" s="50">
        <f>VLOOKUP($A116,'Data Vlaue (Cr)'!$C:$FB,8)</f>
        <v>505.85</v>
      </c>
      <c r="C116" s="50">
        <f>VLOOKUP($A116,'Data Vlaue (Cr)'!$C:$FB,11)*100</f>
        <v>2.13</v>
      </c>
      <c r="D116" s="50">
        <f>VLOOKUP($A116,'Data Vlaue (Cr)'!$C:$FB,143)</f>
        <v>2770.49</v>
      </c>
      <c r="E116" s="50">
        <f>VLOOKUP($A116,'Data Vlaue (Cr)'!$C:$FB,144)</f>
        <v>1963.91</v>
      </c>
      <c r="F116" s="50">
        <f>VLOOKUP($A116,'Data Vlaue (Cr)'!$C:$FB,146)*100</f>
        <v>41.07</v>
      </c>
      <c r="G116" s="49">
        <f>VLOOKUP($A116,'Data Vlaue (Cr)'!$C:$FB,43)</f>
        <v>1311</v>
      </c>
      <c r="H116" s="49">
        <f>VLOOKUP($A116,'Data Vlaue (Cr)'!$C:$FB,44)</f>
        <v>1019</v>
      </c>
      <c r="I116" s="49">
        <f>VLOOKUP($A116,'Data Vlaue (Cr)'!$C:$FB,46)*100</f>
        <v>28.7</v>
      </c>
      <c r="J116" s="51">
        <f>VLOOKUP($A116,'Data Vlaue (Cr)'!$C:$FB,59)</f>
        <v>1016</v>
      </c>
      <c r="K116" s="51">
        <f>VLOOKUP($A116,'Data Vlaue (Cr)'!$C:$FB,60)</f>
        <v>690</v>
      </c>
      <c r="L116" s="51">
        <f>VLOOKUP($A116,'Data Vlaue (Cr)'!$C:$FB,62)*100</f>
        <v>47.199999999999996</v>
      </c>
      <c r="M116" s="51">
        <f>VLOOKUP($A116,'Data Vlaue (Cr)'!$C:$FB,63)</f>
        <v>438</v>
      </c>
      <c r="N116" s="51">
        <f>VLOOKUP($A116,'Data Vlaue (Cr)'!$C:$FB,64)</f>
        <v>260</v>
      </c>
      <c r="O116" s="51">
        <f>VLOOKUP($A116,'Data Vlaue (Cr)'!$C:$FB,66)*100</f>
        <v>68.72</v>
      </c>
    </row>
    <row r="117" spans="1:15" x14ac:dyDescent="0.25">
      <c r="A117" s="101" t="str">
        <f>'Data Vlaue (Cr)'!C112</f>
        <v>KAYNES</v>
      </c>
      <c r="B117" s="50">
        <f>VLOOKUP($A117,'Data Vlaue (Cr)'!$C:$FB,8)</f>
        <v>6737.5</v>
      </c>
      <c r="C117" s="50">
        <f>VLOOKUP($A117,'Data Vlaue (Cr)'!$C:$FB,11)*100</f>
        <v>0.73</v>
      </c>
      <c r="D117" s="50">
        <f>VLOOKUP($A117,'Data Vlaue (Cr)'!$C:$FB,143)</f>
        <v>2827.88</v>
      </c>
      <c r="E117" s="50">
        <f>VLOOKUP($A117,'Data Vlaue (Cr)'!$C:$FB,144)</f>
        <v>3948.28</v>
      </c>
      <c r="F117" s="50">
        <f>VLOOKUP($A117,'Data Vlaue (Cr)'!$C:$FB,146)*100</f>
        <v>-28.38</v>
      </c>
      <c r="G117" s="49">
        <f>VLOOKUP($A117,'Data Vlaue (Cr)'!$C:$FB,43)</f>
        <v>719</v>
      </c>
      <c r="H117" s="49">
        <f>VLOOKUP($A117,'Data Vlaue (Cr)'!$C:$FB,44)</f>
        <v>814</v>
      </c>
      <c r="I117" s="49">
        <f>VLOOKUP($A117,'Data Vlaue (Cr)'!$C:$FB,46)*100</f>
        <v>-11.74</v>
      </c>
      <c r="J117" s="51">
        <f>VLOOKUP($A117,'Data Vlaue (Cr)'!$C:$FB,59)</f>
        <v>1486</v>
      </c>
      <c r="K117" s="51">
        <f>VLOOKUP($A117,'Data Vlaue (Cr)'!$C:$FB,60)</f>
        <v>2217</v>
      </c>
      <c r="L117" s="51">
        <f>VLOOKUP($A117,'Data Vlaue (Cr)'!$C:$FB,62)*100</f>
        <v>-33</v>
      </c>
      <c r="M117" s="51">
        <f>VLOOKUP($A117,'Data Vlaue (Cr)'!$C:$FB,63)</f>
        <v>503</v>
      </c>
      <c r="N117" s="51">
        <f>VLOOKUP($A117,'Data Vlaue (Cr)'!$C:$FB,64)</f>
        <v>789</v>
      </c>
      <c r="O117" s="51">
        <f>VLOOKUP($A117,'Data Vlaue (Cr)'!$C:$FB,66)*100</f>
        <v>-36.230000000000004</v>
      </c>
    </row>
    <row r="118" spans="1:15" x14ac:dyDescent="0.25">
      <c r="A118" s="101" t="str">
        <f>'Data Vlaue (Cr)'!C113</f>
        <v>KEI</v>
      </c>
      <c r="B118" s="50">
        <f>VLOOKUP($A118,'Data Vlaue (Cr)'!$C:$FB,8)</f>
        <v>4084.8</v>
      </c>
      <c r="C118" s="50">
        <f>VLOOKUP($A118,'Data Vlaue (Cr)'!$C:$FB,11)*100</f>
        <v>-0.9900000000000001</v>
      </c>
      <c r="D118" s="50">
        <f>VLOOKUP($A118,'Data Vlaue (Cr)'!$C:$FB,143)</f>
        <v>1642.48</v>
      </c>
      <c r="E118" s="50">
        <f>VLOOKUP($A118,'Data Vlaue (Cr)'!$C:$FB,144)</f>
        <v>1889.97</v>
      </c>
      <c r="F118" s="50">
        <f>VLOOKUP($A118,'Data Vlaue (Cr)'!$C:$FB,146)*100</f>
        <v>-13.089999999999998</v>
      </c>
      <c r="G118" s="49">
        <f>VLOOKUP($A118,'Data Vlaue (Cr)'!$C:$FB,43)</f>
        <v>503</v>
      </c>
      <c r="H118" s="49">
        <f>VLOOKUP($A118,'Data Vlaue (Cr)'!$C:$FB,44)</f>
        <v>682</v>
      </c>
      <c r="I118" s="49">
        <f>VLOOKUP($A118,'Data Vlaue (Cr)'!$C:$FB,46)*100</f>
        <v>-26.200000000000003</v>
      </c>
      <c r="J118" s="51">
        <f>VLOOKUP($A118,'Data Vlaue (Cr)'!$C:$FB,59)</f>
        <v>860</v>
      </c>
      <c r="K118" s="51">
        <f>VLOOKUP($A118,'Data Vlaue (Cr)'!$C:$FB,60)</f>
        <v>785</v>
      </c>
      <c r="L118" s="51">
        <f>VLOOKUP($A118,'Data Vlaue (Cr)'!$C:$FB,62)*100</f>
        <v>9.48</v>
      </c>
      <c r="M118" s="51">
        <f>VLOOKUP($A118,'Data Vlaue (Cr)'!$C:$FB,63)</f>
        <v>227</v>
      </c>
      <c r="N118" s="51">
        <f>VLOOKUP($A118,'Data Vlaue (Cr)'!$C:$FB,64)</f>
        <v>379</v>
      </c>
      <c r="O118" s="51">
        <f>VLOOKUP($A118,'Data Vlaue (Cr)'!$C:$FB,66)*100</f>
        <v>-40.050000000000004</v>
      </c>
    </row>
    <row r="119" spans="1:15" x14ac:dyDescent="0.25">
      <c r="A119" s="101" t="str">
        <f>'Data Vlaue (Cr)'!C114</f>
        <v>KFINTECH</v>
      </c>
      <c r="B119" s="50">
        <f>VLOOKUP($A119,'Data Vlaue (Cr)'!$C:$FB,8)</f>
        <v>1168.9000000000001</v>
      </c>
      <c r="C119" s="50">
        <f>VLOOKUP($A119,'Data Vlaue (Cr)'!$C:$FB,11)*100</f>
        <v>1.7000000000000002</v>
      </c>
      <c r="D119" s="50">
        <f>VLOOKUP($A119,'Data Vlaue (Cr)'!$C:$FB,143)</f>
        <v>2228.79</v>
      </c>
      <c r="E119" s="50">
        <f>VLOOKUP($A119,'Data Vlaue (Cr)'!$C:$FB,144)</f>
        <v>1026.07</v>
      </c>
      <c r="F119" s="50">
        <f>VLOOKUP($A119,'Data Vlaue (Cr)'!$C:$FB,146)*100</f>
        <v>117.21999999999998</v>
      </c>
      <c r="G119" s="49">
        <f>VLOOKUP($A119,'Data Vlaue (Cr)'!$C:$FB,43)</f>
        <v>500</v>
      </c>
      <c r="H119" s="49">
        <f>VLOOKUP($A119,'Data Vlaue (Cr)'!$C:$FB,44)</f>
        <v>398</v>
      </c>
      <c r="I119" s="49">
        <f>VLOOKUP($A119,'Data Vlaue (Cr)'!$C:$FB,46)*100</f>
        <v>25.779999999999998</v>
      </c>
      <c r="J119" s="51">
        <f>VLOOKUP($A119,'Data Vlaue (Cr)'!$C:$FB,59)</f>
        <v>1228</v>
      </c>
      <c r="K119" s="51">
        <f>VLOOKUP($A119,'Data Vlaue (Cr)'!$C:$FB,60)</f>
        <v>458</v>
      </c>
      <c r="L119" s="51">
        <f>VLOOKUP($A119,'Data Vlaue (Cr)'!$C:$FB,62)*100</f>
        <v>168.3</v>
      </c>
      <c r="M119" s="51">
        <f>VLOOKUP($A119,'Data Vlaue (Cr)'!$C:$FB,63)</f>
        <v>460</v>
      </c>
      <c r="N119" s="51">
        <f>VLOOKUP($A119,'Data Vlaue (Cr)'!$C:$FB,64)</f>
        <v>173</v>
      </c>
      <c r="O119" s="51">
        <f>VLOOKUP($A119,'Data Vlaue (Cr)'!$C:$FB,66)*100</f>
        <v>166.44</v>
      </c>
    </row>
    <row r="120" spans="1:15" x14ac:dyDescent="0.25">
      <c r="A120" s="101" t="str">
        <f>'Data Vlaue (Cr)'!C115</f>
        <v>KOTAKBANK</v>
      </c>
      <c r="B120" s="50">
        <f>VLOOKUP($A120,'Data Vlaue (Cr)'!$C:$FB,8)</f>
        <v>2148.6</v>
      </c>
      <c r="C120" s="50">
        <f>VLOOKUP($A120,'Data Vlaue (Cr)'!$C:$FB,11)*100</f>
        <v>-1.76</v>
      </c>
      <c r="D120" s="50">
        <f>VLOOKUP($A120,'Data Vlaue (Cr)'!$C:$FB,143)</f>
        <v>24251.49</v>
      </c>
      <c r="E120" s="50">
        <f>VLOOKUP($A120,'Data Vlaue (Cr)'!$C:$FB,144)</f>
        <v>19551.47</v>
      </c>
      <c r="F120" s="50">
        <f>VLOOKUP($A120,'Data Vlaue (Cr)'!$C:$FB,146)*100</f>
        <v>24.04</v>
      </c>
      <c r="G120" s="49">
        <f>VLOOKUP($A120,'Data Vlaue (Cr)'!$C:$FB,43)</f>
        <v>5864</v>
      </c>
      <c r="H120" s="49">
        <f>VLOOKUP($A120,'Data Vlaue (Cr)'!$C:$FB,44)</f>
        <v>5019</v>
      </c>
      <c r="I120" s="49">
        <f>VLOOKUP($A120,'Data Vlaue (Cr)'!$C:$FB,46)*100</f>
        <v>16.850000000000001</v>
      </c>
      <c r="J120" s="51">
        <f>VLOOKUP($A120,'Data Vlaue (Cr)'!$C:$FB,59)</f>
        <v>10610</v>
      </c>
      <c r="K120" s="51">
        <f>VLOOKUP($A120,'Data Vlaue (Cr)'!$C:$FB,60)</f>
        <v>8069</v>
      </c>
      <c r="L120" s="51">
        <f>VLOOKUP($A120,'Data Vlaue (Cr)'!$C:$FB,62)*100</f>
        <v>31.490000000000002</v>
      </c>
      <c r="M120" s="51">
        <f>VLOOKUP($A120,'Data Vlaue (Cr)'!$C:$FB,63)</f>
        <v>7405</v>
      </c>
      <c r="N120" s="51">
        <f>VLOOKUP($A120,'Data Vlaue (Cr)'!$C:$FB,64)</f>
        <v>5976</v>
      </c>
      <c r="O120" s="51">
        <f>VLOOKUP($A120,'Data Vlaue (Cr)'!$C:$FB,66)*100</f>
        <v>23.91</v>
      </c>
    </row>
    <row r="121" spans="1:15" x14ac:dyDescent="0.25">
      <c r="A121" s="101" t="str">
        <f>'Data Vlaue (Cr)'!C116</f>
        <v>KPITTECH</v>
      </c>
      <c r="B121" s="50">
        <f>VLOOKUP($A121,'Data Vlaue (Cr)'!$C:$FB,8)</f>
        <v>1207</v>
      </c>
      <c r="C121" s="50">
        <f>VLOOKUP($A121,'Data Vlaue (Cr)'!$C:$FB,11)*100</f>
        <v>2.4</v>
      </c>
      <c r="D121" s="50">
        <f>VLOOKUP($A121,'Data Vlaue (Cr)'!$C:$FB,143)</f>
        <v>1922.31</v>
      </c>
      <c r="E121" s="50">
        <f>VLOOKUP($A121,'Data Vlaue (Cr)'!$C:$FB,144)</f>
        <v>1366.1</v>
      </c>
      <c r="F121" s="50">
        <f>VLOOKUP($A121,'Data Vlaue (Cr)'!$C:$FB,146)*100</f>
        <v>40.72</v>
      </c>
      <c r="G121" s="49">
        <f>VLOOKUP($A121,'Data Vlaue (Cr)'!$C:$FB,43)</f>
        <v>517</v>
      </c>
      <c r="H121" s="49">
        <f>VLOOKUP($A121,'Data Vlaue (Cr)'!$C:$FB,44)</f>
        <v>589</v>
      </c>
      <c r="I121" s="49">
        <f>VLOOKUP($A121,'Data Vlaue (Cr)'!$C:$FB,46)*100</f>
        <v>-12.15</v>
      </c>
      <c r="J121" s="51">
        <f>VLOOKUP($A121,'Data Vlaue (Cr)'!$C:$FB,59)</f>
        <v>1033</v>
      </c>
      <c r="K121" s="51">
        <f>VLOOKUP($A121,'Data Vlaue (Cr)'!$C:$FB,60)</f>
        <v>553</v>
      </c>
      <c r="L121" s="51">
        <f>VLOOKUP($A121,'Data Vlaue (Cr)'!$C:$FB,62)*100</f>
        <v>86.76</v>
      </c>
      <c r="M121" s="51">
        <f>VLOOKUP($A121,'Data Vlaue (Cr)'!$C:$FB,63)</f>
        <v>361</v>
      </c>
      <c r="N121" s="51">
        <f>VLOOKUP($A121,'Data Vlaue (Cr)'!$C:$FB,64)</f>
        <v>257</v>
      </c>
      <c r="O121" s="51">
        <f>VLOOKUP($A121,'Data Vlaue (Cr)'!$C:$FB,66)*100</f>
        <v>40.43</v>
      </c>
    </row>
    <row r="122" spans="1:15" x14ac:dyDescent="0.25">
      <c r="A122" s="101" t="str">
        <f>'Data Vlaue (Cr)'!C117</f>
        <v>LAURUSLABS</v>
      </c>
      <c r="B122" s="50">
        <f>VLOOKUP($A122,'Data Vlaue (Cr)'!$C:$FB,8)</f>
        <v>940.15</v>
      </c>
      <c r="C122" s="50">
        <f>VLOOKUP($A122,'Data Vlaue (Cr)'!$C:$FB,11)*100</f>
        <v>1.48</v>
      </c>
      <c r="D122" s="50">
        <f>VLOOKUP($A122,'Data Vlaue (Cr)'!$C:$FB,143)</f>
        <v>15225.57</v>
      </c>
      <c r="E122" s="50">
        <f>VLOOKUP($A122,'Data Vlaue (Cr)'!$C:$FB,144)</f>
        <v>29354.25</v>
      </c>
      <c r="F122" s="50">
        <f>VLOOKUP($A122,'Data Vlaue (Cr)'!$C:$FB,146)*100</f>
        <v>-48.13</v>
      </c>
      <c r="G122" s="49">
        <f>VLOOKUP($A122,'Data Vlaue (Cr)'!$C:$FB,43)</f>
        <v>2319</v>
      </c>
      <c r="H122" s="49">
        <f>VLOOKUP($A122,'Data Vlaue (Cr)'!$C:$FB,44)</f>
        <v>3195</v>
      </c>
      <c r="I122" s="49">
        <f>VLOOKUP($A122,'Data Vlaue (Cr)'!$C:$FB,46)*100</f>
        <v>-27.400000000000002</v>
      </c>
      <c r="J122" s="51">
        <f>VLOOKUP($A122,'Data Vlaue (Cr)'!$C:$FB,59)</f>
        <v>9060</v>
      </c>
      <c r="K122" s="51">
        <f>VLOOKUP($A122,'Data Vlaue (Cr)'!$C:$FB,60)</f>
        <v>17807</v>
      </c>
      <c r="L122" s="51">
        <f>VLOOKUP($A122,'Data Vlaue (Cr)'!$C:$FB,62)*100</f>
        <v>-49.120000000000005</v>
      </c>
      <c r="M122" s="51">
        <f>VLOOKUP($A122,'Data Vlaue (Cr)'!$C:$FB,63)</f>
        <v>3545</v>
      </c>
      <c r="N122" s="51">
        <f>VLOOKUP($A122,'Data Vlaue (Cr)'!$C:$FB,64)</f>
        <v>8242</v>
      </c>
      <c r="O122" s="51">
        <f>VLOOKUP($A122,'Data Vlaue (Cr)'!$C:$FB,66)*100</f>
        <v>-56.989999999999995</v>
      </c>
    </row>
    <row r="123" spans="1:15" x14ac:dyDescent="0.25">
      <c r="A123" s="101" t="str">
        <f>'Data Vlaue (Cr)'!C118</f>
        <v>LICHSGFIN</v>
      </c>
      <c r="B123" s="50">
        <f>VLOOKUP($A123,'Data Vlaue (Cr)'!$C:$FB,8)</f>
        <v>584.35</v>
      </c>
      <c r="C123" s="50">
        <f>VLOOKUP($A123,'Data Vlaue (Cr)'!$C:$FB,11)*100</f>
        <v>0.84</v>
      </c>
      <c r="D123" s="50">
        <f>VLOOKUP($A123,'Data Vlaue (Cr)'!$C:$FB,143)</f>
        <v>2636.67</v>
      </c>
      <c r="E123" s="50">
        <f>VLOOKUP($A123,'Data Vlaue (Cr)'!$C:$FB,144)</f>
        <v>1856.8</v>
      </c>
      <c r="F123" s="50">
        <f>VLOOKUP($A123,'Data Vlaue (Cr)'!$C:$FB,146)*100</f>
        <v>42</v>
      </c>
      <c r="G123" s="49">
        <f>VLOOKUP($A123,'Data Vlaue (Cr)'!$C:$FB,43)</f>
        <v>1641</v>
      </c>
      <c r="H123" s="49">
        <f>VLOOKUP($A123,'Data Vlaue (Cr)'!$C:$FB,44)</f>
        <v>809</v>
      </c>
      <c r="I123" s="49">
        <f>VLOOKUP($A123,'Data Vlaue (Cr)'!$C:$FB,46)*100</f>
        <v>102.83</v>
      </c>
      <c r="J123" s="51">
        <f>VLOOKUP($A123,'Data Vlaue (Cr)'!$C:$FB,59)</f>
        <v>620</v>
      </c>
      <c r="K123" s="51">
        <f>VLOOKUP($A123,'Data Vlaue (Cr)'!$C:$FB,60)</f>
        <v>745</v>
      </c>
      <c r="L123" s="51">
        <f>VLOOKUP($A123,'Data Vlaue (Cr)'!$C:$FB,62)*100</f>
        <v>-16.79</v>
      </c>
      <c r="M123" s="51">
        <f>VLOOKUP($A123,'Data Vlaue (Cr)'!$C:$FB,63)</f>
        <v>347</v>
      </c>
      <c r="N123" s="51">
        <f>VLOOKUP($A123,'Data Vlaue (Cr)'!$C:$FB,64)</f>
        <v>287</v>
      </c>
      <c r="O123" s="51">
        <f>VLOOKUP($A123,'Data Vlaue (Cr)'!$C:$FB,66)*100</f>
        <v>20.849999999999998</v>
      </c>
    </row>
    <row r="124" spans="1:15" x14ac:dyDescent="0.25">
      <c r="A124" s="101" t="str">
        <f>'Data Vlaue (Cr)'!C119</f>
        <v>LICI</v>
      </c>
      <c r="B124" s="50">
        <f>VLOOKUP($A124,'Data Vlaue (Cr)'!$C:$FB,8)</f>
        <v>897.65</v>
      </c>
      <c r="C124" s="50">
        <f>VLOOKUP($A124,'Data Vlaue (Cr)'!$C:$FB,11)*100</f>
        <v>0.89999999999999991</v>
      </c>
      <c r="D124" s="50">
        <f>VLOOKUP($A124,'Data Vlaue (Cr)'!$C:$FB,143)</f>
        <v>1276.1300000000001</v>
      </c>
      <c r="E124" s="50">
        <f>VLOOKUP($A124,'Data Vlaue (Cr)'!$C:$FB,144)</f>
        <v>1238.74</v>
      </c>
      <c r="F124" s="50">
        <f>VLOOKUP($A124,'Data Vlaue (Cr)'!$C:$FB,146)*100</f>
        <v>3.02</v>
      </c>
      <c r="G124" s="49">
        <f>VLOOKUP($A124,'Data Vlaue (Cr)'!$C:$FB,43)</f>
        <v>569</v>
      </c>
      <c r="H124" s="49">
        <f>VLOOKUP($A124,'Data Vlaue (Cr)'!$C:$FB,44)</f>
        <v>606</v>
      </c>
      <c r="I124" s="49">
        <f>VLOOKUP($A124,'Data Vlaue (Cr)'!$C:$FB,46)*100</f>
        <v>-6.08</v>
      </c>
      <c r="J124" s="51">
        <f>VLOOKUP($A124,'Data Vlaue (Cr)'!$C:$FB,59)</f>
        <v>391</v>
      </c>
      <c r="K124" s="51">
        <f>VLOOKUP($A124,'Data Vlaue (Cr)'!$C:$FB,60)</f>
        <v>405</v>
      </c>
      <c r="L124" s="51">
        <f>VLOOKUP($A124,'Data Vlaue (Cr)'!$C:$FB,62)*100</f>
        <v>-3.37</v>
      </c>
      <c r="M124" s="51">
        <f>VLOOKUP($A124,'Data Vlaue (Cr)'!$C:$FB,63)</f>
        <v>309</v>
      </c>
      <c r="N124" s="51">
        <f>VLOOKUP($A124,'Data Vlaue (Cr)'!$C:$FB,64)</f>
        <v>220</v>
      </c>
      <c r="O124" s="51">
        <f>VLOOKUP($A124,'Data Vlaue (Cr)'!$C:$FB,66)*100</f>
        <v>40.400000000000006</v>
      </c>
    </row>
    <row r="125" spans="1:15" x14ac:dyDescent="0.25">
      <c r="A125" s="101" t="str">
        <f>'Data Vlaue (Cr)'!C120</f>
        <v>LODHA</v>
      </c>
      <c r="B125" s="50">
        <f>VLOOKUP($A125,'Data Vlaue (Cr)'!$C:$FB,8)</f>
        <v>1177</v>
      </c>
      <c r="C125" s="50">
        <f>VLOOKUP($A125,'Data Vlaue (Cr)'!$C:$FB,11)*100</f>
        <v>0.35000000000000003</v>
      </c>
      <c r="D125" s="50">
        <f>VLOOKUP($A125,'Data Vlaue (Cr)'!$C:$FB,143)</f>
        <v>2068.69</v>
      </c>
      <c r="E125" s="50">
        <f>VLOOKUP($A125,'Data Vlaue (Cr)'!$C:$FB,144)</f>
        <v>1653.35</v>
      </c>
      <c r="F125" s="50">
        <f>VLOOKUP($A125,'Data Vlaue (Cr)'!$C:$FB,146)*100</f>
        <v>25.119999999999997</v>
      </c>
      <c r="G125" s="49">
        <f>VLOOKUP($A125,'Data Vlaue (Cr)'!$C:$FB,43)</f>
        <v>932</v>
      </c>
      <c r="H125" s="49">
        <f>VLOOKUP($A125,'Data Vlaue (Cr)'!$C:$FB,44)</f>
        <v>813</v>
      </c>
      <c r="I125" s="49">
        <f>VLOOKUP($A125,'Data Vlaue (Cr)'!$C:$FB,46)*100</f>
        <v>14.680000000000001</v>
      </c>
      <c r="J125" s="51">
        <f>VLOOKUP($A125,'Data Vlaue (Cr)'!$C:$FB,59)</f>
        <v>634</v>
      </c>
      <c r="K125" s="51">
        <f>VLOOKUP($A125,'Data Vlaue (Cr)'!$C:$FB,60)</f>
        <v>602</v>
      </c>
      <c r="L125" s="51">
        <f>VLOOKUP($A125,'Data Vlaue (Cr)'!$C:$FB,62)*100</f>
        <v>5.3</v>
      </c>
      <c r="M125" s="51">
        <f>VLOOKUP($A125,'Data Vlaue (Cr)'!$C:$FB,63)</f>
        <v>483</v>
      </c>
      <c r="N125" s="51">
        <f>VLOOKUP($A125,'Data Vlaue (Cr)'!$C:$FB,64)</f>
        <v>208</v>
      </c>
      <c r="O125" s="51">
        <f>VLOOKUP($A125,'Data Vlaue (Cr)'!$C:$FB,66)*100</f>
        <v>132.29999999999998</v>
      </c>
    </row>
    <row r="126" spans="1:15" x14ac:dyDescent="0.25">
      <c r="A126" s="101" t="str">
        <f>'Data Vlaue (Cr)'!C121</f>
        <v>LT</v>
      </c>
      <c r="B126" s="50">
        <f>VLOOKUP($A126,'Data Vlaue (Cr)'!$C:$FB,8)</f>
        <v>3923.8</v>
      </c>
      <c r="C126" s="50">
        <f>VLOOKUP($A126,'Data Vlaue (Cr)'!$C:$FB,11)*100</f>
        <v>0.48</v>
      </c>
      <c r="D126" s="50">
        <f>VLOOKUP($A126,'Data Vlaue (Cr)'!$C:$FB,143)</f>
        <v>7998.37</v>
      </c>
      <c r="E126" s="50">
        <f>VLOOKUP($A126,'Data Vlaue (Cr)'!$C:$FB,144)</f>
        <v>8795.3700000000008</v>
      </c>
      <c r="F126" s="50">
        <f>VLOOKUP($A126,'Data Vlaue (Cr)'!$C:$FB,146)*100</f>
        <v>-9.06</v>
      </c>
      <c r="G126" s="49">
        <f>VLOOKUP($A126,'Data Vlaue (Cr)'!$C:$FB,43)</f>
        <v>3746</v>
      </c>
      <c r="H126" s="49">
        <f>VLOOKUP($A126,'Data Vlaue (Cr)'!$C:$FB,44)</f>
        <v>3704</v>
      </c>
      <c r="I126" s="49">
        <f>VLOOKUP($A126,'Data Vlaue (Cr)'!$C:$FB,46)*100</f>
        <v>1.1400000000000001</v>
      </c>
      <c r="J126" s="51">
        <f>VLOOKUP($A126,'Data Vlaue (Cr)'!$C:$FB,59)</f>
        <v>2594</v>
      </c>
      <c r="K126" s="51">
        <f>VLOOKUP($A126,'Data Vlaue (Cr)'!$C:$FB,60)</f>
        <v>3030</v>
      </c>
      <c r="L126" s="51">
        <f>VLOOKUP($A126,'Data Vlaue (Cr)'!$C:$FB,62)*100</f>
        <v>-14.39</v>
      </c>
      <c r="M126" s="51">
        <f>VLOOKUP($A126,'Data Vlaue (Cr)'!$C:$FB,63)</f>
        <v>1592</v>
      </c>
      <c r="N126" s="51">
        <f>VLOOKUP($A126,'Data Vlaue (Cr)'!$C:$FB,64)</f>
        <v>2020</v>
      </c>
      <c r="O126" s="51">
        <f>VLOOKUP($A126,'Data Vlaue (Cr)'!$C:$FB,66)*100</f>
        <v>-21.19</v>
      </c>
    </row>
    <row r="127" spans="1:15" x14ac:dyDescent="0.25">
      <c r="A127" s="101" t="str">
        <f>'Data Vlaue (Cr)'!C122</f>
        <v>LTF</v>
      </c>
      <c r="B127" s="50">
        <f>VLOOKUP($A127,'Data Vlaue (Cr)'!$C:$FB,8)</f>
        <v>267.14999999999998</v>
      </c>
      <c r="C127" s="50">
        <f>VLOOKUP($A127,'Data Vlaue (Cr)'!$C:$FB,11)*100</f>
        <v>0.06</v>
      </c>
      <c r="D127" s="50">
        <f>VLOOKUP($A127,'Data Vlaue (Cr)'!$C:$FB,143)</f>
        <v>2501.73</v>
      </c>
      <c r="E127" s="50">
        <f>VLOOKUP($A127,'Data Vlaue (Cr)'!$C:$FB,144)</f>
        <v>2881.51</v>
      </c>
      <c r="F127" s="50">
        <f>VLOOKUP($A127,'Data Vlaue (Cr)'!$C:$FB,146)*100</f>
        <v>-13.18</v>
      </c>
      <c r="G127" s="49">
        <f>VLOOKUP($A127,'Data Vlaue (Cr)'!$C:$FB,43)</f>
        <v>1030</v>
      </c>
      <c r="H127" s="49">
        <f>VLOOKUP($A127,'Data Vlaue (Cr)'!$C:$FB,44)</f>
        <v>1712</v>
      </c>
      <c r="I127" s="49">
        <f>VLOOKUP($A127,'Data Vlaue (Cr)'!$C:$FB,46)*100</f>
        <v>-39.839999999999996</v>
      </c>
      <c r="J127" s="51">
        <f>VLOOKUP($A127,'Data Vlaue (Cr)'!$C:$FB,59)</f>
        <v>817</v>
      </c>
      <c r="K127" s="51">
        <f>VLOOKUP($A127,'Data Vlaue (Cr)'!$C:$FB,60)</f>
        <v>751</v>
      </c>
      <c r="L127" s="51">
        <f>VLOOKUP($A127,'Data Vlaue (Cr)'!$C:$FB,62)*100</f>
        <v>8.7099999999999991</v>
      </c>
      <c r="M127" s="51">
        <f>VLOOKUP($A127,'Data Vlaue (Cr)'!$C:$FB,63)</f>
        <v>653</v>
      </c>
      <c r="N127" s="51">
        <f>VLOOKUP($A127,'Data Vlaue (Cr)'!$C:$FB,64)</f>
        <v>398</v>
      </c>
      <c r="O127" s="51">
        <f>VLOOKUP($A127,'Data Vlaue (Cr)'!$C:$FB,66)*100</f>
        <v>64.02</v>
      </c>
    </row>
    <row r="128" spans="1:15" x14ac:dyDescent="0.25">
      <c r="A128" s="101" t="str">
        <f>'Data Vlaue (Cr)'!C123</f>
        <v>LTIM</v>
      </c>
      <c r="B128" s="50">
        <f>VLOOKUP($A128,'Data Vlaue (Cr)'!$C:$FB,8)</f>
        <v>5640</v>
      </c>
      <c r="C128" s="50">
        <f>VLOOKUP($A128,'Data Vlaue (Cr)'!$C:$FB,11)*100</f>
        <v>1.69</v>
      </c>
      <c r="D128" s="50">
        <f>VLOOKUP($A128,'Data Vlaue (Cr)'!$C:$FB,143)</f>
        <v>3031.13</v>
      </c>
      <c r="E128" s="50">
        <f>VLOOKUP($A128,'Data Vlaue (Cr)'!$C:$FB,144)</f>
        <v>4357.05</v>
      </c>
      <c r="F128" s="50">
        <f>VLOOKUP($A128,'Data Vlaue (Cr)'!$C:$FB,146)*100</f>
        <v>-30.43</v>
      </c>
      <c r="G128" s="49">
        <f>VLOOKUP($A128,'Data Vlaue (Cr)'!$C:$FB,43)</f>
        <v>954</v>
      </c>
      <c r="H128" s="49">
        <f>VLOOKUP($A128,'Data Vlaue (Cr)'!$C:$FB,44)</f>
        <v>1540</v>
      </c>
      <c r="I128" s="49">
        <f>VLOOKUP($A128,'Data Vlaue (Cr)'!$C:$FB,46)*100</f>
        <v>-38.04</v>
      </c>
      <c r="J128" s="51">
        <f>VLOOKUP($A128,'Data Vlaue (Cr)'!$C:$FB,59)</f>
        <v>1268</v>
      </c>
      <c r="K128" s="51">
        <f>VLOOKUP($A128,'Data Vlaue (Cr)'!$C:$FB,60)</f>
        <v>1824</v>
      </c>
      <c r="L128" s="51">
        <f>VLOOKUP($A128,'Data Vlaue (Cr)'!$C:$FB,62)*100</f>
        <v>-30.509999999999998</v>
      </c>
      <c r="M128" s="51">
        <f>VLOOKUP($A128,'Data Vlaue (Cr)'!$C:$FB,63)</f>
        <v>815</v>
      </c>
      <c r="N128" s="51">
        <f>VLOOKUP($A128,'Data Vlaue (Cr)'!$C:$FB,64)</f>
        <v>985</v>
      </c>
      <c r="O128" s="51">
        <f>VLOOKUP($A128,'Data Vlaue (Cr)'!$C:$FB,66)*100</f>
        <v>-17.22</v>
      </c>
    </row>
    <row r="129" spans="1:15" x14ac:dyDescent="0.25">
      <c r="A129" s="101" t="str">
        <f>'Data Vlaue (Cr)'!C124</f>
        <v>LUPIN</v>
      </c>
      <c r="B129" s="50">
        <f>VLOOKUP($A129,'Data Vlaue (Cr)'!$C:$FB,8)</f>
        <v>1922.9</v>
      </c>
      <c r="C129" s="50">
        <f>VLOOKUP($A129,'Data Vlaue (Cr)'!$C:$FB,11)*100</f>
        <v>-0.43</v>
      </c>
      <c r="D129" s="50">
        <f>VLOOKUP($A129,'Data Vlaue (Cr)'!$C:$FB,143)</f>
        <v>2112.5700000000002</v>
      </c>
      <c r="E129" s="50">
        <f>VLOOKUP($A129,'Data Vlaue (Cr)'!$C:$FB,144)</f>
        <v>3185.73</v>
      </c>
      <c r="F129" s="50">
        <f>VLOOKUP($A129,'Data Vlaue (Cr)'!$C:$FB,146)*100</f>
        <v>-33.69</v>
      </c>
      <c r="G129" s="49">
        <f>VLOOKUP($A129,'Data Vlaue (Cr)'!$C:$FB,43)</f>
        <v>1071</v>
      </c>
      <c r="H129" s="49">
        <f>VLOOKUP($A129,'Data Vlaue (Cr)'!$C:$FB,44)</f>
        <v>2115</v>
      </c>
      <c r="I129" s="49">
        <f>VLOOKUP($A129,'Data Vlaue (Cr)'!$C:$FB,46)*100</f>
        <v>-49.370000000000005</v>
      </c>
      <c r="J129" s="51">
        <f>VLOOKUP($A129,'Data Vlaue (Cr)'!$C:$FB,59)</f>
        <v>658</v>
      </c>
      <c r="K129" s="51">
        <f>VLOOKUP($A129,'Data Vlaue (Cr)'!$C:$FB,60)</f>
        <v>713</v>
      </c>
      <c r="L129" s="51">
        <f>VLOOKUP($A129,'Data Vlaue (Cr)'!$C:$FB,62)*100</f>
        <v>-7.7200000000000006</v>
      </c>
      <c r="M129" s="51">
        <f>VLOOKUP($A129,'Data Vlaue (Cr)'!$C:$FB,63)</f>
        <v>359</v>
      </c>
      <c r="N129" s="51">
        <f>VLOOKUP($A129,'Data Vlaue (Cr)'!$C:$FB,64)</f>
        <v>316</v>
      </c>
      <c r="O129" s="51">
        <f>VLOOKUP($A129,'Data Vlaue (Cr)'!$C:$FB,66)*100</f>
        <v>13.639999999999999</v>
      </c>
    </row>
    <row r="130" spans="1:15" x14ac:dyDescent="0.25">
      <c r="A130" s="101" t="str">
        <f>'Data Vlaue (Cr)'!C125</f>
        <v>M&amp;M</v>
      </c>
      <c r="B130" s="50">
        <f>VLOOKUP($A130,'Data Vlaue (Cr)'!$C:$FB,8)</f>
        <v>3611.6</v>
      </c>
      <c r="C130" s="50">
        <f>VLOOKUP($A130,'Data Vlaue (Cr)'!$C:$FB,11)*100</f>
        <v>-0.37</v>
      </c>
      <c r="D130" s="50">
        <f>VLOOKUP($A130,'Data Vlaue (Cr)'!$C:$FB,143)</f>
        <v>7381.25</v>
      </c>
      <c r="E130" s="50">
        <f>VLOOKUP($A130,'Data Vlaue (Cr)'!$C:$FB,144)</f>
        <v>8015.77</v>
      </c>
      <c r="F130" s="50">
        <f>VLOOKUP($A130,'Data Vlaue (Cr)'!$C:$FB,146)*100</f>
        <v>-7.9200000000000008</v>
      </c>
      <c r="G130" s="49">
        <f>VLOOKUP($A130,'Data Vlaue (Cr)'!$C:$FB,43)</f>
        <v>3833</v>
      </c>
      <c r="H130" s="49">
        <f>VLOOKUP($A130,'Data Vlaue (Cr)'!$C:$FB,44)</f>
        <v>4043</v>
      </c>
      <c r="I130" s="49">
        <f>VLOOKUP($A130,'Data Vlaue (Cr)'!$C:$FB,46)*100</f>
        <v>-5.19</v>
      </c>
      <c r="J130" s="51">
        <f>VLOOKUP($A130,'Data Vlaue (Cr)'!$C:$FB,59)</f>
        <v>1961</v>
      </c>
      <c r="K130" s="51">
        <f>VLOOKUP($A130,'Data Vlaue (Cr)'!$C:$FB,60)</f>
        <v>2337</v>
      </c>
      <c r="L130" s="51">
        <f>VLOOKUP($A130,'Data Vlaue (Cr)'!$C:$FB,62)*100</f>
        <v>-16.09</v>
      </c>
      <c r="M130" s="51">
        <f>VLOOKUP($A130,'Data Vlaue (Cr)'!$C:$FB,63)</f>
        <v>1555</v>
      </c>
      <c r="N130" s="51">
        <f>VLOOKUP($A130,'Data Vlaue (Cr)'!$C:$FB,64)</f>
        <v>1547</v>
      </c>
      <c r="O130" s="51">
        <f>VLOOKUP($A130,'Data Vlaue (Cr)'!$C:$FB,66)*100</f>
        <v>0.5</v>
      </c>
    </row>
    <row r="131" spans="1:15" x14ac:dyDescent="0.25">
      <c r="A131" s="101" t="str">
        <f>'Data Vlaue (Cr)'!C126</f>
        <v>MANAPPURAM</v>
      </c>
      <c r="B131" s="50">
        <f>VLOOKUP($A131,'Data Vlaue (Cr)'!$C:$FB,8)</f>
        <v>276.39999999999998</v>
      </c>
      <c r="C131" s="50">
        <f>VLOOKUP($A131,'Data Vlaue (Cr)'!$C:$FB,11)*100</f>
        <v>-1.27</v>
      </c>
      <c r="D131" s="50">
        <f>VLOOKUP($A131,'Data Vlaue (Cr)'!$C:$FB,143)</f>
        <v>1247.3499999999999</v>
      </c>
      <c r="E131" s="50">
        <f>VLOOKUP($A131,'Data Vlaue (Cr)'!$C:$FB,144)</f>
        <v>1446.55</v>
      </c>
      <c r="F131" s="50">
        <f>VLOOKUP($A131,'Data Vlaue (Cr)'!$C:$FB,146)*100</f>
        <v>-13.77</v>
      </c>
      <c r="G131" s="49">
        <f>VLOOKUP($A131,'Data Vlaue (Cr)'!$C:$FB,43)</f>
        <v>542</v>
      </c>
      <c r="H131" s="49">
        <f>VLOOKUP($A131,'Data Vlaue (Cr)'!$C:$FB,44)</f>
        <v>751</v>
      </c>
      <c r="I131" s="49">
        <f>VLOOKUP($A131,'Data Vlaue (Cr)'!$C:$FB,46)*100</f>
        <v>-27.88</v>
      </c>
      <c r="J131" s="51">
        <f>VLOOKUP($A131,'Data Vlaue (Cr)'!$C:$FB,59)</f>
        <v>403</v>
      </c>
      <c r="K131" s="51">
        <f>VLOOKUP($A131,'Data Vlaue (Cr)'!$C:$FB,60)</f>
        <v>393</v>
      </c>
      <c r="L131" s="51">
        <f>VLOOKUP($A131,'Data Vlaue (Cr)'!$C:$FB,62)*100</f>
        <v>2.5700000000000003</v>
      </c>
      <c r="M131" s="51">
        <f>VLOOKUP($A131,'Data Vlaue (Cr)'!$C:$FB,63)</f>
        <v>278</v>
      </c>
      <c r="N131" s="51">
        <f>VLOOKUP($A131,'Data Vlaue (Cr)'!$C:$FB,64)</f>
        <v>262</v>
      </c>
      <c r="O131" s="51">
        <f>VLOOKUP($A131,'Data Vlaue (Cr)'!$C:$FB,66)*100</f>
        <v>5.9700000000000006</v>
      </c>
    </row>
    <row r="132" spans="1:15" x14ac:dyDescent="0.25">
      <c r="A132" s="101" t="str">
        <f>'Data Vlaue (Cr)'!C127</f>
        <v>MANKIND</v>
      </c>
      <c r="B132" s="50">
        <f>VLOOKUP($A132,'Data Vlaue (Cr)'!$C:$FB,8)</f>
        <v>2416.6999999999998</v>
      </c>
      <c r="C132" s="50">
        <f>VLOOKUP($A132,'Data Vlaue (Cr)'!$C:$FB,11)*100</f>
        <v>-0.65</v>
      </c>
      <c r="D132" s="50">
        <f>VLOOKUP($A132,'Data Vlaue (Cr)'!$C:$FB,143)</f>
        <v>540.20000000000005</v>
      </c>
      <c r="E132" s="50">
        <f>VLOOKUP($A132,'Data Vlaue (Cr)'!$C:$FB,144)</f>
        <v>741.02</v>
      </c>
      <c r="F132" s="50">
        <f>VLOOKUP($A132,'Data Vlaue (Cr)'!$C:$FB,146)*100</f>
        <v>-27.1</v>
      </c>
      <c r="G132" s="49">
        <f>VLOOKUP($A132,'Data Vlaue (Cr)'!$C:$FB,43)</f>
        <v>317</v>
      </c>
      <c r="H132" s="49">
        <f>VLOOKUP($A132,'Data Vlaue (Cr)'!$C:$FB,44)</f>
        <v>442</v>
      </c>
      <c r="I132" s="49">
        <f>VLOOKUP($A132,'Data Vlaue (Cr)'!$C:$FB,46)*100</f>
        <v>-28.4</v>
      </c>
      <c r="J132" s="51">
        <f>VLOOKUP($A132,'Data Vlaue (Cr)'!$C:$FB,59)</f>
        <v>169</v>
      </c>
      <c r="K132" s="51">
        <f>VLOOKUP($A132,'Data Vlaue (Cr)'!$C:$FB,60)</f>
        <v>199</v>
      </c>
      <c r="L132" s="51">
        <f>VLOOKUP($A132,'Data Vlaue (Cr)'!$C:$FB,62)*100</f>
        <v>-15.229999999999999</v>
      </c>
      <c r="M132" s="51">
        <f>VLOOKUP($A132,'Data Vlaue (Cr)'!$C:$FB,63)</f>
        <v>44</v>
      </c>
      <c r="N132" s="51">
        <f>VLOOKUP($A132,'Data Vlaue (Cr)'!$C:$FB,64)</f>
        <v>82</v>
      </c>
      <c r="O132" s="51">
        <f>VLOOKUP($A132,'Data Vlaue (Cr)'!$C:$FB,66)*100</f>
        <v>-46.43</v>
      </c>
    </row>
    <row r="133" spans="1:15" x14ac:dyDescent="0.25">
      <c r="A133" s="101" t="str">
        <f>'Data Vlaue (Cr)'!C128</f>
        <v>MARICO</v>
      </c>
      <c r="B133" s="50">
        <f>VLOOKUP($A133,'Data Vlaue (Cr)'!$C:$FB,8)</f>
        <v>723.6</v>
      </c>
      <c r="C133" s="50">
        <f>VLOOKUP($A133,'Data Vlaue (Cr)'!$C:$FB,11)*100</f>
        <v>-0.31</v>
      </c>
      <c r="D133" s="50">
        <f>VLOOKUP($A133,'Data Vlaue (Cr)'!$C:$FB,143)</f>
        <v>1460.61</v>
      </c>
      <c r="E133" s="50">
        <f>VLOOKUP($A133,'Data Vlaue (Cr)'!$C:$FB,144)</f>
        <v>2672.27</v>
      </c>
      <c r="F133" s="50">
        <f>VLOOKUP($A133,'Data Vlaue (Cr)'!$C:$FB,146)*100</f>
        <v>-45.34</v>
      </c>
      <c r="G133" s="49">
        <f>VLOOKUP($A133,'Data Vlaue (Cr)'!$C:$FB,43)</f>
        <v>1007</v>
      </c>
      <c r="H133" s="49">
        <f>VLOOKUP($A133,'Data Vlaue (Cr)'!$C:$FB,44)</f>
        <v>1931</v>
      </c>
      <c r="I133" s="49">
        <f>VLOOKUP($A133,'Data Vlaue (Cr)'!$C:$FB,46)*100</f>
        <v>-47.839999999999996</v>
      </c>
      <c r="J133" s="51">
        <f>VLOOKUP($A133,'Data Vlaue (Cr)'!$C:$FB,59)</f>
        <v>283</v>
      </c>
      <c r="K133" s="51">
        <f>VLOOKUP($A133,'Data Vlaue (Cr)'!$C:$FB,60)</f>
        <v>388</v>
      </c>
      <c r="L133" s="51">
        <f>VLOOKUP($A133,'Data Vlaue (Cr)'!$C:$FB,62)*100</f>
        <v>-27.04</v>
      </c>
      <c r="M133" s="51">
        <f>VLOOKUP($A133,'Data Vlaue (Cr)'!$C:$FB,63)</f>
        <v>163</v>
      </c>
      <c r="N133" s="51">
        <f>VLOOKUP($A133,'Data Vlaue (Cr)'!$C:$FB,64)</f>
        <v>341</v>
      </c>
      <c r="O133" s="51">
        <f>VLOOKUP($A133,'Data Vlaue (Cr)'!$C:$FB,66)*100</f>
        <v>-52.23</v>
      </c>
    </row>
    <row r="134" spans="1:15" x14ac:dyDescent="0.25">
      <c r="A134" s="101" t="str">
        <f>'Data Vlaue (Cr)'!C129</f>
        <v>MARUTI</v>
      </c>
      <c r="B134" s="50">
        <f>VLOOKUP($A134,'Data Vlaue (Cr)'!$C:$FB,8)</f>
        <v>16388</v>
      </c>
      <c r="C134" s="50">
        <f>VLOOKUP($A134,'Data Vlaue (Cr)'!$C:$FB,11)*100</f>
        <v>0.70000000000000007</v>
      </c>
      <c r="D134" s="50">
        <f>VLOOKUP($A134,'Data Vlaue (Cr)'!$C:$FB,143)</f>
        <v>15842.04</v>
      </c>
      <c r="E134" s="50">
        <f>VLOOKUP($A134,'Data Vlaue (Cr)'!$C:$FB,144)</f>
        <v>15109.68</v>
      </c>
      <c r="F134" s="50">
        <f>VLOOKUP($A134,'Data Vlaue (Cr)'!$C:$FB,146)*100</f>
        <v>4.8500000000000005</v>
      </c>
      <c r="G134" s="49">
        <f>VLOOKUP($A134,'Data Vlaue (Cr)'!$C:$FB,43)</f>
        <v>3401</v>
      </c>
      <c r="H134" s="49">
        <f>VLOOKUP($A134,'Data Vlaue (Cr)'!$C:$FB,44)</f>
        <v>2983</v>
      </c>
      <c r="I134" s="49">
        <f>VLOOKUP($A134,'Data Vlaue (Cr)'!$C:$FB,46)*100</f>
        <v>13.99</v>
      </c>
      <c r="J134" s="51">
        <f>VLOOKUP($A134,'Data Vlaue (Cr)'!$C:$FB,59)</f>
        <v>8055</v>
      </c>
      <c r="K134" s="51">
        <f>VLOOKUP($A134,'Data Vlaue (Cr)'!$C:$FB,60)</f>
        <v>7507</v>
      </c>
      <c r="L134" s="51">
        <f>VLOOKUP($A134,'Data Vlaue (Cr)'!$C:$FB,62)*100</f>
        <v>7.31</v>
      </c>
      <c r="M134" s="51">
        <f>VLOOKUP($A134,'Data Vlaue (Cr)'!$C:$FB,63)</f>
        <v>4306</v>
      </c>
      <c r="N134" s="51">
        <f>VLOOKUP($A134,'Data Vlaue (Cr)'!$C:$FB,64)</f>
        <v>4531</v>
      </c>
      <c r="O134" s="51">
        <f>VLOOKUP($A134,'Data Vlaue (Cr)'!$C:$FB,66)*100</f>
        <v>-4.95</v>
      </c>
    </row>
    <row r="135" spans="1:15" x14ac:dyDescent="0.25">
      <c r="A135" s="101" t="str">
        <f>'Data Vlaue (Cr)'!C130</f>
        <v>MAXHEALTH</v>
      </c>
      <c r="B135" s="50">
        <f>VLOOKUP($A135,'Data Vlaue (Cr)'!$C:$FB,8)</f>
        <v>1186.4000000000001</v>
      </c>
      <c r="C135" s="50">
        <f>VLOOKUP($A135,'Data Vlaue (Cr)'!$C:$FB,11)*100</f>
        <v>0.19</v>
      </c>
      <c r="D135" s="50">
        <f>VLOOKUP($A135,'Data Vlaue (Cr)'!$C:$FB,143)</f>
        <v>1855.04</v>
      </c>
      <c r="E135" s="50">
        <f>VLOOKUP($A135,'Data Vlaue (Cr)'!$C:$FB,144)</f>
        <v>2727.02</v>
      </c>
      <c r="F135" s="50">
        <f>VLOOKUP($A135,'Data Vlaue (Cr)'!$C:$FB,146)*100</f>
        <v>-31.979999999999997</v>
      </c>
      <c r="G135" s="49">
        <f>VLOOKUP($A135,'Data Vlaue (Cr)'!$C:$FB,43)</f>
        <v>1181</v>
      </c>
      <c r="H135" s="49">
        <f>VLOOKUP($A135,'Data Vlaue (Cr)'!$C:$FB,44)</f>
        <v>1516</v>
      </c>
      <c r="I135" s="49">
        <f>VLOOKUP($A135,'Data Vlaue (Cr)'!$C:$FB,46)*100</f>
        <v>-22.12</v>
      </c>
      <c r="J135" s="51">
        <f>VLOOKUP($A135,'Data Vlaue (Cr)'!$C:$FB,59)</f>
        <v>380</v>
      </c>
      <c r="K135" s="51">
        <f>VLOOKUP($A135,'Data Vlaue (Cr)'!$C:$FB,60)</f>
        <v>597</v>
      </c>
      <c r="L135" s="51">
        <f>VLOOKUP($A135,'Data Vlaue (Cr)'!$C:$FB,62)*100</f>
        <v>-36.299999999999997</v>
      </c>
      <c r="M135" s="51">
        <f>VLOOKUP($A135,'Data Vlaue (Cr)'!$C:$FB,63)</f>
        <v>290</v>
      </c>
      <c r="N135" s="51">
        <f>VLOOKUP($A135,'Data Vlaue (Cr)'!$C:$FB,64)</f>
        <v>589</v>
      </c>
      <c r="O135" s="51">
        <f>VLOOKUP($A135,'Data Vlaue (Cr)'!$C:$FB,66)*100</f>
        <v>-50.660000000000004</v>
      </c>
    </row>
    <row r="136" spans="1:15" x14ac:dyDescent="0.25">
      <c r="A136" s="101" t="str">
        <f>'Data Vlaue (Cr)'!C131</f>
        <v>MAZDOCK</v>
      </c>
      <c r="B136" s="50">
        <f>VLOOKUP($A136,'Data Vlaue (Cr)'!$C:$FB,8)</f>
        <v>2810.4</v>
      </c>
      <c r="C136" s="50">
        <f>VLOOKUP($A136,'Data Vlaue (Cr)'!$C:$FB,11)*100</f>
        <v>0.16999999999999998</v>
      </c>
      <c r="D136" s="50">
        <f>VLOOKUP($A136,'Data Vlaue (Cr)'!$C:$FB,143)</f>
        <v>3195.77</v>
      </c>
      <c r="E136" s="50">
        <f>VLOOKUP($A136,'Data Vlaue (Cr)'!$C:$FB,144)</f>
        <v>3127.28</v>
      </c>
      <c r="F136" s="50">
        <f>VLOOKUP($A136,'Data Vlaue (Cr)'!$C:$FB,146)*100</f>
        <v>2.19</v>
      </c>
      <c r="G136" s="49">
        <f>VLOOKUP($A136,'Data Vlaue (Cr)'!$C:$FB,43)</f>
        <v>900</v>
      </c>
      <c r="H136" s="49">
        <f>VLOOKUP($A136,'Data Vlaue (Cr)'!$C:$FB,44)</f>
        <v>826</v>
      </c>
      <c r="I136" s="49">
        <f>VLOOKUP($A136,'Data Vlaue (Cr)'!$C:$FB,46)*100</f>
        <v>9.0499999999999989</v>
      </c>
      <c r="J136" s="51">
        <f>VLOOKUP($A136,'Data Vlaue (Cr)'!$C:$FB,59)</f>
        <v>1505</v>
      </c>
      <c r="K136" s="51">
        <f>VLOOKUP($A136,'Data Vlaue (Cr)'!$C:$FB,60)</f>
        <v>1680</v>
      </c>
      <c r="L136" s="51">
        <f>VLOOKUP($A136,'Data Vlaue (Cr)'!$C:$FB,62)*100</f>
        <v>-10.47</v>
      </c>
      <c r="M136" s="51">
        <f>VLOOKUP($A136,'Data Vlaue (Cr)'!$C:$FB,63)</f>
        <v>688</v>
      </c>
      <c r="N136" s="51">
        <f>VLOOKUP($A136,'Data Vlaue (Cr)'!$C:$FB,64)</f>
        <v>517</v>
      </c>
      <c r="O136" s="51">
        <f>VLOOKUP($A136,'Data Vlaue (Cr)'!$C:$FB,66)*100</f>
        <v>33.160000000000004</v>
      </c>
    </row>
    <row r="137" spans="1:15" x14ac:dyDescent="0.25">
      <c r="A137" s="101" t="str">
        <f>'Data Vlaue (Cr)'!C132</f>
        <v>MCX</v>
      </c>
      <c r="B137" s="50">
        <f>VLOOKUP($A137,'Data Vlaue (Cr)'!$C:$FB,8)</f>
        <v>9305.5</v>
      </c>
      <c r="C137" s="50">
        <f>VLOOKUP($A137,'Data Vlaue (Cr)'!$C:$FB,11)*100</f>
        <v>3.35</v>
      </c>
      <c r="D137" s="50">
        <f>VLOOKUP($A137,'Data Vlaue (Cr)'!$C:$FB,143)</f>
        <v>24861.75</v>
      </c>
      <c r="E137" s="50">
        <f>VLOOKUP($A137,'Data Vlaue (Cr)'!$C:$FB,144)</f>
        <v>17357.419999999998</v>
      </c>
      <c r="F137" s="50">
        <f>VLOOKUP($A137,'Data Vlaue (Cr)'!$C:$FB,146)*100</f>
        <v>43.230000000000004</v>
      </c>
      <c r="G137" s="49">
        <f>VLOOKUP($A137,'Data Vlaue (Cr)'!$C:$FB,43)</f>
        <v>2341</v>
      </c>
      <c r="H137" s="49">
        <f>VLOOKUP($A137,'Data Vlaue (Cr)'!$C:$FB,44)</f>
        <v>2412</v>
      </c>
      <c r="I137" s="49">
        <f>VLOOKUP($A137,'Data Vlaue (Cr)'!$C:$FB,46)*100</f>
        <v>-2.96</v>
      </c>
      <c r="J137" s="51">
        <f>VLOOKUP($A137,'Data Vlaue (Cr)'!$C:$FB,59)</f>
        <v>15961</v>
      </c>
      <c r="K137" s="51">
        <f>VLOOKUP($A137,'Data Vlaue (Cr)'!$C:$FB,60)</f>
        <v>9246</v>
      </c>
      <c r="L137" s="51">
        <f>VLOOKUP($A137,'Data Vlaue (Cr)'!$C:$FB,62)*100</f>
        <v>72.63</v>
      </c>
      <c r="M137" s="51">
        <f>VLOOKUP($A137,'Data Vlaue (Cr)'!$C:$FB,63)</f>
        <v>6357</v>
      </c>
      <c r="N137" s="51">
        <f>VLOOKUP($A137,'Data Vlaue (Cr)'!$C:$FB,64)</f>
        <v>5714</v>
      </c>
      <c r="O137" s="51">
        <f>VLOOKUP($A137,'Data Vlaue (Cr)'!$C:$FB,66)*100</f>
        <v>11.25</v>
      </c>
    </row>
    <row r="138" spans="1:15" x14ac:dyDescent="0.25">
      <c r="A138" s="101" t="str">
        <f>'Data Vlaue (Cr)'!C133</f>
        <v>MFSL</v>
      </c>
      <c r="B138" s="50">
        <f>VLOOKUP($A138,'Data Vlaue (Cr)'!$C:$FB,8)</f>
        <v>1513.6</v>
      </c>
      <c r="C138" s="50">
        <f>VLOOKUP($A138,'Data Vlaue (Cr)'!$C:$FB,11)*100</f>
        <v>-0.28999999999999998</v>
      </c>
      <c r="D138" s="50">
        <f>VLOOKUP($A138,'Data Vlaue (Cr)'!$C:$FB,143)</f>
        <v>1204.52</v>
      </c>
      <c r="E138" s="50">
        <f>VLOOKUP($A138,'Data Vlaue (Cr)'!$C:$FB,144)</f>
        <v>1304.73</v>
      </c>
      <c r="F138" s="50">
        <f>VLOOKUP($A138,'Data Vlaue (Cr)'!$C:$FB,146)*100</f>
        <v>-7.68</v>
      </c>
      <c r="G138" s="49">
        <f>VLOOKUP($A138,'Data Vlaue (Cr)'!$C:$FB,43)</f>
        <v>649</v>
      </c>
      <c r="H138" s="49">
        <f>VLOOKUP($A138,'Data Vlaue (Cr)'!$C:$FB,44)</f>
        <v>714</v>
      </c>
      <c r="I138" s="49">
        <f>VLOOKUP($A138,'Data Vlaue (Cr)'!$C:$FB,46)*100</f>
        <v>-9.16</v>
      </c>
      <c r="J138" s="51">
        <f>VLOOKUP($A138,'Data Vlaue (Cr)'!$C:$FB,59)</f>
        <v>371</v>
      </c>
      <c r="K138" s="51">
        <f>VLOOKUP($A138,'Data Vlaue (Cr)'!$C:$FB,60)</f>
        <v>388</v>
      </c>
      <c r="L138" s="51">
        <f>VLOOKUP($A138,'Data Vlaue (Cr)'!$C:$FB,62)*100</f>
        <v>-4.21</v>
      </c>
      <c r="M138" s="51">
        <f>VLOOKUP($A138,'Data Vlaue (Cr)'!$C:$FB,63)</f>
        <v>167</v>
      </c>
      <c r="N138" s="51">
        <f>VLOOKUP($A138,'Data Vlaue (Cr)'!$C:$FB,64)</f>
        <v>181</v>
      </c>
      <c r="O138" s="51">
        <f>VLOOKUP($A138,'Data Vlaue (Cr)'!$C:$FB,66)*100</f>
        <v>-7.3599999999999994</v>
      </c>
    </row>
    <row r="139" spans="1:15" x14ac:dyDescent="0.25">
      <c r="A139" s="101" t="str">
        <f>'Data Vlaue (Cr)'!C134</f>
        <v>MIDCPNIFTY</v>
      </c>
      <c r="B139" s="50">
        <f>VLOOKUP($A139,'Data Vlaue (Cr)'!$C:$FB,8)</f>
        <v>13345.3</v>
      </c>
      <c r="C139" s="50">
        <f>VLOOKUP($A139,'Data Vlaue (Cr)'!$C:$FB,11)*100</f>
        <v>1.37</v>
      </c>
      <c r="D139" s="50">
        <f>VLOOKUP($A139,'Data Vlaue (Cr)'!$C:$FB,143)</f>
        <v>420137.7</v>
      </c>
      <c r="E139" s="50">
        <f>VLOOKUP($A139,'Data Vlaue (Cr)'!$C:$FB,144)</f>
        <v>372200.81</v>
      </c>
      <c r="F139" s="50">
        <f>VLOOKUP($A139,'Data Vlaue (Cr)'!$C:$FB,146)*100</f>
        <v>12.879999999999999</v>
      </c>
      <c r="G139" s="49">
        <f>VLOOKUP($A139,'Data Vlaue (Cr)'!$C:$FB,43)</f>
        <v>2749</v>
      </c>
      <c r="H139" s="49">
        <f>VLOOKUP($A139,'Data Vlaue (Cr)'!$C:$FB,44)</f>
        <v>3741</v>
      </c>
      <c r="I139" s="49">
        <f>VLOOKUP($A139,'Data Vlaue (Cr)'!$C:$FB,46)*100</f>
        <v>-26.51</v>
      </c>
      <c r="J139" s="51">
        <f>VLOOKUP($A139,'Data Vlaue (Cr)'!$C:$FB,59)</f>
        <v>227071</v>
      </c>
      <c r="K139" s="51">
        <f>VLOOKUP($A139,'Data Vlaue (Cr)'!$C:$FB,60)</f>
        <v>185768</v>
      </c>
      <c r="L139" s="51">
        <f>VLOOKUP($A139,'Data Vlaue (Cr)'!$C:$FB,62)*100</f>
        <v>22.23</v>
      </c>
      <c r="M139" s="51">
        <f>VLOOKUP($A139,'Data Vlaue (Cr)'!$C:$FB,63)</f>
        <v>191637</v>
      </c>
      <c r="N139" s="51">
        <f>VLOOKUP($A139,'Data Vlaue (Cr)'!$C:$FB,64)</f>
        <v>186065</v>
      </c>
      <c r="O139" s="51">
        <f>VLOOKUP($A139,'Data Vlaue (Cr)'!$C:$FB,66)*100</f>
        <v>2.9899999999999998</v>
      </c>
    </row>
    <row r="140" spans="1:15" x14ac:dyDescent="0.25">
      <c r="A140" s="101" t="str">
        <f>'Data Vlaue (Cr)'!C135</f>
        <v>MOTHERSON</v>
      </c>
      <c r="B140" s="50">
        <f>VLOOKUP($A140,'Data Vlaue (Cr)'!$C:$FB,8)</f>
        <v>106.93</v>
      </c>
      <c r="C140" s="50">
        <f>VLOOKUP($A140,'Data Vlaue (Cr)'!$C:$FB,11)*100</f>
        <v>0.64</v>
      </c>
      <c r="D140" s="50">
        <f>VLOOKUP($A140,'Data Vlaue (Cr)'!$C:$FB,143)</f>
        <v>1910.37</v>
      </c>
      <c r="E140" s="50">
        <f>VLOOKUP($A140,'Data Vlaue (Cr)'!$C:$FB,144)</f>
        <v>2346.84</v>
      </c>
      <c r="F140" s="50">
        <f>VLOOKUP($A140,'Data Vlaue (Cr)'!$C:$FB,146)*100</f>
        <v>-18.600000000000001</v>
      </c>
      <c r="G140" s="49">
        <f>VLOOKUP($A140,'Data Vlaue (Cr)'!$C:$FB,43)</f>
        <v>1164</v>
      </c>
      <c r="H140" s="49">
        <f>VLOOKUP($A140,'Data Vlaue (Cr)'!$C:$FB,44)</f>
        <v>1294</v>
      </c>
      <c r="I140" s="49">
        <f>VLOOKUP($A140,'Data Vlaue (Cr)'!$C:$FB,46)*100</f>
        <v>-10.029999999999999</v>
      </c>
      <c r="J140" s="51">
        <f>VLOOKUP($A140,'Data Vlaue (Cr)'!$C:$FB,59)</f>
        <v>470</v>
      </c>
      <c r="K140" s="51">
        <f>VLOOKUP($A140,'Data Vlaue (Cr)'!$C:$FB,60)</f>
        <v>725</v>
      </c>
      <c r="L140" s="51">
        <f>VLOOKUP($A140,'Data Vlaue (Cr)'!$C:$FB,62)*100</f>
        <v>-35.11</v>
      </c>
      <c r="M140" s="51">
        <f>VLOOKUP($A140,'Data Vlaue (Cr)'!$C:$FB,63)</f>
        <v>258</v>
      </c>
      <c r="N140" s="51">
        <f>VLOOKUP($A140,'Data Vlaue (Cr)'!$C:$FB,64)</f>
        <v>300</v>
      </c>
      <c r="O140" s="51">
        <f>VLOOKUP($A140,'Data Vlaue (Cr)'!$C:$FB,66)*100</f>
        <v>-13.83</v>
      </c>
    </row>
    <row r="141" spans="1:15" x14ac:dyDescent="0.25">
      <c r="A141" s="101" t="str">
        <f>'Data Vlaue (Cr)'!C136</f>
        <v>MPHASIS</v>
      </c>
      <c r="B141" s="50">
        <f>VLOOKUP($A141,'Data Vlaue (Cr)'!$C:$FB,8)</f>
        <v>2888.7</v>
      </c>
      <c r="C141" s="50">
        <f>VLOOKUP($A141,'Data Vlaue (Cr)'!$C:$FB,11)*100</f>
        <v>2.48</v>
      </c>
      <c r="D141" s="50">
        <f>VLOOKUP($A141,'Data Vlaue (Cr)'!$C:$FB,143)</f>
        <v>2495.6999999999998</v>
      </c>
      <c r="E141" s="50">
        <f>VLOOKUP($A141,'Data Vlaue (Cr)'!$C:$FB,144)</f>
        <v>1956.11</v>
      </c>
      <c r="F141" s="50">
        <f>VLOOKUP($A141,'Data Vlaue (Cr)'!$C:$FB,146)*100</f>
        <v>27.58</v>
      </c>
      <c r="G141" s="49">
        <f>VLOOKUP($A141,'Data Vlaue (Cr)'!$C:$FB,43)</f>
        <v>1021</v>
      </c>
      <c r="H141" s="49">
        <f>VLOOKUP($A141,'Data Vlaue (Cr)'!$C:$FB,44)</f>
        <v>1042</v>
      </c>
      <c r="I141" s="49">
        <f>VLOOKUP($A141,'Data Vlaue (Cr)'!$C:$FB,46)*100</f>
        <v>-1.95</v>
      </c>
      <c r="J141" s="51">
        <f>VLOOKUP($A141,'Data Vlaue (Cr)'!$C:$FB,59)</f>
        <v>1066</v>
      </c>
      <c r="K141" s="51">
        <f>VLOOKUP($A141,'Data Vlaue (Cr)'!$C:$FB,60)</f>
        <v>682</v>
      </c>
      <c r="L141" s="51">
        <f>VLOOKUP($A141,'Data Vlaue (Cr)'!$C:$FB,62)*100</f>
        <v>56.36</v>
      </c>
      <c r="M141" s="51">
        <f>VLOOKUP($A141,'Data Vlaue (Cr)'!$C:$FB,63)</f>
        <v>393</v>
      </c>
      <c r="N141" s="51">
        <f>VLOOKUP($A141,'Data Vlaue (Cr)'!$C:$FB,64)</f>
        <v>260</v>
      </c>
      <c r="O141" s="51">
        <f>VLOOKUP($A141,'Data Vlaue (Cr)'!$C:$FB,66)*100</f>
        <v>51.239999999999995</v>
      </c>
    </row>
    <row r="142" spans="1:15" x14ac:dyDescent="0.25">
      <c r="A142" s="101" t="str">
        <f>'Data Vlaue (Cr)'!C137</f>
        <v>MUTHOOTFIN</v>
      </c>
      <c r="B142" s="50">
        <f>VLOOKUP($A142,'Data Vlaue (Cr)'!$C:$FB,8)</f>
        <v>3145.9</v>
      </c>
      <c r="C142" s="50">
        <f>VLOOKUP($A142,'Data Vlaue (Cr)'!$C:$FB,11)*100</f>
        <v>-0.54</v>
      </c>
      <c r="D142" s="50">
        <f>VLOOKUP($A142,'Data Vlaue (Cr)'!$C:$FB,143)</f>
        <v>2798.96</v>
      </c>
      <c r="E142" s="50">
        <f>VLOOKUP($A142,'Data Vlaue (Cr)'!$C:$FB,144)</f>
        <v>6068.84</v>
      </c>
      <c r="F142" s="50">
        <f>VLOOKUP($A142,'Data Vlaue (Cr)'!$C:$FB,146)*100</f>
        <v>-53.879999999999995</v>
      </c>
      <c r="G142" s="49">
        <f>VLOOKUP($A142,'Data Vlaue (Cr)'!$C:$FB,43)</f>
        <v>740</v>
      </c>
      <c r="H142" s="49">
        <f>VLOOKUP($A142,'Data Vlaue (Cr)'!$C:$FB,44)</f>
        <v>1096</v>
      </c>
      <c r="I142" s="49">
        <f>VLOOKUP($A142,'Data Vlaue (Cr)'!$C:$FB,46)*100</f>
        <v>-32.46</v>
      </c>
      <c r="J142" s="51">
        <f>VLOOKUP($A142,'Data Vlaue (Cr)'!$C:$FB,59)</f>
        <v>1132</v>
      </c>
      <c r="K142" s="51">
        <f>VLOOKUP($A142,'Data Vlaue (Cr)'!$C:$FB,60)</f>
        <v>2743</v>
      </c>
      <c r="L142" s="51">
        <f>VLOOKUP($A142,'Data Vlaue (Cr)'!$C:$FB,62)*100</f>
        <v>-58.75</v>
      </c>
      <c r="M142" s="51">
        <f>VLOOKUP($A142,'Data Vlaue (Cr)'!$C:$FB,63)</f>
        <v>875</v>
      </c>
      <c r="N142" s="51">
        <f>VLOOKUP($A142,'Data Vlaue (Cr)'!$C:$FB,64)</f>
        <v>2070</v>
      </c>
      <c r="O142" s="51">
        <f>VLOOKUP($A142,'Data Vlaue (Cr)'!$C:$FB,66)*100</f>
        <v>-57.730000000000004</v>
      </c>
    </row>
    <row r="143" spans="1:15" x14ac:dyDescent="0.25">
      <c r="A143" s="101" t="str">
        <f>'Data Vlaue (Cr)'!C138</f>
        <v>NATIONALUM</v>
      </c>
      <c r="B143" s="50">
        <f>VLOOKUP($A143,'Data Vlaue (Cr)'!$C:$FB,8)</f>
        <v>237.87</v>
      </c>
      <c r="C143" s="50">
        <f>VLOOKUP($A143,'Data Vlaue (Cr)'!$C:$FB,11)*100</f>
        <v>0.75</v>
      </c>
      <c r="D143" s="50">
        <f>VLOOKUP($A143,'Data Vlaue (Cr)'!$C:$FB,143)</f>
        <v>3982.12</v>
      </c>
      <c r="E143" s="50">
        <f>VLOOKUP($A143,'Data Vlaue (Cr)'!$C:$FB,144)</f>
        <v>9201.2999999999993</v>
      </c>
      <c r="F143" s="50">
        <f>VLOOKUP($A143,'Data Vlaue (Cr)'!$C:$FB,146)*100</f>
        <v>-56.720000000000006</v>
      </c>
      <c r="G143" s="49">
        <f>VLOOKUP($A143,'Data Vlaue (Cr)'!$C:$FB,43)</f>
        <v>1736</v>
      </c>
      <c r="H143" s="49">
        <f>VLOOKUP($A143,'Data Vlaue (Cr)'!$C:$FB,44)</f>
        <v>1876</v>
      </c>
      <c r="I143" s="49">
        <f>VLOOKUP($A143,'Data Vlaue (Cr)'!$C:$FB,46)*100</f>
        <v>-7.48</v>
      </c>
      <c r="J143" s="51">
        <f>VLOOKUP($A143,'Data Vlaue (Cr)'!$C:$FB,59)</f>
        <v>1469</v>
      </c>
      <c r="K143" s="51">
        <f>VLOOKUP($A143,'Data Vlaue (Cr)'!$C:$FB,60)</f>
        <v>4947</v>
      </c>
      <c r="L143" s="51">
        <f>VLOOKUP($A143,'Data Vlaue (Cr)'!$C:$FB,62)*100</f>
        <v>-70.289999999999992</v>
      </c>
      <c r="M143" s="51">
        <f>VLOOKUP($A143,'Data Vlaue (Cr)'!$C:$FB,63)</f>
        <v>752</v>
      </c>
      <c r="N143" s="51">
        <f>VLOOKUP($A143,'Data Vlaue (Cr)'!$C:$FB,64)</f>
        <v>2303</v>
      </c>
      <c r="O143" s="51">
        <f>VLOOKUP($A143,'Data Vlaue (Cr)'!$C:$FB,66)*100</f>
        <v>-67.34</v>
      </c>
    </row>
    <row r="144" spans="1:15" x14ac:dyDescent="0.25">
      <c r="A144" s="101" t="str">
        <f>'Data Vlaue (Cr)'!C139</f>
        <v>NAUKRI</v>
      </c>
      <c r="B144" s="50">
        <f>VLOOKUP($A144,'Data Vlaue (Cr)'!$C:$FB,8)</f>
        <v>1364.7</v>
      </c>
      <c r="C144" s="50">
        <f>VLOOKUP($A144,'Data Vlaue (Cr)'!$C:$FB,11)*100</f>
        <v>-0.95</v>
      </c>
      <c r="D144" s="50">
        <f>VLOOKUP($A144,'Data Vlaue (Cr)'!$C:$FB,143)</f>
        <v>1536.52</v>
      </c>
      <c r="E144" s="50">
        <f>VLOOKUP($A144,'Data Vlaue (Cr)'!$C:$FB,144)</f>
        <v>4994.59</v>
      </c>
      <c r="F144" s="50">
        <f>VLOOKUP($A144,'Data Vlaue (Cr)'!$C:$FB,146)*100</f>
        <v>-69.239999999999995</v>
      </c>
      <c r="G144" s="49">
        <f>VLOOKUP($A144,'Data Vlaue (Cr)'!$C:$FB,43)</f>
        <v>784</v>
      </c>
      <c r="H144" s="49">
        <f>VLOOKUP($A144,'Data Vlaue (Cr)'!$C:$FB,44)</f>
        <v>1302</v>
      </c>
      <c r="I144" s="49">
        <f>VLOOKUP($A144,'Data Vlaue (Cr)'!$C:$FB,46)*100</f>
        <v>-39.739999999999995</v>
      </c>
      <c r="J144" s="51">
        <f>VLOOKUP($A144,'Data Vlaue (Cr)'!$C:$FB,59)</f>
        <v>523</v>
      </c>
      <c r="K144" s="51">
        <f>VLOOKUP($A144,'Data Vlaue (Cr)'!$C:$FB,60)</f>
        <v>2744</v>
      </c>
      <c r="L144" s="51">
        <f>VLOOKUP($A144,'Data Vlaue (Cr)'!$C:$FB,62)*100</f>
        <v>-80.959999999999994</v>
      </c>
      <c r="M144" s="51">
        <f>VLOOKUP($A144,'Data Vlaue (Cr)'!$C:$FB,63)</f>
        <v>205</v>
      </c>
      <c r="N144" s="51">
        <f>VLOOKUP($A144,'Data Vlaue (Cr)'!$C:$FB,64)</f>
        <v>757</v>
      </c>
      <c r="O144" s="51">
        <f>VLOOKUP($A144,'Data Vlaue (Cr)'!$C:$FB,66)*100</f>
        <v>-72.92</v>
      </c>
    </row>
    <row r="145" spans="1:15" x14ac:dyDescent="0.25">
      <c r="A145" s="101" t="str">
        <f>'Data Vlaue (Cr)'!C140</f>
        <v>NBCC</v>
      </c>
      <c r="B145" s="50">
        <f>VLOOKUP($A145,'Data Vlaue (Cr)'!$C:$FB,8)</f>
        <v>111.5</v>
      </c>
      <c r="C145" s="50">
        <f>VLOOKUP($A145,'Data Vlaue (Cr)'!$C:$FB,11)*100</f>
        <v>-0.16999999999999998</v>
      </c>
      <c r="D145" s="50">
        <f>VLOOKUP($A145,'Data Vlaue (Cr)'!$C:$FB,143)</f>
        <v>647.22</v>
      </c>
      <c r="E145" s="50">
        <f>VLOOKUP($A145,'Data Vlaue (Cr)'!$C:$FB,144)</f>
        <v>752.17</v>
      </c>
      <c r="F145" s="50">
        <f>VLOOKUP($A145,'Data Vlaue (Cr)'!$C:$FB,146)*100</f>
        <v>-13.950000000000001</v>
      </c>
      <c r="G145" s="49">
        <f>VLOOKUP($A145,'Data Vlaue (Cr)'!$C:$FB,43)</f>
        <v>402</v>
      </c>
      <c r="H145" s="49">
        <f>VLOOKUP($A145,'Data Vlaue (Cr)'!$C:$FB,44)</f>
        <v>480</v>
      </c>
      <c r="I145" s="49">
        <f>VLOOKUP($A145,'Data Vlaue (Cr)'!$C:$FB,46)*100</f>
        <v>-16.329999999999998</v>
      </c>
      <c r="J145" s="51">
        <f>VLOOKUP($A145,'Data Vlaue (Cr)'!$C:$FB,59)</f>
        <v>161</v>
      </c>
      <c r="K145" s="51">
        <f>VLOOKUP($A145,'Data Vlaue (Cr)'!$C:$FB,60)</f>
        <v>182</v>
      </c>
      <c r="L145" s="51">
        <f>VLOOKUP($A145,'Data Vlaue (Cr)'!$C:$FB,62)*100</f>
        <v>-11.690000000000001</v>
      </c>
      <c r="M145" s="51">
        <f>VLOOKUP($A145,'Data Vlaue (Cr)'!$C:$FB,63)</f>
        <v>78</v>
      </c>
      <c r="N145" s="51">
        <f>VLOOKUP($A145,'Data Vlaue (Cr)'!$C:$FB,64)</f>
        <v>78</v>
      </c>
      <c r="O145" s="51">
        <f>VLOOKUP($A145,'Data Vlaue (Cr)'!$C:$FB,66)*100</f>
        <v>-0.84</v>
      </c>
    </row>
    <row r="146" spans="1:15" x14ac:dyDescent="0.25">
      <c r="A146" s="101" t="str">
        <f>'Data Vlaue (Cr)'!C141</f>
        <v>NCC</v>
      </c>
      <c r="B146" s="50">
        <f>VLOOKUP($A146,'Data Vlaue (Cr)'!$C:$FB,8)</f>
        <v>213.55</v>
      </c>
      <c r="C146" s="50">
        <f>VLOOKUP($A146,'Data Vlaue (Cr)'!$C:$FB,11)*100</f>
        <v>1.9</v>
      </c>
      <c r="D146" s="50">
        <f>VLOOKUP($A146,'Data Vlaue (Cr)'!$C:$FB,143)</f>
        <v>902.69</v>
      </c>
      <c r="E146" s="50">
        <f>VLOOKUP($A146,'Data Vlaue (Cr)'!$C:$FB,144)</f>
        <v>468.01</v>
      </c>
      <c r="F146" s="50">
        <f>VLOOKUP($A146,'Data Vlaue (Cr)'!$C:$FB,146)*100</f>
        <v>92.88</v>
      </c>
      <c r="G146" s="49">
        <f>VLOOKUP($A146,'Data Vlaue (Cr)'!$C:$FB,43)</f>
        <v>375</v>
      </c>
      <c r="H146" s="49">
        <f>VLOOKUP($A146,'Data Vlaue (Cr)'!$C:$FB,44)</f>
        <v>259</v>
      </c>
      <c r="I146" s="49">
        <f>VLOOKUP($A146,'Data Vlaue (Cr)'!$C:$FB,46)*100</f>
        <v>44.879999999999995</v>
      </c>
      <c r="J146" s="51">
        <f>VLOOKUP($A146,'Data Vlaue (Cr)'!$C:$FB,59)</f>
        <v>390</v>
      </c>
      <c r="K146" s="51">
        <f>VLOOKUP($A146,'Data Vlaue (Cr)'!$C:$FB,60)</f>
        <v>144</v>
      </c>
      <c r="L146" s="51">
        <f>VLOOKUP($A146,'Data Vlaue (Cr)'!$C:$FB,62)*100</f>
        <v>170.27</v>
      </c>
      <c r="M146" s="51">
        <f>VLOOKUP($A146,'Data Vlaue (Cr)'!$C:$FB,63)</f>
        <v>128</v>
      </c>
      <c r="N146" s="51">
        <f>VLOOKUP($A146,'Data Vlaue (Cr)'!$C:$FB,64)</f>
        <v>69</v>
      </c>
      <c r="O146" s="51">
        <f>VLOOKUP($A146,'Data Vlaue (Cr)'!$C:$FB,66)*100</f>
        <v>85.76</v>
      </c>
    </row>
    <row r="147" spans="1:15" x14ac:dyDescent="0.25">
      <c r="A147" s="101" t="str">
        <f>'Data Vlaue (Cr)'!C142</f>
        <v>NESTLEIND</v>
      </c>
      <c r="B147" s="50">
        <f>VLOOKUP($A147,'Data Vlaue (Cr)'!$C:$FB,8)</f>
        <v>1283</v>
      </c>
      <c r="C147" s="50">
        <f>VLOOKUP($A147,'Data Vlaue (Cr)'!$C:$FB,11)*100</f>
        <v>0.08</v>
      </c>
      <c r="D147" s="50">
        <f>VLOOKUP($A147,'Data Vlaue (Cr)'!$C:$FB,143)</f>
        <v>3513.3</v>
      </c>
      <c r="E147" s="50">
        <f>VLOOKUP($A147,'Data Vlaue (Cr)'!$C:$FB,144)</f>
        <v>4307.78</v>
      </c>
      <c r="F147" s="50">
        <f>VLOOKUP($A147,'Data Vlaue (Cr)'!$C:$FB,146)*100</f>
        <v>-18.440000000000001</v>
      </c>
      <c r="G147" s="49">
        <f>VLOOKUP($A147,'Data Vlaue (Cr)'!$C:$FB,43)</f>
        <v>1428</v>
      </c>
      <c r="H147" s="49">
        <f>VLOOKUP($A147,'Data Vlaue (Cr)'!$C:$FB,44)</f>
        <v>1652</v>
      </c>
      <c r="I147" s="49">
        <f>VLOOKUP($A147,'Data Vlaue (Cr)'!$C:$FB,46)*100</f>
        <v>-13.58</v>
      </c>
      <c r="J147" s="51">
        <f>VLOOKUP($A147,'Data Vlaue (Cr)'!$C:$FB,59)</f>
        <v>1241</v>
      </c>
      <c r="K147" s="51">
        <f>VLOOKUP($A147,'Data Vlaue (Cr)'!$C:$FB,60)</f>
        <v>1445</v>
      </c>
      <c r="L147" s="51">
        <f>VLOOKUP($A147,'Data Vlaue (Cr)'!$C:$FB,62)*100</f>
        <v>-14.13</v>
      </c>
      <c r="M147" s="51">
        <f>VLOOKUP($A147,'Data Vlaue (Cr)'!$C:$FB,63)</f>
        <v>828</v>
      </c>
      <c r="N147" s="51">
        <f>VLOOKUP($A147,'Data Vlaue (Cr)'!$C:$FB,64)</f>
        <v>1215</v>
      </c>
      <c r="O147" s="51">
        <f>VLOOKUP($A147,'Data Vlaue (Cr)'!$C:$FB,66)*100</f>
        <v>-31.840000000000003</v>
      </c>
    </row>
    <row r="148" spans="1:15" x14ac:dyDescent="0.25">
      <c r="A148" s="101" t="str">
        <f>'Data Vlaue (Cr)'!C143</f>
        <v>NHPC</v>
      </c>
      <c r="B148" s="50">
        <f>VLOOKUP($A148,'Data Vlaue (Cr)'!$C:$FB,8)</f>
        <v>85.02</v>
      </c>
      <c r="C148" s="50">
        <f>VLOOKUP($A148,'Data Vlaue (Cr)'!$C:$FB,11)*100</f>
        <v>0.27</v>
      </c>
      <c r="D148" s="50">
        <f>VLOOKUP($A148,'Data Vlaue (Cr)'!$C:$FB,143)</f>
        <v>414.71</v>
      </c>
      <c r="E148" s="50">
        <f>VLOOKUP($A148,'Data Vlaue (Cr)'!$C:$FB,144)</f>
        <v>746.13</v>
      </c>
      <c r="F148" s="50">
        <f>VLOOKUP($A148,'Data Vlaue (Cr)'!$C:$FB,146)*100</f>
        <v>-44.42</v>
      </c>
      <c r="G148" s="49">
        <f>VLOOKUP($A148,'Data Vlaue (Cr)'!$C:$FB,43)</f>
        <v>304</v>
      </c>
      <c r="H148" s="49">
        <f>VLOOKUP($A148,'Data Vlaue (Cr)'!$C:$FB,44)</f>
        <v>454</v>
      </c>
      <c r="I148" s="49">
        <f>VLOOKUP($A148,'Data Vlaue (Cr)'!$C:$FB,46)*100</f>
        <v>-32.950000000000003</v>
      </c>
      <c r="J148" s="51">
        <f>VLOOKUP($A148,'Data Vlaue (Cr)'!$C:$FB,59)</f>
        <v>77</v>
      </c>
      <c r="K148" s="51">
        <f>VLOOKUP($A148,'Data Vlaue (Cr)'!$C:$FB,60)</f>
        <v>185</v>
      </c>
      <c r="L148" s="51">
        <f>VLOOKUP($A148,'Data Vlaue (Cr)'!$C:$FB,62)*100</f>
        <v>-58.220000000000006</v>
      </c>
      <c r="M148" s="51">
        <f>VLOOKUP($A148,'Data Vlaue (Cr)'!$C:$FB,63)</f>
        <v>29</v>
      </c>
      <c r="N148" s="51">
        <f>VLOOKUP($A148,'Data Vlaue (Cr)'!$C:$FB,64)</f>
        <v>92</v>
      </c>
      <c r="O148" s="51">
        <f>VLOOKUP($A148,'Data Vlaue (Cr)'!$C:$FB,66)*100</f>
        <v>-68.89</v>
      </c>
    </row>
    <row r="149" spans="1:15" x14ac:dyDescent="0.25">
      <c r="A149" s="101" t="str">
        <f>'Data Vlaue (Cr)'!C144</f>
        <v>NIFTY</v>
      </c>
      <c r="B149" s="50">
        <f>VLOOKUP($A149,'Data Vlaue (Cr)'!$C:$FB,8)</f>
        <v>25966.05</v>
      </c>
      <c r="C149" s="50">
        <f>VLOOKUP($A149,'Data Vlaue (Cr)'!$C:$FB,11)*100</f>
        <v>0.66</v>
      </c>
      <c r="D149" s="50">
        <f>VLOOKUP($A149,'Data Vlaue (Cr)'!$C:$FB,143)</f>
        <v>25537457.760000002</v>
      </c>
      <c r="E149" s="50">
        <f>VLOOKUP($A149,'Data Vlaue (Cr)'!$C:$FB,144)</f>
        <v>23620984.129999999</v>
      </c>
      <c r="F149" s="50">
        <f>VLOOKUP($A149,'Data Vlaue (Cr)'!$C:$FB,146)*100</f>
        <v>8.1100000000000012</v>
      </c>
      <c r="G149" s="49">
        <f>VLOOKUP($A149,'Data Vlaue (Cr)'!$C:$FB,43)</f>
        <v>39101</v>
      </c>
      <c r="H149" s="49">
        <f>VLOOKUP($A149,'Data Vlaue (Cr)'!$C:$FB,44)</f>
        <v>27665</v>
      </c>
      <c r="I149" s="49">
        <f>VLOOKUP($A149,'Data Vlaue (Cr)'!$C:$FB,46)*100</f>
        <v>41.339999999999996</v>
      </c>
      <c r="J149" s="51">
        <f>VLOOKUP($A149,'Data Vlaue (Cr)'!$C:$FB,59)</f>
        <v>13007411</v>
      </c>
      <c r="K149" s="51">
        <f>VLOOKUP($A149,'Data Vlaue (Cr)'!$C:$FB,60)</f>
        <v>11359451</v>
      </c>
      <c r="L149" s="51">
        <f>VLOOKUP($A149,'Data Vlaue (Cr)'!$C:$FB,62)*100</f>
        <v>14.510000000000002</v>
      </c>
      <c r="M149" s="51">
        <f>VLOOKUP($A149,'Data Vlaue (Cr)'!$C:$FB,63)</f>
        <v>12533491</v>
      </c>
      <c r="N149" s="51">
        <f>VLOOKUP($A149,'Data Vlaue (Cr)'!$C:$FB,64)</f>
        <v>12314717</v>
      </c>
      <c r="O149" s="51">
        <f>VLOOKUP($A149,'Data Vlaue (Cr)'!$C:$FB,66)*100</f>
        <v>1.78</v>
      </c>
    </row>
    <row r="150" spans="1:15" x14ac:dyDescent="0.25">
      <c r="A150" s="101" t="str">
        <f>'Data Vlaue (Cr)'!C145</f>
        <v>NIFTYNXT50</v>
      </c>
      <c r="B150" s="50">
        <f>VLOOKUP($A150,'Data Vlaue (Cr)'!$C:$FB,8)</f>
        <v>69612.2</v>
      </c>
      <c r="C150" s="50">
        <f>VLOOKUP($A150,'Data Vlaue (Cr)'!$C:$FB,11)*100</f>
        <v>0.37</v>
      </c>
      <c r="D150" s="50">
        <f>VLOOKUP($A150,'Data Vlaue (Cr)'!$C:$FB,143)</f>
        <v>555.80999999999995</v>
      </c>
      <c r="E150" s="50">
        <f>VLOOKUP($A150,'Data Vlaue (Cr)'!$C:$FB,144)</f>
        <v>387.19</v>
      </c>
      <c r="F150" s="50">
        <f>VLOOKUP($A150,'Data Vlaue (Cr)'!$C:$FB,146)*100</f>
        <v>43.55</v>
      </c>
      <c r="G150" s="49">
        <f>VLOOKUP($A150,'Data Vlaue (Cr)'!$C:$FB,43)</f>
        <v>123</v>
      </c>
      <c r="H150" s="49">
        <f>VLOOKUP($A150,'Data Vlaue (Cr)'!$C:$FB,44)</f>
        <v>90</v>
      </c>
      <c r="I150" s="49">
        <f>VLOOKUP($A150,'Data Vlaue (Cr)'!$C:$FB,46)*100</f>
        <v>36.49</v>
      </c>
      <c r="J150" s="51">
        <f>VLOOKUP($A150,'Data Vlaue (Cr)'!$C:$FB,59)</f>
        <v>260</v>
      </c>
      <c r="K150" s="51">
        <f>VLOOKUP($A150,'Data Vlaue (Cr)'!$C:$FB,60)</f>
        <v>157</v>
      </c>
      <c r="L150" s="51">
        <f>VLOOKUP($A150,'Data Vlaue (Cr)'!$C:$FB,62)*100</f>
        <v>65.08</v>
      </c>
      <c r="M150" s="51">
        <f>VLOOKUP($A150,'Data Vlaue (Cr)'!$C:$FB,63)</f>
        <v>174</v>
      </c>
      <c r="N150" s="51">
        <f>VLOOKUP($A150,'Data Vlaue (Cr)'!$C:$FB,64)</f>
        <v>142</v>
      </c>
      <c r="O150" s="51">
        <f>VLOOKUP($A150,'Data Vlaue (Cr)'!$C:$FB,66)*100</f>
        <v>22.58</v>
      </c>
    </row>
    <row r="151" spans="1:15" x14ac:dyDescent="0.25">
      <c r="A151" s="101" t="str">
        <f>'Data Vlaue (Cr)'!C146</f>
        <v>NMDC</v>
      </c>
      <c r="B151" s="50">
        <f>VLOOKUP($A151,'Data Vlaue (Cr)'!$C:$FB,8)</f>
        <v>74.37</v>
      </c>
      <c r="C151" s="50">
        <f>VLOOKUP($A151,'Data Vlaue (Cr)'!$C:$FB,11)*100</f>
        <v>0.24</v>
      </c>
      <c r="D151" s="50">
        <f>VLOOKUP($A151,'Data Vlaue (Cr)'!$C:$FB,143)</f>
        <v>2531.3200000000002</v>
      </c>
      <c r="E151" s="50">
        <f>VLOOKUP($A151,'Data Vlaue (Cr)'!$C:$FB,144)</f>
        <v>2172.88</v>
      </c>
      <c r="F151" s="50">
        <f>VLOOKUP($A151,'Data Vlaue (Cr)'!$C:$FB,146)*100</f>
        <v>16.5</v>
      </c>
      <c r="G151" s="49">
        <f>VLOOKUP($A151,'Data Vlaue (Cr)'!$C:$FB,43)</f>
        <v>1789</v>
      </c>
      <c r="H151" s="49">
        <f>VLOOKUP($A151,'Data Vlaue (Cr)'!$C:$FB,44)</f>
        <v>1158</v>
      </c>
      <c r="I151" s="49">
        <f>VLOOKUP($A151,'Data Vlaue (Cr)'!$C:$FB,46)*100</f>
        <v>54.58</v>
      </c>
      <c r="J151" s="51">
        <f>VLOOKUP($A151,'Data Vlaue (Cr)'!$C:$FB,59)</f>
        <v>409</v>
      </c>
      <c r="K151" s="51">
        <f>VLOOKUP($A151,'Data Vlaue (Cr)'!$C:$FB,60)</f>
        <v>642</v>
      </c>
      <c r="L151" s="51">
        <f>VLOOKUP($A151,'Data Vlaue (Cr)'!$C:$FB,62)*100</f>
        <v>-36.230000000000004</v>
      </c>
      <c r="M151" s="51">
        <f>VLOOKUP($A151,'Data Vlaue (Cr)'!$C:$FB,63)</f>
        <v>304</v>
      </c>
      <c r="N151" s="51">
        <f>VLOOKUP($A151,'Data Vlaue (Cr)'!$C:$FB,64)</f>
        <v>336</v>
      </c>
      <c r="O151" s="51">
        <f>VLOOKUP($A151,'Data Vlaue (Cr)'!$C:$FB,66)*100</f>
        <v>-9.31</v>
      </c>
    </row>
    <row r="152" spans="1:15" x14ac:dyDescent="0.25">
      <c r="A152" s="101" t="str">
        <f>'Data Vlaue (Cr)'!C147</f>
        <v>NTPC</v>
      </c>
      <c r="B152" s="50">
        <f>VLOOKUP($A152,'Data Vlaue (Cr)'!$C:$FB,8)</f>
        <v>341.75</v>
      </c>
      <c r="C152" s="50">
        <f>VLOOKUP($A152,'Data Vlaue (Cr)'!$C:$FB,11)*100</f>
        <v>0.63</v>
      </c>
      <c r="D152" s="50">
        <f>VLOOKUP($A152,'Data Vlaue (Cr)'!$C:$FB,143)</f>
        <v>4510.82</v>
      </c>
      <c r="E152" s="50">
        <f>VLOOKUP($A152,'Data Vlaue (Cr)'!$C:$FB,144)</f>
        <v>4585.8500000000004</v>
      </c>
      <c r="F152" s="50">
        <f>VLOOKUP($A152,'Data Vlaue (Cr)'!$C:$FB,146)*100</f>
        <v>-1.6400000000000001</v>
      </c>
      <c r="G152" s="49">
        <f>VLOOKUP($A152,'Data Vlaue (Cr)'!$C:$FB,43)</f>
        <v>2464</v>
      </c>
      <c r="H152" s="49">
        <f>VLOOKUP($A152,'Data Vlaue (Cr)'!$C:$FB,44)</f>
        <v>2029</v>
      </c>
      <c r="I152" s="49">
        <f>VLOOKUP($A152,'Data Vlaue (Cr)'!$C:$FB,46)*100</f>
        <v>21.43</v>
      </c>
      <c r="J152" s="51">
        <f>VLOOKUP($A152,'Data Vlaue (Cr)'!$C:$FB,59)</f>
        <v>1258</v>
      </c>
      <c r="K152" s="51">
        <f>VLOOKUP($A152,'Data Vlaue (Cr)'!$C:$FB,60)</f>
        <v>1672</v>
      </c>
      <c r="L152" s="51">
        <f>VLOOKUP($A152,'Data Vlaue (Cr)'!$C:$FB,62)*100</f>
        <v>-24.740000000000002</v>
      </c>
      <c r="M152" s="51">
        <f>VLOOKUP($A152,'Data Vlaue (Cr)'!$C:$FB,63)</f>
        <v>768</v>
      </c>
      <c r="N152" s="51">
        <f>VLOOKUP($A152,'Data Vlaue (Cr)'!$C:$FB,64)</f>
        <v>857</v>
      </c>
      <c r="O152" s="51">
        <f>VLOOKUP($A152,'Data Vlaue (Cr)'!$C:$FB,66)*100</f>
        <v>-10.35</v>
      </c>
    </row>
    <row r="153" spans="1:15" x14ac:dyDescent="0.25">
      <c r="A153" s="101" t="str">
        <f>'Data Vlaue (Cr)'!C148</f>
        <v>NUVAMA</v>
      </c>
      <c r="B153" s="50">
        <f>VLOOKUP($A153,'Data Vlaue (Cr)'!$C:$FB,8)</f>
        <v>7420.5</v>
      </c>
      <c r="C153" s="50">
        <f>VLOOKUP($A153,'Data Vlaue (Cr)'!$C:$FB,11)*100</f>
        <v>3.4099999999999997</v>
      </c>
      <c r="D153" s="50">
        <f>VLOOKUP($A153,'Data Vlaue (Cr)'!$C:$FB,143)</f>
        <v>2783.41</v>
      </c>
      <c r="E153" s="50">
        <f>VLOOKUP($A153,'Data Vlaue (Cr)'!$C:$FB,144)</f>
        <v>1919.67</v>
      </c>
      <c r="F153" s="50">
        <f>VLOOKUP($A153,'Data Vlaue (Cr)'!$C:$FB,146)*100</f>
        <v>44.99</v>
      </c>
      <c r="G153" s="49">
        <f>VLOOKUP($A153,'Data Vlaue (Cr)'!$C:$FB,43)</f>
        <v>361</v>
      </c>
      <c r="H153" s="49">
        <f>VLOOKUP($A153,'Data Vlaue (Cr)'!$C:$FB,44)</f>
        <v>272</v>
      </c>
      <c r="I153" s="49">
        <f>VLOOKUP($A153,'Data Vlaue (Cr)'!$C:$FB,46)*100</f>
        <v>32.950000000000003</v>
      </c>
      <c r="J153" s="51">
        <f>VLOOKUP($A153,'Data Vlaue (Cr)'!$C:$FB,59)</f>
        <v>1661</v>
      </c>
      <c r="K153" s="51">
        <f>VLOOKUP($A153,'Data Vlaue (Cr)'!$C:$FB,60)</f>
        <v>1248</v>
      </c>
      <c r="L153" s="51">
        <f>VLOOKUP($A153,'Data Vlaue (Cr)'!$C:$FB,62)*100</f>
        <v>33.119999999999997</v>
      </c>
      <c r="M153" s="51">
        <f>VLOOKUP($A153,'Data Vlaue (Cr)'!$C:$FB,63)</f>
        <v>761</v>
      </c>
      <c r="N153" s="51">
        <f>VLOOKUP($A153,'Data Vlaue (Cr)'!$C:$FB,64)</f>
        <v>408</v>
      </c>
      <c r="O153" s="51">
        <f>VLOOKUP($A153,'Data Vlaue (Cr)'!$C:$FB,66)*100</f>
        <v>86.53</v>
      </c>
    </row>
    <row r="154" spans="1:15" x14ac:dyDescent="0.25">
      <c r="A154" s="101" t="str">
        <f>'Data Vlaue (Cr)'!C149</f>
        <v>NYKAA</v>
      </c>
      <c r="B154" s="50">
        <f>VLOOKUP($A154,'Data Vlaue (Cr)'!$C:$FB,8)</f>
        <v>255.14</v>
      </c>
      <c r="C154" s="50">
        <f>VLOOKUP($A154,'Data Vlaue (Cr)'!$C:$FB,11)*100</f>
        <v>1.82</v>
      </c>
      <c r="D154" s="50">
        <f>VLOOKUP($A154,'Data Vlaue (Cr)'!$C:$FB,143)</f>
        <v>1997.71</v>
      </c>
      <c r="E154" s="50">
        <f>VLOOKUP($A154,'Data Vlaue (Cr)'!$C:$FB,144)</f>
        <v>2096.35</v>
      </c>
      <c r="F154" s="50">
        <f>VLOOKUP($A154,'Data Vlaue (Cr)'!$C:$FB,146)*100</f>
        <v>-4.71</v>
      </c>
      <c r="G154" s="49">
        <f>VLOOKUP($A154,'Data Vlaue (Cr)'!$C:$FB,43)</f>
        <v>1315</v>
      </c>
      <c r="H154" s="49">
        <f>VLOOKUP($A154,'Data Vlaue (Cr)'!$C:$FB,44)</f>
        <v>1303</v>
      </c>
      <c r="I154" s="49">
        <f>VLOOKUP($A154,'Data Vlaue (Cr)'!$C:$FB,46)*100</f>
        <v>0.89999999999999991</v>
      </c>
      <c r="J154" s="51">
        <f>VLOOKUP($A154,'Data Vlaue (Cr)'!$C:$FB,59)</f>
        <v>395</v>
      </c>
      <c r="K154" s="51">
        <f>VLOOKUP($A154,'Data Vlaue (Cr)'!$C:$FB,60)</f>
        <v>418</v>
      </c>
      <c r="L154" s="51">
        <f>VLOOKUP($A154,'Data Vlaue (Cr)'!$C:$FB,62)*100</f>
        <v>-5.5100000000000007</v>
      </c>
      <c r="M154" s="51">
        <f>VLOOKUP($A154,'Data Vlaue (Cr)'!$C:$FB,63)</f>
        <v>299</v>
      </c>
      <c r="N154" s="51">
        <f>VLOOKUP($A154,'Data Vlaue (Cr)'!$C:$FB,64)</f>
        <v>402</v>
      </c>
      <c r="O154" s="51">
        <f>VLOOKUP($A154,'Data Vlaue (Cr)'!$C:$FB,66)*100</f>
        <v>-25.590000000000003</v>
      </c>
    </row>
    <row r="155" spans="1:15" x14ac:dyDescent="0.25">
      <c r="A155" s="101" t="str">
        <f>'Data Vlaue (Cr)'!C150</f>
        <v>OBEROIRLTY</v>
      </c>
      <c r="B155" s="50">
        <f>VLOOKUP($A155,'Data Vlaue (Cr)'!$C:$FB,8)</f>
        <v>1736</v>
      </c>
      <c r="C155" s="50">
        <f>VLOOKUP($A155,'Data Vlaue (Cr)'!$C:$FB,11)*100</f>
        <v>2.12</v>
      </c>
      <c r="D155" s="50">
        <f>VLOOKUP($A155,'Data Vlaue (Cr)'!$C:$FB,143)</f>
        <v>2734.89</v>
      </c>
      <c r="E155" s="50">
        <f>VLOOKUP($A155,'Data Vlaue (Cr)'!$C:$FB,144)</f>
        <v>1612.22</v>
      </c>
      <c r="F155" s="50">
        <f>VLOOKUP($A155,'Data Vlaue (Cr)'!$C:$FB,146)*100</f>
        <v>69.64</v>
      </c>
      <c r="G155" s="49">
        <f>VLOOKUP($A155,'Data Vlaue (Cr)'!$C:$FB,43)</f>
        <v>725</v>
      </c>
      <c r="H155" s="49">
        <f>VLOOKUP($A155,'Data Vlaue (Cr)'!$C:$FB,44)</f>
        <v>633</v>
      </c>
      <c r="I155" s="49">
        <f>VLOOKUP($A155,'Data Vlaue (Cr)'!$C:$FB,46)*100</f>
        <v>14.499999999999998</v>
      </c>
      <c r="J155" s="51">
        <f>VLOOKUP($A155,'Data Vlaue (Cr)'!$C:$FB,59)</f>
        <v>1498</v>
      </c>
      <c r="K155" s="51">
        <f>VLOOKUP($A155,'Data Vlaue (Cr)'!$C:$FB,60)</f>
        <v>742</v>
      </c>
      <c r="L155" s="51">
        <f>VLOOKUP($A155,'Data Vlaue (Cr)'!$C:$FB,62)*100</f>
        <v>101.86</v>
      </c>
      <c r="M155" s="51">
        <f>VLOOKUP($A155,'Data Vlaue (Cr)'!$C:$FB,63)</f>
        <v>490</v>
      </c>
      <c r="N155" s="51">
        <f>VLOOKUP($A155,'Data Vlaue (Cr)'!$C:$FB,64)</f>
        <v>260</v>
      </c>
      <c r="O155" s="51">
        <f>VLOOKUP($A155,'Data Vlaue (Cr)'!$C:$FB,66)*100</f>
        <v>88.33</v>
      </c>
    </row>
    <row r="156" spans="1:15" x14ac:dyDescent="0.25">
      <c r="A156" s="101" t="str">
        <f>'Data Vlaue (Cr)'!C151</f>
        <v>OFSS</v>
      </c>
      <c r="B156" s="50">
        <f>VLOOKUP($A156,'Data Vlaue (Cr)'!$C:$FB,8)</f>
        <v>8695.5</v>
      </c>
      <c r="C156" s="50">
        <f>VLOOKUP($A156,'Data Vlaue (Cr)'!$C:$FB,11)*100</f>
        <v>1.52</v>
      </c>
      <c r="D156" s="50">
        <f>VLOOKUP($A156,'Data Vlaue (Cr)'!$C:$FB,143)</f>
        <v>3400.43</v>
      </c>
      <c r="E156" s="50">
        <f>VLOOKUP($A156,'Data Vlaue (Cr)'!$C:$FB,144)</f>
        <v>2575.06</v>
      </c>
      <c r="F156" s="50">
        <f>VLOOKUP($A156,'Data Vlaue (Cr)'!$C:$FB,146)*100</f>
        <v>32.049999999999997</v>
      </c>
      <c r="G156" s="49">
        <f>VLOOKUP($A156,'Data Vlaue (Cr)'!$C:$FB,43)</f>
        <v>1093</v>
      </c>
      <c r="H156" s="49">
        <f>VLOOKUP($A156,'Data Vlaue (Cr)'!$C:$FB,44)</f>
        <v>746</v>
      </c>
      <c r="I156" s="49">
        <f>VLOOKUP($A156,'Data Vlaue (Cr)'!$C:$FB,46)*100</f>
        <v>46.58</v>
      </c>
      <c r="J156" s="51">
        <f>VLOOKUP($A156,'Data Vlaue (Cr)'!$C:$FB,59)</f>
        <v>1660</v>
      </c>
      <c r="K156" s="51">
        <f>VLOOKUP($A156,'Data Vlaue (Cr)'!$C:$FB,60)</f>
        <v>1272</v>
      </c>
      <c r="L156" s="51">
        <f>VLOOKUP($A156,'Data Vlaue (Cr)'!$C:$FB,62)*100</f>
        <v>30.470000000000002</v>
      </c>
      <c r="M156" s="51">
        <f>VLOOKUP($A156,'Data Vlaue (Cr)'!$C:$FB,63)</f>
        <v>604</v>
      </c>
      <c r="N156" s="51">
        <f>VLOOKUP($A156,'Data Vlaue (Cr)'!$C:$FB,64)</f>
        <v>545</v>
      </c>
      <c r="O156" s="51">
        <f>VLOOKUP($A156,'Data Vlaue (Cr)'!$C:$FB,66)*100</f>
        <v>10.95</v>
      </c>
    </row>
    <row r="157" spans="1:15" x14ac:dyDescent="0.25">
      <c r="A157" s="101" t="str">
        <f>'Data Vlaue (Cr)'!C152</f>
        <v>OIL</v>
      </c>
      <c r="B157" s="50">
        <f>VLOOKUP($A157,'Data Vlaue (Cr)'!$C:$FB,8)</f>
        <v>422.35</v>
      </c>
      <c r="C157" s="50">
        <f>VLOOKUP($A157,'Data Vlaue (Cr)'!$C:$FB,11)*100</f>
        <v>0.67999999999999994</v>
      </c>
      <c r="D157" s="50">
        <f>VLOOKUP($A157,'Data Vlaue (Cr)'!$C:$FB,143)</f>
        <v>803.04</v>
      </c>
      <c r="E157" s="50">
        <f>VLOOKUP($A157,'Data Vlaue (Cr)'!$C:$FB,144)</f>
        <v>1365.58</v>
      </c>
      <c r="F157" s="50">
        <f>VLOOKUP($A157,'Data Vlaue (Cr)'!$C:$FB,146)*100</f>
        <v>-41.19</v>
      </c>
      <c r="G157" s="49">
        <f>VLOOKUP($A157,'Data Vlaue (Cr)'!$C:$FB,43)</f>
        <v>348</v>
      </c>
      <c r="H157" s="49">
        <f>VLOOKUP($A157,'Data Vlaue (Cr)'!$C:$FB,44)</f>
        <v>480</v>
      </c>
      <c r="I157" s="49">
        <f>VLOOKUP($A157,'Data Vlaue (Cr)'!$C:$FB,46)*100</f>
        <v>-27.639999999999997</v>
      </c>
      <c r="J157" s="51">
        <f>VLOOKUP($A157,'Data Vlaue (Cr)'!$C:$FB,59)</f>
        <v>342</v>
      </c>
      <c r="K157" s="51">
        <f>VLOOKUP($A157,'Data Vlaue (Cr)'!$C:$FB,60)</f>
        <v>698</v>
      </c>
      <c r="L157" s="51">
        <f>VLOOKUP($A157,'Data Vlaue (Cr)'!$C:$FB,62)*100</f>
        <v>-50.960000000000008</v>
      </c>
      <c r="M157" s="51">
        <f>VLOOKUP($A157,'Data Vlaue (Cr)'!$C:$FB,63)</f>
        <v>102</v>
      </c>
      <c r="N157" s="51">
        <f>VLOOKUP($A157,'Data Vlaue (Cr)'!$C:$FB,64)</f>
        <v>173</v>
      </c>
      <c r="O157" s="51">
        <f>VLOOKUP($A157,'Data Vlaue (Cr)'!$C:$FB,66)*100</f>
        <v>-41.19</v>
      </c>
    </row>
    <row r="158" spans="1:15" x14ac:dyDescent="0.25">
      <c r="A158" s="101" t="str">
        <f>'Data Vlaue (Cr)'!C153</f>
        <v>ONGC</v>
      </c>
      <c r="B158" s="50">
        <f>VLOOKUP($A158,'Data Vlaue (Cr)'!$C:$FB,8)</f>
        <v>253.27</v>
      </c>
      <c r="C158" s="50">
        <f>VLOOKUP($A158,'Data Vlaue (Cr)'!$C:$FB,11)*100</f>
        <v>-0.66</v>
      </c>
      <c r="D158" s="50">
        <f>VLOOKUP($A158,'Data Vlaue (Cr)'!$C:$FB,143)</f>
        <v>4453.62</v>
      </c>
      <c r="E158" s="50">
        <f>VLOOKUP($A158,'Data Vlaue (Cr)'!$C:$FB,144)</f>
        <v>6368.67</v>
      </c>
      <c r="F158" s="50">
        <f>VLOOKUP($A158,'Data Vlaue (Cr)'!$C:$FB,146)*100</f>
        <v>-30.070000000000004</v>
      </c>
      <c r="G158" s="49">
        <f>VLOOKUP($A158,'Data Vlaue (Cr)'!$C:$FB,43)</f>
        <v>1932</v>
      </c>
      <c r="H158" s="49">
        <f>VLOOKUP($A158,'Data Vlaue (Cr)'!$C:$FB,44)</f>
        <v>1571</v>
      </c>
      <c r="I158" s="49">
        <f>VLOOKUP($A158,'Data Vlaue (Cr)'!$C:$FB,46)*100</f>
        <v>22.98</v>
      </c>
      <c r="J158" s="51">
        <f>VLOOKUP($A158,'Data Vlaue (Cr)'!$C:$FB,59)</f>
        <v>1574</v>
      </c>
      <c r="K158" s="51">
        <f>VLOOKUP($A158,'Data Vlaue (Cr)'!$C:$FB,60)</f>
        <v>3111</v>
      </c>
      <c r="L158" s="51">
        <f>VLOOKUP($A158,'Data Vlaue (Cr)'!$C:$FB,62)*100</f>
        <v>-49.41</v>
      </c>
      <c r="M158" s="51">
        <f>VLOOKUP($A158,'Data Vlaue (Cr)'!$C:$FB,63)</f>
        <v>902</v>
      </c>
      <c r="N158" s="51">
        <f>VLOOKUP($A158,'Data Vlaue (Cr)'!$C:$FB,64)</f>
        <v>1564</v>
      </c>
      <c r="O158" s="51">
        <f>VLOOKUP($A158,'Data Vlaue (Cr)'!$C:$FB,66)*100</f>
        <v>-42.28</v>
      </c>
    </row>
    <row r="159" spans="1:15" x14ac:dyDescent="0.25">
      <c r="A159" s="101" t="str">
        <f>'Data Vlaue (Cr)'!C154</f>
        <v>PAGEIND</v>
      </c>
      <c r="B159" s="50">
        <f>VLOOKUP($A159,'Data Vlaue (Cr)'!$C:$FB,8)</f>
        <v>40985</v>
      </c>
      <c r="C159" s="50">
        <f>VLOOKUP($A159,'Data Vlaue (Cr)'!$C:$FB,11)*100</f>
        <v>-0.1</v>
      </c>
      <c r="D159" s="50">
        <f>VLOOKUP($A159,'Data Vlaue (Cr)'!$C:$FB,143)</f>
        <v>1765.71</v>
      </c>
      <c r="E159" s="50">
        <f>VLOOKUP($A159,'Data Vlaue (Cr)'!$C:$FB,144)</f>
        <v>1970.88</v>
      </c>
      <c r="F159" s="50">
        <f>VLOOKUP($A159,'Data Vlaue (Cr)'!$C:$FB,146)*100</f>
        <v>-10.41</v>
      </c>
      <c r="G159" s="49">
        <f>VLOOKUP($A159,'Data Vlaue (Cr)'!$C:$FB,43)</f>
        <v>697</v>
      </c>
      <c r="H159" s="49">
        <f>VLOOKUP($A159,'Data Vlaue (Cr)'!$C:$FB,44)</f>
        <v>800</v>
      </c>
      <c r="I159" s="49">
        <f>VLOOKUP($A159,'Data Vlaue (Cr)'!$C:$FB,46)*100</f>
        <v>-12.8</v>
      </c>
      <c r="J159" s="51">
        <f>VLOOKUP($A159,'Data Vlaue (Cr)'!$C:$FB,59)</f>
        <v>594</v>
      </c>
      <c r="K159" s="51">
        <f>VLOOKUP($A159,'Data Vlaue (Cr)'!$C:$FB,60)</f>
        <v>663</v>
      </c>
      <c r="L159" s="51">
        <f>VLOOKUP($A159,'Data Vlaue (Cr)'!$C:$FB,62)*100</f>
        <v>-10.43</v>
      </c>
      <c r="M159" s="51">
        <f>VLOOKUP($A159,'Data Vlaue (Cr)'!$C:$FB,63)</f>
        <v>447</v>
      </c>
      <c r="N159" s="51">
        <f>VLOOKUP($A159,'Data Vlaue (Cr)'!$C:$FB,64)</f>
        <v>484</v>
      </c>
      <c r="O159" s="51">
        <f>VLOOKUP($A159,'Data Vlaue (Cr)'!$C:$FB,66)*100</f>
        <v>-7.7299999999999995</v>
      </c>
    </row>
    <row r="160" spans="1:15" x14ac:dyDescent="0.25">
      <c r="A160" s="101" t="str">
        <f>'Data Vlaue (Cr)'!C155</f>
        <v>PATANJALI</v>
      </c>
      <c r="B160" s="50">
        <f>VLOOKUP($A160,'Data Vlaue (Cr)'!$C:$FB,8)</f>
        <v>590.5</v>
      </c>
      <c r="C160" s="50">
        <f>VLOOKUP($A160,'Data Vlaue (Cr)'!$C:$FB,11)*100</f>
        <v>1.6400000000000001</v>
      </c>
      <c r="D160" s="50">
        <f>VLOOKUP($A160,'Data Vlaue (Cr)'!$C:$FB,143)</f>
        <v>2133.71</v>
      </c>
      <c r="E160" s="50">
        <f>VLOOKUP($A160,'Data Vlaue (Cr)'!$C:$FB,144)</f>
        <v>1411.27</v>
      </c>
      <c r="F160" s="50">
        <f>VLOOKUP($A160,'Data Vlaue (Cr)'!$C:$FB,146)*100</f>
        <v>51.190000000000005</v>
      </c>
      <c r="G160" s="49">
        <f>VLOOKUP($A160,'Data Vlaue (Cr)'!$C:$FB,43)</f>
        <v>1624</v>
      </c>
      <c r="H160" s="49">
        <f>VLOOKUP($A160,'Data Vlaue (Cr)'!$C:$FB,44)</f>
        <v>985</v>
      </c>
      <c r="I160" s="49">
        <f>VLOOKUP($A160,'Data Vlaue (Cr)'!$C:$FB,46)*100</f>
        <v>64.89</v>
      </c>
      <c r="J160" s="51">
        <f>VLOOKUP($A160,'Data Vlaue (Cr)'!$C:$FB,59)</f>
        <v>322</v>
      </c>
      <c r="K160" s="51">
        <f>VLOOKUP($A160,'Data Vlaue (Cr)'!$C:$FB,60)</f>
        <v>296</v>
      </c>
      <c r="L160" s="51">
        <f>VLOOKUP($A160,'Data Vlaue (Cr)'!$C:$FB,62)*100</f>
        <v>8.92</v>
      </c>
      <c r="M160" s="51">
        <f>VLOOKUP($A160,'Data Vlaue (Cr)'!$C:$FB,63)</f>
        <v>182</v>
      </c>
      <c r="N160" s="51">
        <f>VLOOKUP($A160,'Data Vlaue (Cr)'!$C:$FB,64)</f>
        <v>133</v>
      </c>
      <c r="O160" s="51">
        <f>VLOOKUP($A160,'Data Vlaue (Cr)'!$C:$FB,66)*100</f>
        <v>37.15</v>
      </c>
    </row>
    <row r="161" spans="1:15" x14ac:dyDescent="0.25">
      <c r="A161" s="101" t="str">
        <f>'Data Vlaue (Cr)'!C156</f>
        <v>PAYTM</v>
      </c>
      <c r="B161" s="50">
        <f>VLOOKUP($A161,'Data Vlaue (Cr)'!$C:$FB,8)</f>
        <v>1306.2</v>
      </c>
      <c r="C161" s="50">
        <f>VLOOKUP($A161,'Data Vlaue (Cr)'!$C:$FB,11)*100</f>
        <v>1.49</v>
      </c>
      <c r="D161" s="50">
        <f>VLOOKUP($A161,'Data Vlaue (Cr)'!$C:$FB,143)</f>
        <v>4700.72</v>
      </c>
      <c r="E161" s="50">
        <f>VLOOKUP($A161,'Data Vlaue (Cr)'!$C:$FB,144)</f>
        <v>3963.36</v>
      </c>
      <c r="F161" s="50">
        <f>VLOOKUP($A161,'Data Vlaue (Cr)'!$C:$FB,146)*100</f>
        <v>18.600000000000001</v>
      </c>
      <c r="G161" s="49">
        <f>VLOOKUP($A161,'Data Vlaue (Cr)'!$C:$FB,43)</f>
        <v>2178</v>
      </c>
      <c r="H161" s="49">
        <f>VLOOKUP($A161,'Data Vlaue (Cr)'!$C:$FB,44)</f>
        <v>1973</v>
      </c>
      <c r="I161" s="49">
        <f>VLOOKUP($A161,'Data Vlaue (Cr)'!$C:$FB,46)*100</f>
        <v>10.41</v>
      </c>
      <c r="J161" s="51">
        <f>VLOOKUP($A161,'Data Vlaue (Cr)'!$C:$FB,59)</f>
        <v>1536</v>
      </c>
      <c r="K161" s="51">
        <f>VLOOKUP($A161,'Data Vlaue (Cr)'!$C:$FB,60)</f>
        <v>1226</v>
      </c>
      <c r="L161" s="51">
        <f>VLOOKUP($A161,'Data Vlaue (Cr)'!$C:$FB,62)*100</f>
        <v>25.28</v>
      </c>
      <c r="M161" s="51">
        <f>VLOOKUP($A161,'Data Vlaue (Cr)'!$C:$FB,63)</f>
        <v>986</v>
      </c>
      <c r="N161" s="51">
        <f>VLOOKUP($A161,'Data Vlaue (Cr)'!$C:$FB,64)</f>
        <v>773</v>
      </c>
      <c r="O161" s="51">
        <f>VLOOKUP($A161,'Data Vlaue (Cr)'!$C:$FB,66)*100</f>
        <v>27.67</v>
      </c>
    </row>
    <row r="162" spans="1:15" x14ac:dyDescent="0.25">
      <c r="A162" s="101" t="str">
        <f>'Data Vlaue (Cr)'!C157</f>
        <v>PERSISTENT</v>
      </c>
      <c r="B162" s="50">
        <f>VLOOKUP($A162,'Data Vlaue (Cr)'!$C:$FB,8)</f>
        <v>5878.1</v>
      </c>
      <c r="C162" s="50">
        <f>VLOOKUP($A162,'Data Vlaue (Cr)'!$C:$FB,11)*100</f>
        <v>0.89</v>
      </c>
      <c r="D162" s="50">
        <f>VLOOKUP($A162,'Data Vlaue (Cr)'!$C:$FB,143)</f>
        <v>3652.77</v>
      </c>
      <c r="E162" s="50">
        <f>VLOOKUP($A162,'Data Vlaue (Cr)'!$C:$FB,144)</f>
        <v>4819.82</v>
      </c>
      <c r="F162" s="50">
        <f>VLOOKUP($A162,'Data Vlaue (Cr)'!$C:$FB,146)*100</f>
        <v>-24.21</v>
      </c>
      <c r="G162" s="49">
        <f>VLOOKUP($A162,'Data Vlaue (Cr)'!$C:$FB,43)</f>
        <v>1126</v>
      </c>
      <c r="H162" s="49">
        <f>VLOOKUP($A162,'Data Vlaue (Cr)'!$C:$FB,44)</f>
        <v>1439</v>
      </c>
      <c r="I162" s="49">
        <f>VLOOKUP($A162,'Data Vlaue (Cr)'!$C:$FB,46)*100</f>
        <v>-21.73</v>
      </c>
      <c r="J162" s="51">
        <f>VLOOKUP($A162,'Data Vlaue (Cr)'!$C:$FB,59)</f>
        <v>1343</v>
      </c>
      <c r="K162" s="51">
        <f>VLOOKUP($A162,'Data Vlaue (Cr)'!$C:$FB,60)</f>
        <v>2059</v>
      </c>
      <c r="L162" s="51">
        <f>VLOOKUP($A162,'Data Vlaue (Cr)'!$C:$FB,62)*100</f>
        <v>-34.78</v>
      </c>
      <c r="M162" s="51">
        <f>VLOOKUP($A162,'Data Vlaue (Cr)'!$C:$FB,63)</f>
        <v>1200</v>
      </c>
      <c r="N162" s="51">
        <f>VLOOKUP($A162,'Data Vlaue (Cr)'!$C:$FB,64)</f>
        <v>1307</v>
      </c>
      <c r="O162" s="51">
        <f>VLOOKUP($A162,'Data Vlaue (Cr)'!$C:$FB,66)*100</f>
        <v>-8.16</v>
      </c>
    </row>
    <row r="163" spans="1:15" x14ac:dyDescent="0.25">
      <c r="A163" s="101" t="str">
        <f>'Data Vlaue (Cr)'!C158</f>
        <v>PETRONET</v>
      </c>
      <c r="B163" s="50">
        <f>VLOOKUP($A163,'Data Vlaue (Cr)'!$C:$FB,8)</f>
        <v>280.10000000000002</v>
      </c>
      <c r="C163" s="50">
        <f>VLOOKUP($A163,'Data Vlaue (Cr)'!$C:$FB,11)*100</f>
        <v>-0.33999999999999997</v>
      </c>
      <c r="D163" s="50">
        <f>VLOOKUP($A163,'Data Vlaue (Cr)'!$C:$FB,143)</f>
        <v>1358.56</v>
      </c>
      <c r="E163" s="50">
        <f>VLOOKUP($A163,'Data Vlaue (Cr)'!$C:$FB,144)</f>
        <v>1565.64</v>
      </c>
      <c r="F163" s="50">
        <f>VLOOKUP($A163,'Data Vlaue (Cr)'!$C:$FB,146)*100</f>
        <v>-13.23</v>
      </c>
      <c r="G163" s="49">
        <f>VLOOKUP($A163,'Data Vlaue (Cr)'!$C:$FB,43)</f>
        <v>730</v>
      </c>
      <c r="H163" s="49">
        <f>VLOOKUP($A163,'Data Vlaue (Cr)'!$C:$FB,44)</f>
        <v>859</v>
      </c>
      <c r="I163" s="49">
        <f>VLOOKUP($A163,'Data Vlaue (Cr)'!$C:$FB,46)*100</f>
        <v>-15.040000000000001</v>
      </c>
      <c r="J163" s="51">
        <f>VLOOKUP($A163,'Data Vlaue (Cr)'!$C:$FB,59)</f>
        <v>326</v>
      </c>
      <c r="K163" s="51">
        <f>VLOOKUP($A163,'Data Vlaue (Cr)'!$C:$FB,60)</f>
        <v>463</v>
      </c>
      <c r="L163" s="51">
        <f>VLOOKUP($A163,'Data Vlaue (Cr)'!$C:$FB,62)*100</f>
        <v>-29.73</v>
      </c>
      <c r="M163" s="51">
        <f>VLOOKUP($A163,'Data Vlaue (Cr)'!$C:$FB,63)</f>
        <v>256</v>
      </c>
      <c r="N163" s="51">
        <f>VLOOKUP($A163,'Data Vlaue (Cr)'!$C:$FB,64)</f>
        <v>223</v>
      </c>
      <c r="O163" s="51">
        <f>VLOOKUP($A163,'Data Vlaue (Cr)'!$C:$FB,66)*100</f>
        <v>14.74</v>
      </c>
    </row>
    <row r="164" spans="1:15" x14ac:dyDescent="0.25">
      <c r="A164" s="101" t="str">
        <f>'Data Vlaue (Cr)'!C159</f>
        <v>PFC</v>
      </c>
      <c r="B164" s="50">
        <f>VLOOKUP($A164,'Data Vlaue (Cr)'!$C:$FB,8)</f>
        <v>396.9</v>
      </c>
      <c r="C164" s="50">
        <f>VLOOKUP($A164,'Data Vlaue (Cr)'!$C:$FB,11)*100</f>
        <v>0.84</v>
      </c>
      <c r="D164" s="50">
        <f>VLOOKUP($A164,'Data Vlaue (Cr)'!$C:$FB,143)</f>
        <v>3096.9</v>
      </c>
      <c r="E164" s="50">
        <f>VLOOKUP($A164,'Data Vlaue (Cr)'!$C:$FB,144)</f>
        <v>2594.98</v>
      </c>
      <c r="F164" s="50">
        <f>VLOOKUP($A164,'Data Vlaue (Cr)'!$C:$FB,146)*100</f>
        <v>19.34</v>
      </c>
      <c r="G164" s="49">
        <f>VLOOKUP($A164,'Data Vlaue (Cr)'!$C:$FB,43)</f>
        <v>1414</v>
      </c>
      <c r="H164" s="49">
        <f>VLOOKUP($A164,'Data Vlaue (Cr)'!$C:$FB,44)</f>
        <v>1075</v>
      </c>
      <c r="I164" s="49">
        <f>VLOOKUP($A164,'Data Vlaue (Cr)'!$C:$FB,46)*100</f>
        <v>31.46</v>
      </c>
      <c r="J164" s="51">
        <f>VLOOKUP($A164,'Data Vlaue (Cr)'!$C:$FB,59)</f>
        <v>973</v>
      </c>
      <c r="K164" s="51">
        <f>VLOOKUP($A164,'Data Vlaue (Cr)'!$C:$FB,60)</f>
        <v>932</v>
      </c>
      <c r="L164" s="51">
        <f>VLOOKUP($A164,'Data Vlaue (Cr)'!$C:$FB,62)*100</f>
        <v>4.38</v>
      </c>
      <c r="M164" s="51">
        <f>VLOOKUP($A164,'Data Vlaue (Cr)'!$C:$FB,63)</f>
        <v>665</v>
      </c>
      <c r="N164" s="51">
        <f>VLOOKUP($A164,'Data Vlaue (Cr)'!$C:$FB,64)</f>
        <v>556</v>
      </c>
      <c r="O164" s="51">
        <f>VLOOKUP($A164,'Data Vlaue (Cr)'!$C:$FB,66)*100</f>
        <v>19.71</v>
      </c>
    </row>
    <row r="165" spans="1:15" x14ac:dyDescent="0.25">
      <c r="A165" s="101" t="str">
        <f>'Data Vlaue (Cr)'!C160</f>
        <v>PGEL</v>
      </c>
      <c r="B165" s="50">
        <f>VLOOKUP($A165,'Data Vlaue (Cr)'!$C:$FB,8)</f>
        <v>571.95000000000005</v>
      </c>
      <c r="C165" s="50">
        <f>VLOOKUP($A165,'Data Vlaue (Cr)'!$C:$FB,11)*100</f>
        <v>-0.69</v>
      </c>
      <c r="D165" s="50">
        <f>VLOOKUP($A165,'Data Vlaue (Cr)'!$C:$FB,143)</f>
        <v>775.31</v>
      </c>
      <c r="E165" s="50">
        <f>VLOOKUP($A165,'Data Vlaue (Cr)'!$C:$FB,144)</f>
        <v>826.17</v>
      </c>
      <c r="F165" s="50">
        <f>VLOOKUP($A165,'Data Vlaue (Cr)'!$C:$FB,146)*100</f>
        <v>-6.16</v>
      </c>
      <c r="G165" s="49">
        <f>VLOOKUP($A165,'Data Vlaue (Cr)'!$C:$FB,43)</f>
        <v>406</v>
      </c>
      <c r="H165" s="49">
        <f>VLOOKUP($A165,'Data Vlaue (Cr)'!$C:$FB,44)</f>
        <v>342</v>
      </c>
      <c r="I165" s="49">
        <f>VLOOKUP($A165,'Data Vlaue (Cr)'!$C:$FB,46)*100</f>
        <v>18.89</v>
      </c>
      <c r="J165" s="51">
        <f>VLOOKUP($A165,'Data Vlaue (Cr)'!$C:$FB,59)</f>
        <v>232</v>
      </c>
      <c r="K165" s="51">
        <f>VLOOKUP($A165,'Data Vlaue (Cr)'!$C:$FB,60)</f>
        <v>290</v>
      </c>
      <c r="L165" s="51">
        <f>VLOOKUP($A165,'Data Vlaue (Cr)'!$C:$FB,62)*100</f>
        <v>-20.16</v>
      </c>
      <c r="M165" s="51">
        <f>VLOOKUP($A165,'Data Vlaue (Cr)'!$C:$FB,63)</f>
        <v>126</v>
      </c>
      <c r="N165" s="51">
        <f>VLOOKUP($A165,'Data Vlaue (Cr)'!$C:$FB,64)</f>
        <v>180</v>
      </c>
      <c r="O165" s="51">
        <f>VLOOKUP($A165,'Data Vlaue (Cr)'!$C:$FB,66)*100</f>
        <v>-30.009999999999998</v>
      </c>
    </row>
    <row r="166" spans="1:15" x14ac:dyDescent="0.25">
      <c r="A166" s="101" t="str">
        <f>'Data Vlaue (Cr)'!C161</f>
        <v>PHOENIXLTD</v>
      </c>
      <c r="B166" s="50">
        <f>VLOOKUP($A166,'Data Vlaue (Cr)'!$C:$FB,8)</f>
        <v>1711.1</v>
      </c>
      <c r="C166" s="50">
        <f>VLOOKUP($A166,'Data Vlaue (Cr)'!$C:$FB,11)*100</f>
        <v>1.81</v>
      </c>
      <c r="D166" s="50">
        <f>VLOOKUP($A166,'Data Vlaue (Cr)'!$C:$FB,143)</f>
        <v>1216.81</v>
      </c>
      <c r="E166" s="50">
        <f>VLOOKUP($A166,'Data Vlaue (Cr)'!$C:$FB,144)</f>
        <v>805.31</v>
      </c>
      <c r="F166" s="50">
        <f>VLOOKUP($A166,'Data Vlaue (Cr)'!$C:$FB,146)*100</f>
        <v>51.1</v>
      </c>
      <c r="G166" s="49">
        <f>VLOOKUP($A166,'Data Vlaue (Cr)'!$C:$FB,43)</f>
        <v>700</v>
      </c>
      <c r="H166" s="49">
        <f>VLOOKUP($A166,'Data Vlaue (Cr)'!$C:$FB,44)</f>
        <v>501</v>
      </c>
      <c r="I166" s="49">
        <f>VLOOKUP($A166,'Data Vlaue (Cr)'!$C:$FB,46)*100</f>
        <v>39.76</v>
      </c>
      <c r="J166" s="51">
        <f>VLOOKUP($A166,'Data Vlaue (Cr)'!$C:$FB,59)</f>
        <v>404</v>
      </c>
      <c r="K166" s="51">
        <f>VLOOKUP($A166,'Data Vlaue (Cr)'!$C:$FB,60)</f>
        <v>204</v>
      </c>
      <c r="L166" s="51">
        <f>VLOOKUP($A166,'Data Vlaue (Cr)'!$C:$FB,62)*100</f>
        <v>97.92</v>
      </c>
      <c r="M166" s="51">
        <f>VLOOKUP($A166,'Data Vlaue (Cr)'!$C:$FB,63)</f>
        <v>108</v>
      </c>
      <c r="N166" s="51">
        <f>VLOOKUP($A166,'Data Vlaue (Cr)'!$C:$FB,64)</f>
        <v>104</v>
      </c>
      <c r="O166" s="51">
        <f>VLOOKUP($A166,'Data Vlaue (Cr)'!$C:$FB,66)*100</f>
        <v>4.3900000000000006</v>
      </c>
    </row>
    <row r="167" spans="1:15" x14ac:dyDescent="0.25">
      <c r="A167" s="101" t="str">
        <f>'Data Vlaue (Cr)'!C162</f>
        <v>PIDILITIND</v>
      </c>
      <c r="B167" s="50">
        <f>VLOOKUP($A167,'Data Vlaue (Cr)'!$C:$FB,8)</f>
        <v>1504.4</v>
      </c>
      <c r="C167" s="50">
        <f>VLOOKUP($A167,'Data Vlaue (Cr)'!$C:$FB,11)*100</f>
        <v>-0.18</v>
      </c>
      <c r="D167" s="50">
        <f>VLOOKUP($A167,'Data Vlaue (Cr)'!$C:$FB,143)</f>
        <v>1739.36</v>
      </c>
      <c r="E167" s="50">
        <f>VLOOKUP($A167,'Data Vlaue (Cr)'!$C:$FB,144)</f>
        <v>1867.71</v>
      </c>
      <c r="F167" s="50">
        <f>VLOOKUP($A167,'Data Vlaue (Cr)'!$C:$FB,146)*100</f>
        <v>-6.87</v>
      </c>
      <c r="G167" s="49">
        <f>VLOOKUP($A167,'Data Vlaue (Cr)'!$C:$FB,43)</f>
        <v>1140</v>
      </c>
      <c r="H167" s="49">
        <f>VLOOKUP($A167,'Data Vlaue (Cr)'!$C:$FB,44)</f>
        <v>1241</v>
      </c>
      <c r="I167" s="49">
        <f>VLOOKUP($A167,'Data Vlaue (Cr)'!$C:$FB,46)*100</f>
        <v>-8.1199999999999992</v>
      </c>
      <c r="J167" s="51">
        <f>VLOOKUP($A167,'Data Vlaue (Cr)'!$C:$FB,59)</f>
        <v>321</v>
      </c>
      <c r="K167" s="51">
        <f>VLOOKUP($A167,'Data Vlaue (Cr)'!$C:$FB,60)</f>
        <v>319</v>
      </c>
      <c r="L167" s="51">
        <f>VLOOKUP($A167,'Data Vlaue (Cr)'!$C:$FB,62)*100</f>
        <v>0.71000000000000008</v>
      </c>
      <c r="M167" s="51">
        <f>VLOOKUP($A167,'Data Vlaue (Cr)'!$C:$FB,63)</f>
        <v>267</v>
      </c>
      <c r="N167" s="51">
        <f>VLOOKUP($A167,'Data Vlaue (Cr)'!$C:$FB,64)</f>
        <v>296</v>
      </c>
      <c r="O167" s="51">
        <f>VLOOKUP($A167,'Data Vlaue (Cr)'!$C:$FB,66)*100</f>
        <v>-9.77</v>
      </c>
    </row>
    <row r="168" spans="1:15" x14ac:dyDescent="0.25">
      <c r="A168" s="101" t="str">
        <f>'Data Vlaue (Cr)'!C163</f>
        <v>PIIND</v>
      </c>
      <c r="B168" s="50">
        <f>VLOOKUP($A168,'Data Vlaue (Cr)'!$C:$FB,8)</f>
        <v>3610</v>
      </c>
      <c r="C168" s="50">
        <f>VLOOKUP($A168,'Data Vlaue (Cr)'!$C:$FB,11)*100</f>
        <v>0.75</v>
      </c>
      <c r="D168" s="50">
        <f>VLOOKUP($A168,'Data Vlaue (Cr)'!$C:$FB,143)</f>
        <v>1366.57</v>
      </c>
      <c r="E168" s="50">
        <f>VLOOKUP($A168,'Data Vlaue (Cr)'!$C:$FB,144)</f>
        <v>1136.57</v>
      </c>
      <c r="F168" s="50">
        <f>VLOOKUP($A168,'Data Vlaue (Cr)'!$C:$FB,146)*100</f>
        <v>20.239999999999998</v>
      </c>
      <c r="G168" s="49">
        <f>VLOOKUP($A168,'Data Vlaue (Cr)'!$C:$FB,43)</f>
        <v>507</v>
      </c>
      <c r="H168" s="49">
        <f>VLOOKUP($A168,'Data Vlaue (Cr)'!$C:$FB,44)</f>
        <v>649</v>
      </c>
      <c r="I168" s="49">
        <f>VLOOKUP($A168,'Data Vlaue (Cr)'!$C:$FB,46)*100</f>
        <v>-21.88</v>
      </c>
      <c r="J168" s="51">
        <f>VLOOKUP($A168,'Data Vlaue (Cr)'!$C:$FB,59)</f>
        <v>658</v>
      </c>
      <c r="K168" s="51">
        <f>VLOOKUP($A168,'Data Vlaue (Cr)'!$C:$FB,60)</f>
        <v>317</v>
      </c>
      <c r="L168" s="51">
        <f>VLOOKUP($A168,'Data Vlaue (Cr)'!$C:$FB,62)*100</f>
        <v>107.3</v>
      </c>
      <c r="M168" s="51">
        <f>VLOOKUP($A168,'Data Vlaue (Cr)'!$C:$FB,63)</f>
        <v>178</v>
      </c>
      <c r="N168" s="51">
        <f>VLOOKUP($A168,'Data Vlaue (Cr)'!$C:$FB,64)</f>
        <v>177</v>
      </c>
      <c r="O168" s="51">
        <f>VLOOKUP($A168,'Data Vlaue (Cr)'!$C:$FB,66)*100</f>
        <v>0.92999999999999994</v>
      </c>
    </row>
    <row r="169" spans="1:15" x14ac:dyDescent="0.25">
      <c r="A169" s="101" t="str">
        <f>'Data Vlaue (Cr)'!C164</f>
        <v>PNB</v>
      </c>
      <c r="B169" s="50">
        <f>VLOOKUP($A169,'Data Vlaue (Cr)'!$C:$FB,8)</f>
        <v>119.63</v>
      </c>
      <c r="C169" s="50">
        <f>VLOOKUP($A169,'Data Vlaue (Cr)'!$C:$FB,11)*100</f>
        <v>2.2999999999999998</v>
      </c>
      <c r="D169" s="50">
        <f>VLOOKUP($A169,'Data Vlaue (Cr)'!$C:$FB,143)</f>
        <v>6951.69</v>
      </c>
      <c r="E169" s="50">
        <f>VLOOKUP($A169,'Data Vlaue (Cr)'!$C:$FB,144)</f>
        <v>5629.58</v>
      </c>
      <c r="F169" s="50">
        <f>VLOOKUP($A169,'Data Vlaue (Cr)'!$C:$FB,146)*100</f>
        <v>23.49</v>
      </c>
      <c r="G169" s="49">
        <f>VLOOKUP($A169,'Data Vlaue (Cr)'!$C:$FB,43)</f>
        <v>2709</v>
      </c>
      <c r="H169" s="49">
        <f>VLOOKUP($A169,'Data Vlaue (Cr)'!$C:$FB,44)</f>
        <v>1770</v>
      </c>
      <c r="I169" s="49">
        <f>VLOOKUP($A169,'Data Vlaue (Cr)'!$C:$FB,46)*100</f>
        <v>53.069999999999993</v>
      </c>
      <c r="J169" s="51">
        <f>VLOOKUP($A169,'Data Vlaue (Cr)'!$C:$FB,59)</f>
        <v>2825</v>
      </c>
      <c r="K169" s="51">
        <f>VLOOKUP($A169,'Data Vlaue (Cr)'!$C:$FB,60)</f>
        <v>2372</v>
      </c>
      <c r="L169" s="51">
        <f>VLOOKUP($A169,'Data Vlaue (Cr)'!$C:$FB,62)*100</f>
        <v>19.11</v>
      </c>
      <c r="M169" s="51">
        <f>VLOOKUP($A169,'Data Vlaue (Cr)'!$C:$FB,63)</f>
        <v>1397</v>
      </c>
      <c r="N169" s="51">
        <f>VLOOKUP($A169,'Data Vlaue (Cr)'!$C:$FB,64)</f>
        <v>1509</v>
      </c>
      <c r="O169" s="51">
        <f>VLOOKUP($A169,'Data Vlaue (Cr)'!$C:$FB,66)*100</f>
        <v>-7.46</v>
      </c>
    </row>
    <row r="170" spans="1:15" x14ac:dyDescent="0.25">
      <c r="A170" s="101" t="str">
        <f>'Data Vlaue (Cr)'!C165</f>
        <v>PNBHOUSING</v>
      </c>
      <c r="B170" s="50">
        <f>VLOOKUP($A170,'Data Vlaue (Cr)'!$C:$FB,8)</f>
        <v>927.6</v>
      </c>
      <c r="C170" s="50">
        <f>VLOOKUP($A170,'Data Vlaue (Cr)'!$C:$FB,11)*100</f>
        <v>2.2399999999999998</v>
      </c>
      <c r="D170" s="50">
        <f>VLOOKUP($A170,'Data Vlaue (Cr)'!$C:$FB,143)</f>
        <v>4080.19</v>
      </c>
      <c r="E170" s="50">
        <f>VLOOKUP($A170,'Data Vlaue (Cr)'!$C:$FB,144)</f>
        <v>3686.05</v>
      </c>
      <c r="F170" s="50">
        <f>VLOOKUP($A170,'Data Vlaue (Cr)'!$C:$FB,146)*100</f>
        <v>10.69</v>
      </c>
      <c r="G170" s="49">
        <f>VLOOKUP($A170,'Data Vlaue (Cr)'!$C:$FB,43)</f>
        <v>1328</v>
      </c>
      <c r="H170" s="49">
        <f>VLOOKUP($A170,'Data Vlaue (Cr)'!$C:$FB,44)</f>
        <v>1293</v>
      </c>
      <c r="I170" s="49">
        <f>VLOOKUP($A170,'Data Vlaue (Cr)'!$C:$FB,46)*100</f>
        <v>2.7199999999999998</v>
      </c>
      <c r="J170" s="51">
        <f>VLOOKUP($A170,'Data Vlaue (Cr)'!$C:$FB,59)</f>
        <v>1849</v>
      </c>
      <c r="K170" s="51">
        <f>VLOOKUP($A170,'Data Vlaue (Cr)'!$C:$FB,60)</f>
        <v>1648</v>
      </c>
      <c r="L170" s="51">
        <f>VLOOKUP($A170,'Data Vlaue (Cr)'!$C:$FB,62)*100</f>
        <v>12.2</v>
      </c>
      <c r="M170" s="51">
        <f>VLOOKUP($A170,'Data Vlaue (Cr)'!$C:$FB,63)</f>
        <v>865</v>
      </c>
      <c r="N170" s="51">
        <f>VLOOKUP($A170,'Data Vlaue (Cr)'!$C:$FB,64)</f>
        <v>799</v>
      </c>
      <c r="O170" s="51">
        <f>VLOOKUP($A170,'Data Vlaue (Cr)'!$C:$FB,66)*100</f>
        <v>8.16</v>
      </c>
    </row>
    <row r="171" spans="1:15" x14ac:dyDescent="0.25">
      <c r="A171" s="101" t="str">
        <f>'Data Vlaue (Cr)'!C166</f>
        <v>POLICYBZR</v>
      </c>
      <c r="B171" s="50">
        <f>VLOOKUP($A171,'Data Vlaue (Cr)'!$C:$FB,8)</f>
        <v>1749.4</v>
      </c>
      <c r="C171" s="50">
        <f>VLOOKUP($A171,'Data Vlaue (Cr)'!$C:$FB,11)*100</f>
        <v>3.7800000000000002</v>
      </c>
      <c r="D171" s="50">
        <f>VLOOKUP($A171,'Data Vlaue (Cr)'!$C:$FB,143)</f>
        <v>3203.81</v>
      </c>
      <c r="E171" s="50">
        <f>VLOOKUP($A171,'Data Vlaue (Cr)'!$C:$FB,144)</f>
        <v>2166.91</v>
      </c>
      <c r="F171" s="50">
        <f>VLOOKUP($A171,'Data Vlaue (Cr)'!$C:$FB,146)*100</f>
        <v>47.85</v>
      </c>
      <c r="G171" s="49">
        <f>VLOOKUP($A171,'Data Vlaue (Cr)'!$C:$FB,43)</f>
        <v>1590</v>
      </c>
      <c r="H171" s="49">
        <f>VLOOKUP($A171,'Data Vlaue (Cr)'!$C:$FB,44)</f>
        <v>1276</v>
      </c>
      <c r="I171" s="49">
        <f>VLOOKUP($A171,'Data Vlaue (Cr)'!$C:$FB,46)*100</f>
        <v>24.6</v>
      </c>
      <c r="J171" s="51">
        <f>VLOOKUP($A171,'Data Vlaue (Cr)'!$C:$FB,59)</f>
        <v>1284</v>
      </c>
      <c r="K171" s="51">
        <f>VLOOKUP($A171,'Data Vlaue (Cr)'!$C:$FB,60)</f>
        <v>703</v>
      </c>
      <c r="L171" s="51">
        <f>VLOOKUP($A171,'Data Vlaue (Cr)'!$C:$FB,62)*100</f>
        <v>82.54</v>
      </c>
      <c r="M171" s="51">
        <f>VLOOKUP($A171,'Data Vlaue (Cr)'!$C:$FB,63)</f>
        <v>340</v>
      </c>
      <c r="N171" s="51">
        <f>VLOOKUP($A171,'Data Vlaue (Cr)'!$C:$FB,64)</f>
        <v>268</v>
      </c>
      <c r="O171" s="51">
        <f>VLOOKUP($A171,'Data Vlaue (Cr)'!$C:$FB,66)*100</f>
        <v>27.029999999999998</v>
      </c>
    </row>
    <row r="172" spans="1:15" x14ac:dyDescent="0.25">
      <c r="A172" s="101" t="str">
        <f>'Data Vlaue (Cr)'!C167</f>
        <v>POLYCAB</v>
      </c>
      <c r="B172" s="50">
        <f>VLOOKUP($A172,'Data Vlaue (Cr)'!$C:$FB,8)</f>
        <v>7666.5</v>
      </c>
      <c r="C172" s="50">
        <f>VLOOKUP($A172,'Data Vlaue (Cr)'!$C:$FB,11)*100</f>
        <v>2.04</v>
      </c>
      <c r="D172" s="50">
        <f>VLOOKUP($A172,'Data Vlaue (Cr)'!$C:$FB,143)</f>
        <v>4059.74</v>
      </c>
      <c r="E172" s="50">
        <f>VLOOKUP($A172,'Data Vlaue (Cr)'!$C:$FB,144)</f>
        <v>5110.92</v>
      </c>
      <c r="F172" s="50">
        <f>VLOOKUP($A172,'Data Vlaue (Cr)'!$C:$FB,146)*100</f>
        <v>-20.57</v>
      </c>
      <c r="G172" s="49">
        <f>VLOOKUP($A172,'Data Vlaue (Cr)'!$C:$FB,43)</f>
        <v>971</v>
      </c>
      <c r="H172" s="49">
        <f>VLOOKUP($A172,'Data Vlaue (Cr)'!$C:$FB,44)</f>
        <v>1362</v>
      </c>
      <c r="I172" s="49">
        <f>VLOOKUP($A172,'Data Vlaue (Cr)'!$C:$FB,46)*100</f>
        <v>-28.749999999999996</v>
      </c>
      <c r="J172" s="51">
        <f>VLOOKUP($A172,'Data Vlaue (Cr)'!$C:$FB,59)</f>
        <v>1869</v>
      </c>
      <c r="K172" s="51">
        <f>VLOOKUP($A172,'Data Vlaue (Cr)'!$C:$FB,60)</f>
        <v>2175</v>
      </c>
      <c r="L172" s="51">
        <f>VLOOKUP($A172,'Data Vlaue (Cr)'!$C:$FB,62)*100</f>
        <v>-14.069999999999999</v>
      </c>
      <c r="M172" s="51">
        <f>VLOOKUP($A172,'Data Vlaue (Cr)'!$C:$FB,63)</f>
        <v>1209</v>
      </c>
      <c r="N172" s="51">
        <f>VLOOKUP($A172,'Data Vlaue (Cr)'!$C:$FB,64)</f>
        <v>1617</v>
      </c>
      <c r="O172" s="51">
        <f>VLOOKUP($A172,'Data Vlaue (Cr)'!$C:$FB,66)*100</f>
        <v>-25.230000000000004</v>
      </c>
    </row>
    <row r="173" spans="1:15" x14ac:dyDescent="0.25">
      <c r="A173" s="101" t="str">
        <f>'Data Vlaue (Cr)'!C168</f>
        <v>POWERGRID</v>
      </c>
      <c r="B173" s="50">
        <f>VLOOKUP($A173,'Data Vlaue (Cr)'!$C:$FB,8)</f>
        <v>291.05</v>
      </c>
      <c r="C173" s="50">
        <f>VLOOKUP($A173,'Data Vlaue (Cr)'!$C:$FB,11)*100</f>
        <v>0.88</v>
      </c>
      <c r="D173" s="50">
        <f>VLOOKUP($A173,'Data Vlaue (Cr)'!$C:$FB,143)</f>
        <v>2811.42</v>
      </c>
      <c r="E173" s="50">
        <f>VLOOKUP($A173,'Data Vlaue (Cr)'!$C:$FB,144)</f>
        <v>2510.12</v>
      </c>
      <c r="F173" s="50">
        <f>VLOOKUP($A173,'Data Vlaue (Cr)'!$C:$FB,146)*100</f>
        <v>12</v>
      </c>
      <c r="G173" s="49">
        <f>VLOOKUP($A173,'Data Vlaue (Cr)'!$C:$FB,43)</f>
        <v>1578</v>
      </c>
      <c r="H173" s="49">
        <f>VLOOKUP($A173,'Data Vlaue (Cr)'!$C:$FB,44)</f>
        <v>1297</v>
      </c>
      <c r="I173" s="49">
        <f>VLOOKUP($A173,'Data Vlaue (Cr)'!$C:$FB,46)*100</f>
        <v>21.68</v>
      </c>
      <c r="J173" s="51">
        <f>VLOOKUP($A173,'Data Vlaue (Cr)'!$C:$FB,59)</f>
        <v>816</v>
      </c>
      <c r="K173" s="51">
        <f>VLOOKUP($A173,'Data Vlaue (Cr)'!$C:$FB,60)</f>
        <v>814</v>
      </c>
      <c r="L173" s="51">
        <f>VLOOKUP($A173,'Data Vlaue (Cr)'!$C:$FB,62)*100</f>
        <v>0.16</v>
      </c>
      <c r="M173" s="51">
        <f>VLOOKUP($A173,'Data Vlaue (Cr)'!$C:$FB,63)</f>
        <v>414</v>
      </c>
      <c r="N173" s="51">
        <f>VLOOKUP($A173,'Data Vlaue (Cr)'!$C:$FB,64)</f>
        <v>408</v>
      </c>
      <c r="O173" s="51">
        <f>VLOOKUP($A173,'Data Vlaue (Cr)'!$C:$FB,66)*100</f>
        <v>1.34</v>
      </c>
    </row>
    <row r="174" spans="1:15" x14ac:dyDescent="0.25">
      <c r="A174" s="101" t="str">
        <f>'Data Vlaue (Cr)'!C169</f>
        <v>POWERINDIA</v>
      </c>
      <c r="B174" s="50">
        <f>VLOOKUP($A174,'Data Vlaue (Cr)'!$C:$FB,8)</f>
        <v>16655</v>
      </c>
      <c r="C174" s="50">
        <f>VLOOKUP($A174,'Data Vlaue (Cr)'!$C:$FB,11)*100</f>
        <v>-0.67</v>
      </c>
      <c r="D174" s="50">
        <f>VLOOKUP($A174,'Data Vlaue (Cr)'!$C:$FB,143)</f>
        <v>858.44</v>
      </c>
      <c r="E174" s="50">
        <f>VLOOKUP($A174,'Data Vlaue (Cr)'!$C:$FB,144)</f>
        <v>494.92</v>
      </c>
      <c r="F174" s="50">
        <f>VLOOKUP($A174,'Data Vlaue (Cr)'!$C:$FB,146)*100</f>
        <v>73.45</v>
      </c>
      <c r="G174" s="49">
        <f>VLOOKUP($A174,'Data Vlaue (Cr)'!$C:$FB,43)</f>
        <v>243</v>
      </c>
      <c r="H174" s="49">
        <f>VLOOKUP($A174,'Data Vlaue (Cr)'!$C:$FB,44)</f>
        <v>235</v>
      </c>
      <c r="I174" s="49">
        <f>VLOOKUP($A174,'Data Vlaue (Cr)'!$C:$FB,46)*100</f>
        <v>3.27</v>
      </c>
      <c r="J174" s="51">
        <f>VLOOKUP($A174,'Data Vlaue (Cr)'!$C:$FB,59)</f>
        <v>297</v>
      </c>
      <c r="K174" s="51">
        <f>VLOOKUP($A174,'Data Vlaue (Cr)'!$C:$FB,60)</f>
        <v>202</v>
      </c>
      <c r="L174" s="51">
        <f>VLOOKUP($A174,'Data Vlaue (Cr)'!$C:$FB,62)*100</f>
        <v>47.02</v>
      </c>
      <c r="M174" s="51">
        <f>VLOOKUP($A174,'Data Vlaue (Cr)'!$C:$FB,63)</f>
        <v>304</v>
      </c>
      <c r="N174" s="51">
        <f>VLOOKUP($A174,'Data Vlaue (Cr)'!$C:$FB,64)</f>
        <v>37</v>
      </c>
      <c r="O174" s="51">
        <f>VLOOKUP($A174,'Data Vlaue (Cr)'!$C:$FB,66)*100</f>
        <v>728.6400000000001</v>
      </c>
    </row>
    <row r="175" spans="1:15" x14ac:dyDescent="0.25">
      <c r="A175" s="101" t="str">
        <f>'Data Vlaue (Cr)'!C170</f>
        <v>PPLPHARMA</v>
      </c>
      <c r="B175" s="50">
        <f>VLOOKUP($A175,'Data Vlaue (Cr)'!$C:$FB,8)</f>
        <v>203.14</v>
      </c>
      <c r="C175" s="50">
        <f>VLOOKUP($A175,'Data Vlaue (Cr)'!$C:$FB,11)*100</f>
        <v>0.38</v>
      </c>
      <c r="D175" s="50">
        <f>VLOOKUP($A175,'Data Vlaue (Cr)'!$C:$FB,143)</f>
        <v>751.07</v>
      </c>
      <c r="E175" s="50">
        <f>VLOOKUP($A175,'Data Vlaue (Cr)'!$C:$FB,144)</f>
        <v>1152.9000000000001</v>
      </c>
      <c r="F175" s="50">
        <f>VLOOKUP($A175,'Data Vlaue (Cr)'!$C:$FB,146)*100</f>
        <v>-34.849999999999994</v>
      </c>
      <c r="G175" s="49">
        <f>VLOOKUP($A175,'Data Vlaue (Cr)'!$C:$FB,43)</f>
        <v>373</v>
      </c>
      <c r="H175" s="49">
        <f>VLOOKUP($A175,'Data Vlaue (Cr)'!$C:$FB,44)</f>
        <v>450</v>
      </c>
      <c r="I175" s="49">
        <f>VLOOKUP($A175,'Data Vlaue (Cr)'!$C:$FB,46)*100</f>
        <v>-17.100000000000001</v>
      </c>
      <c r="J175" s="51">
        <f>VLOOKUP($A175,'Data Vlaue (Cr)'!$C:$FB,59)</f>
        <v>237</v>
      </c>
      <c r="K175" s="51">
        <f>VLOOKUP($A175,'Data Vlaue (Cr)'!$C:$FB,60)</f>
        <v>467</v>
      </c>
      <c r="L175" s="51">
        <f>VLOOKUP($A175,'Data Vlaue (Cr)'!$C:$FB,62)*100</f>
        <v>-49.32</v>
      </c>
      <c r="M175" s="51">
        <f>VLOOKUP($A175,'Data Vlaue (Cr)'!$C:$FB,63)</f>
        <v>133</v>
      </c>
      <c r="N175" s="51">
        <f>VLOOKUP($A175,'Data Vlaue (Cr)'!$C:$FB,64)</f>
        <v>220</v>
      </c>
      <c r="O175" s="51">
        <f>VLOOKUP($A175,'Data Vlaue (Cr)'!$C:$FB,66)*100</f>
        <v>-39.619999999999997</v>
      </c>
    </row>
    <row r="176" spans="1:15" x14ac:dyDescent="0.25">
      <c r="A176" s="101" t="str">
        <f>'Data Vlaue (Cr)'!C171</f>
        <v>PRESTIGE</v>
      </c>
      <c r="B176" s="50">
        <f>VLOOKUP($A176,'Data Vlaue (Cr)'!$C:$FB,8)</f>
        <v>1784.8</v>
      </c>
      <c r="C176" s="50">
        <f>VLOOKUP($A176,'Data Vlaue (Cr)'!$C:$FB,11)*100</f>
        <v>1.7500000000000002</v>
      </c>
      <c r="D176" s="50">
        <f>VLOOKUP($A176,'Data Vlaue (Cr)'!$C:$FB,143)</f>
        <v>2118.36</v>
      </c>
      <c r="E176" s="50">
        <f>VLOOKUP($A176,'Data Vlaue (Cr)'!$C:$FB,144)</f>
        <v>1617.77</v>
      </c>
      <c r="F176" s="50">
        <f>VLOOKUP($A176,'Data Vlaue (Cr)'!$C:$FB,146)*100</f>
        <v>30.94</v>
      </c>
      <c r="G176" s="49">
        <f>VLOOKUP($A176,'Data Vlaue (Cr)'!$C:$FB,43)</f>
        <v>686</v>
      </c>
      <c r="H176" s="49">
        <f>VLOOKUP($A176,'Data Vlaue (Cr)'!$C:$FB,44)</f>
        <v>607</v>
      </c>
      <c r="I176" s="49">
        <f>VLOOKUP($A176,'Data Vlaue (Cr)'!$C:$FB,46)*100</f>
        <v>12.920000000000002</v>
      </c>
      <c r="J176" s="51">
        <f>VLOOKUP($A176,'Data Vlaue (Cr)'!$C:$FB,59)</f>
        <v>1114</v>
      </c>
      <c r="K176" s="51">
        <f>VLOOKUP($A176,'Data Vlaue (Cr)'!$C:$FB,60)</f>
        <v>755</v>
      </c>
      <c r="L176" s="51">
        <f>VLOOKUP($A176,'Data Vlaue (Cr)'!$C:$FB,62)*100</f>
        <v>47.57</v>
      </c>
      <c r="M176" s="51">
        <f>VLOOKUP($A176,'Data Vlaue (Cr)'!$C:$FB,63)</f>
        <v>307</v>
      </c>
      <c r="N176" s="51">
        <f>VLOOKUP($A176,'Data Vlaue (Cr)'!$C:$FB,64)</f>
        <v>279</v>
      </c>
      <c r="O176" s="51">
        <f>VLOOKUP($A176,'Data Vlaue (Cr)'!$C:$FB,66)*100</f>
        <v>10.24</v>
      </c>
    </row>
    <row r="177" spans="1:15" x14ac:dyDescent="0.25">
      <c r="A177" s="101" t="str">
        <f>'Data Vlaue (Cr)'!C172</f>
        <v>RBLBANK</v>
      </c>
      <c r="B177" s="50">
        <f>VLOOKUP($A177,'Data Vlaue (Cr)'!$C:$FB,8)</f>
        <v>322.05</v>
      </c>
      <c r="C177" s="50">
        <f>VLOOKUP($A177,'Data Vlaue (Cr)'!$C:$FB,11)*100</f>
        <v>1.9300000000000002</v>
      </c>
      <c r="D177" s="50">
        <f>VLOOKUP($A177,'Data Vlaue (Cr)'!$C:$FB,143)</f>
        <v>3971.5</v>
      </c>
      <c r="E177" s="50">
        <f>VLOOKUP($A177,'Data Vlaue (Cr)'!$C:$FB,144)</f>
        <v>2486.85</v>
      </c>
      <c r="F177" s="50">
        <f>VLOOKUP($A177,'Data Vlaue (Cr)'!$C:$FB,146)*100</f>
        <v>59.699999999999996</v>
      </c>
      <c r="G177" s="49">
        <f>VLOOKUP($A177,'Data Vlaue (Cr)'!$C:$FB,43)</f>
        <v>1364</v>
      </c>
      <c r="H177" s="49">
        <f>VLOOKUP($A177,'Data Vlaue (Cr)'!$C:$FB,44)</f>
        <v>1289</v>
      </c>
      <c r="I177" s="49">
        <f>VLOOKUP($A177,'Data Vlaue (Cr)'!$C:$FB,46)*100</f>
        <v>5.83</v>
      </c>
      <c r="J177" s="51">
        <f>VLOOKUP($A177,'Data Vlaue (Cr)'!$C:$FB,59)</f>
        <v>1885</v>
      </c>
      <c r="K177" s="51">
        <f>VLOOKUP($A177,'Data Vlaue (Cr)'!$C:$FB,60)</f>
        <v>761</v>
      </c>
      <c r="L177" s="51">
        <f>VLOOKUP($A177,'Data Vlaue (Cr)'!$C:$FB,62)*100</f>
        <v>147.57</v>
      </c>
      <c r="M177" s="51">
        <f>VLOOKUP($A177,'Data Vlaue (Cr)'!$C:$FB,63)</f>
        <v>660</v>
      </c>
      <c r="N177" s="51">
        <f>VLOOKUP($A177,'Data Vlaue (Cr)'!$C:$FB,64)</f>
        <v>443</v>
      </c>
      <c r="O177" s="51">
        <f>VLOOKUP($A177,'Data Vlaue (Cr)'!$C:$FB,66)*100</f>
        <v>48.809999999999995</v>
      </c>
    </row>
    <row r="178" spans="1:15" x14ac:dyDescent="0.25">
      <c r="A178" s="101" t="str">
        <f>'Data Vlaue (Cr)'!C173</f>
        <v>RECLTD</v>
      </c>
      <c r="B178" s="50">
        <f>VLOOKUP($A178,'Data Vlaue (Cr)'!$C:$FB,8)</f>
        <v>373.7</v>
      </c>
      <c r="C178" s="50">
        <f>VLOOKUP($A178,'Data Vlaue (Cr)'!$C:$FB,11)*100</f>
        <v>0.3</v>
      </c>
      <c r="D178" s="50">
        <f>VLOOKUP($A178,'Data Vlaue (Cr)'!$C:$FB,143)</f>
        <v>4707.51</v>
      </c>
      <c r="E178" s="50">
        <f>VLOOKUP($A178,'Data Vlaue (Cr)'!$C:$FB,144)</f>
        <v>3697.44</v>
      </c>
      <c r="F178" s="50">
        <f>VLOOKUP($A178,'Data Vlaue (Cr)'!$C:$FB,146)*100</f>
        <v>27.32</v>
      </c>
      <c r="G178" s="49">
        <f>VLOOKUP($A178,'Data Vlaue (Cr)'!$C:$FB,43)</f>
        <v>2104</v>
      </c>
      <c r="H178" s="49">
        <f>VLOOKUP($A178,'Data Vlaue (Cr)'!$C:$FB,44)</f>
        <v>1523</v>
      </c>
      <c r="I178" s="49">
        <f>VLOOKUP($A178,'Data Vlaue (Cr)'!$C:$FB,46)*100</f>
        <v>38.159999999999997</v>
      </c>
      <c r="J178" s="51">
        <f>VLOOKUP($A178,'Data Vlaue (Cr)'!$C:$FB,59)</f>
        <v>1465</v>
      </c>
      <c r="K178" s="51">
        <f>VLOOKUP($A178,'Data Vlaue (Cr)'!$C:$FB,60)</f>
        <v>1350</v>
      </c>
      <c r="L178" s="51">
        <f>VLOOKUP($A178,'Data Vlaue (Cr)'!$C:$FB,62)*100</f>
        <v>8.5599999999999987</v>
      </c>
      <c r="M178" s="51">
        <f>VLOOKUP($A178,'Data Vlaue (Cr)'!$C:$FB,63)</f>
        <v>1090</v>
      </c>
      <c r="N178" s="51">
        <f>VLOOKUP($A178,'Data Vlaue (Cr)'!$C:$FB,64)</f>
        <v>795</v>
      </c>
      <c r="O178" s="51">
        <f>VLOOKUP($A178,'Data Vlaue (Cr)'!$C:$FB,66)*100</f>
        <v>37.090000000000003</v>
      </c>
    </row>
    <row r="179" spans="1:15" x14ac:dyDescent="0.25">
      <c r="A179" s="101" t="str">
        <f>'Data Vlaue (Cr)'!C174</f>
        <v>RELIANCE</v>
      </c>
      <c r="B179" s="50">
        <f>VLOOKUP($A179,'Data Vlaue (Cr)'!$C:$FB,8)</f>
        <v>1484.1</v>
      </c>
      <c r="C179" s="50">
        <f>VLOOKUP($A179,'Data Vlaue (Cr)'!$C:$FB,11)*100</f>
        <v>2.2399999999999998</v>
      </c>
      <c r="D179" s="50">
        <f>VLOOKUP($A179,'Data Vlaue (Cr)'!$C:$FB,143)</f>
        <v>48890.31</v>
      </c>
      <c r="E179" s="50">
        <f>VLOOKUP($A179,'Data Vlaue (Cr)'!$C:$FB,144)</f>
        <v>38431.54</v>
      </c>
      <c r="F179" s="50">
        <f>VLOOKUP($A179,'Data Vlaue (Cr)'!$C:$FB,146)*100</f>
        <v>27.21</v>
      </c>
      <c r="G179" s="49">
        <f>VLOOKUP($A179,'Data Vlaue (Cr)'!$C:$FB,43)</f>
        <v>11007</v>
      </c>
      <c r="H179" s="49">
        <f>VLOOKUP($A179,'Data Vlaue (Cr)'!$C:$FB,44)</f>
        <v>9704</v>
      </c>
      <c r="I179" s="49">
        <f>VLOOKUP($A179,'Data Vlaue (Cr)'!$C:$FB,46)*100</f>
        <v>13.43</v>
      </c>
      <c r="J179" s="51">
        <f>VLOOKUP($A179,'Data Vlaue (Cr)'!$C:$FB,59)</f>
        <v>24157</v>
      </c>
      <c r="K179" s="51">
        <f>VLOOKUP($A179,'Data Vlaue (Cr)'!$C:$FB,60)</f>
        <v>17457</v>
      </c>
      <c r="L179" s="51">
        <f>VLOOKUP($A179,'Data Vlaue (Cr)'!$C:$FB,62)*100</f>
        <v>38.379999999999995</v>
      </c>
      <c r="M179" s="51">
        <f>VLOOKUP($A179,'Data Vlaue (Cr)'!$C:$FB,63)</f>
        <v>13592</v>
      </c>
      <c r="N179" s="51">
        <f>VLOOKUP($A179,'Data Vlaue (Cr)'!$C:$FB,64)</f>
        <v>11760</v>
      </c>
      <c r="O179" s="51">
        <f>VLOOKUP($A179,'Data Vlaue (Cr)'!$C:$FB,66)*100</f>
        <v>15.57</v>
      </c>
    </row>
    <row r="180" spans="1:15" x14ac:dyDescent="0.25">
      <c r="A180" s="101" t="str">
        <f>'Data Vlaue (Cr)'!C175</f>
        <v>RVNL</v>
      </c>
      <c r="B180" s="50">
        <f>VLOOKUP($A180,'Data Vlaue (Cr)'!$C:$FB,8)</f>
        <v>330</v>
      </c>
      <c r="C180" s="50">
        <f>VLOOKUP($A180,'Data Vlaue (Cr)'!$C:$FB,11)*100</f>
        <v>0.16999999999999998</v>
      </c>
      <c r="D180" s="50">
        <f>VLOOKUP($A180,'Data Vlaue (Cr)'!$C:$FB,143)</f>
        <v>1494.24</v>
      </c>
      <c r="E180" s="50">
        <f>VLOOKUP($A180,'Data Vlaue (Cr)'!$C:$FB,144)</f>
        <v>1552.96</v>
      </c>
      <c r="F180" s="50">
        <f>VLOOKUP($A180,'Data Vlaue (Cr)'!$C:$FB,146)*100</f>
        <v>-3.7800000000000002</v>
      </c>
      <c r="G180" s="49">
        <f>VLOOKUP($A180,'Data Vlaue (Cr)'!$C:$FB,43)</f>
        <v>804</v>
      </c>
      <c r="H180" s="49">
        <f>VLOOKUP($A180,'Data Vlaue (Cr)'!$C:$FB,44)</f>
        <v>924</v>
      </c>
      <c r="I180" s="49">
        <f>VLOOKUP($A180,'Data Vlaue (Cr)'!$C:$FB,46)*100</f>
        <v>-13.05</v>
      </c>
      <c r="J180" s="51">
        <f>VLOOKUP($A180,'Data Vlaue (Cr)'!$C:$FB,59)</f>
        <v>522</v>
      </c>
      <c r="K180" s="51">
        <f>VLOOKUP($A180,'Data Vlaue (Cr)'!$C:$FB,60)</f>
        <v>469</v>
      </c>
      <c r="L180" s="51">
        <f>VLOOKUP($A180,'Data Vlaue (Cr)'!$C:$FB,62)*100</f>
        <v>11.24</v>
      </c>
      <c r="M180" s="51">
        <f>VLOOKUP($A180,'Data Vlaue (Cr)'!$C:$FB,63)</f>
        <v>148</v>
      </c>
      <c r="N180" s="51">
        <f>VLOOKUP($A180,'Data Vlaue (Cr)'!$C:$FB,64)</f>
        <v>141</v>
      </c>
      <c r="O180" s="51">
        <f>VLOOKUP($A180,'Data Vlaue (Cr)'!$C:$FB,66)*100</f>
        <v>4.5699999999999994</v>
      </c>
    </row>
    <row r="181" spans="1:15" x14ac:dyDescent="0.25">
      <c r="A181" s="101" t="str">
        <f>'Data Vlaue (Cr)'!C176</f>
        <v>SAIL</v>
      </c>
      <c r="B181" s="50">
        <f>VLOOKUP($A181,'Data Vlaue (Cr)'!$C:$FB,8)</f>
        <v>129.9</v>
      </c>
      <c r="C181" s="50">
        <f>VLOOKUP($A181,'Data Vlaue (Cr)'!$C:$FB,11)*100</f>
        <v>0.33999999999999997</v>
      </c>
      <c r="D181" s="50">
        <f>VLOOKUP($A181,'Data Vlaue (Cr)'!$C:$FB,143)</f>
        <v>461.84</v>
      </c>
      <c r="E181" s="50">
        <f>VLOOKUP($A181,'Data Vlaue (Cr)'!$C:$FB,144)</f>
        <v>3834.51</v>
      </c>
      <c r="F181" s="50">
        <f>VLOOKUP($A181,'Data Vlaue (Cr)'!$C:$FB,146)*100</f>
        <v>-87.960000000000008</v>
      </c>
      <c r="G181" s="49">
        <f>VLOOKUP($A181,'Data Vlaue (Cr)'!$C:$FB,43)</f>
        <v>289</v>
      </c>
      <c r="H181" s="49">
        <f>VLOOKUP($A181,'Data Vlaue (Cr)'!$C:$FB,44)</f>
        <v>2454</v>
      </c>
      <c r="I181" s="49">
        <f>VLOOKUP($A181,'Data Vlaue (Cr)'!$C:$FB,46)*100</f>
        <v>-88.23</v>
      </c>
      <c r="J181" s="51">
        <f>VLOOKUP($A181,'Data Vlaue (Cr)'!$C:$FB,59)</f>
        <v>133</v>
      </c>
      <c r="K181" s="51">
        <f>VLOOKUP($A181,'Data Vlaue (Cr)'!$C:$FB,60)</f>
        <v>873</v>
      </c>
      <c r="L181" s="51">
        <f>VLOOKUP($A181,'Data Vlaue (Cr)'!$C:$FB,62)*100</f>
        <v>-84.76</v>
      </c>
      <c r="M181" s="51">
        <f>VLOOKUP($A181,'Data Vlaue (Cr)'!$C:$FB,63)</f>
        <v>35</v>
      </c>
      <c r="N181" s="51">
        <f>VLOOKUP($A181,'Data Vlaue (Cr)'!$C:$FB,64)</f>
        <v>466</v>
      </c>
      <c r="O181" s="51">
        <f>VLOOKUP($A181,'Data Vlaue (Cr)'!$C:$FB,66)*100</f>
        <v>-92.41</v>
      </c>
    </row>
    <row r="182" spans="1:15" x14ac:dyDescent="0.25">
      <c r="A182" s="101" t="str">
        <f>'Data Vlaue (Cr)'!C177</f>
        <v>SAMMAANCAP</v>
      </c>
      <c r="B182" s="50">
        <f>VLOOKUP($A182,'Data Vlaue (Cr)'!$C:$FB,8)</f>
        <v>188.63</v>
      </c>
      <c r="C182" s="50">
        <f>VLOOKUP($A182,'Data Vlaue (Cr)'!$C:$FB,11)*100</f>
        <v>0.2</v>
      </c>
      <c r="D182" s="50">
        <f>VLOOKUP($A182,'Data Vlaue (Cr)'!$C:$FB,143)</f>
        <v>425.26</v>
      </c>
      <c r="E182" s="50">
        <f>VLOOKUP($A182,'Data Vlaue (Cr)'!$C:$FB,144)</f>
        <v>10620.59</v>
      </c>
      <c r="F182" s="50">
        <f>VLOOKUP($A182,'Data Vlaue (Cr)'!$C:$FB,146)*100</f>
        <v>-96</v>
      </c>
      <c r="G182" s="49">
        <f>VLOOKUP($A182,'Data Vlaue (Cr)'!$C:$FB,43)</f>
        <v>194</v>
      </c>
      <c r="H182" s="49">
        <f>VLOOKUP($A182,'Data Vlaue (Cr)'!$C:$FB,44)</f>
        <v>4426</v>
      </c>
      <c r="I182" s="49">
        <f>VLOOKUP($A182,'Data Vlaue (Cr)'!$C:$FB,46)*100</f>
        <v>-95.61</v>
      </c>
      <c r="J182" s="51">
        <f>VLOOKUP($A182,'Data Vlaue (Cr)'!$C:$FB,59)</f>
        <v>135</v>
      </c>
      <c r="K182" s="51">
        <f>VLOOKUP($A182,'Data Vlaue (Cr)'!$C:$FB,60)</f>
        <v>4525</v>
      </c>
      <c r="L182" s="51">
        <f>VLOOKUP($A182,'Data Vlaue (Cr)'!$C:$FB,62)*100</f>
        <v>-97.02</v>
      </c>
      <c r="M182" s="51">
        <f>VLOOKUP($A182,'Data Vlaue (Cr)'!$C:$FB,63)</f>
        <v>98</v>
      </c>
      <c r="N182" s="51">
        <f>VLOOKUP($A182,'Data Vlaue (Cr)'!$C:$FB,64)</f>
        <v>1814</v>
      </c>
      <c r="O182" s="51">
        <f>VLOOKUP($A182,'Data Vlaue (Cr)'!$C:$FB,66)*100</f>
        <v>-94.58</v>
      </c>
    </row>
    <row r="183" spans="1:15" x14ac:dyDescent="0.25">
      <c r="A183" s="101" t="str">
        <f>'Data Vlaue (Cr)'!C178</f>
        <v>SBICARD</v>
      </c>
      <c r="B183" s="50">
        <f>VLOOKUP($A183,'Data Vlaue (Cr)'!$C:$FB,8)</f>
        <v>900.8</v>
      </c>
      <c r="C183" s="50">
        <f>VLOOKUP($A183,'Data Vlaue (Cr)'!$C:$FB,11)*100</f>
        <v>-3.0300000000000002</v>
      </c>
      <c r="D183" s="50">
        <f>VLOOKUP($A183,'Data Vlaue (Cr)'!$C:$FB,143)</f>
        <v>9146.0400000000009</v>
      </c>
      <c r="E183" s="50">
        <f>VLOOKUP($A183,'Data Vlaue (Cr)'!$C:$FB,144)</f>
        <v>9102.1</v>
      </c>
      <c r="F183" s="50">
        <f>VLOOKUP($A183,'Data Vlaue (Cr)'!$C:$FB,146)*100</f>
        <v>0.48</v>
      </c>
      <c r="G183" s="49">
        <f>VLOOKUP($A183,'Data Vlaue (Cr)'!$C:$FB,43)</f>
        <v>2351</v>
      </c>
      <c r="H183" s="49">
        <f>VLOOKUP($A183,'Data Vlaue (Cr)'!$C:$FB,44)</f>
        <v>2512</v>
      </c>
      <c r="I183" s="49">
        <f>VLOOKUP($A183,'Data Vlaue (Cr)'!$C:$FB,46)*100</f>
        <v>-6.4</v>
      </c>
      <c r="J183" s="51">
        <f>VLOOKUP($A183,'Data Vlaue (Cr)'!$C:$FB,59)</f>
        <v>4267</v>
      </c>
      <c r="K183" s="51">
        <f>VLOOKUP($A183,'Data Vlaue (Cr)'!$C:$FB,60)</f>
        <v>3926</v>
      </c>
      <c r="L183" s="51">
        <f>VLOOKUP($A183,'Data Vlaue (Cr)'!$C:$FB,62)*100</f>
        <v>8.6900000000000013</v>
      </c>
      <c r="M183" s="51">
        <f>VLOOKUP($A183,'Data Vlaue (Cr)'!$C:$FB,63)</f>
        <v>2364</v>
      </c>
      <c r="N183" s="51">
        <f>VLOOKUP($A183,'Data Vlaue (Cr)'!$C:$FB,64)</f>
        <v>2313</v>
      </c>
      <c r="O183" s="51">
        <f>VLOOKUP($A183,'Data Vlaue (Cr)'!$C:$FB,66)*100</f>
        <v>2.21</v>
      </c>
    </row>
    <row r="184" spans="1:15" x14ac:dyDescent="0.25">
      <c r="A184" s="101" t="str">
        <f>'Data Vlaue (Cr)'!C179</f>
        <v>SBILIFE</v>
      </c>
      <c r="B184" s="50">
        <f>VLOOKUP($A184,'Data Vlaue (Cr)'!$C:$FB,8)</f>
        <v>1903.1</v>
      </c>
      <c r="C184" s="50">
        <f>VLOOKUP($A184,'Data Vlaue (Cr)'!$C:$FB,11)*100</f>
        <v>3.44</v>
      </c>
      <c r="D184" s="50">
        <f>VLOOKUP($A184,'Data Vlaue (Cr)'!$C:$FB,143)</f>
        <v>13978.52</v>
      </c>
      <c r="E184" s="50">
        <f>VLOOKUP($A184,'Data Vlaue (Cr)'!$C:$FB,144)</f>
        <v>4622.5</v>
      </c>
      <c r="F184" s="50">
        <f>VLOOKUP($A184,'Data Vlaue (Cr)'!$C:$FB,146)*100</f>
        <v>202.4</v>
      </c>
      <c r="G184" s="49">
        <f>VLOOKUP($A184,'Data Vlaue (Cr)'!$C:$FB,43)</f>
        <v>1725</v>
      </c>
      <c r="H184" s="49">
        <f>VLOOKUP($A184,'Data Vlaue (Cr)'!$C:$FB,44)</f>
        <v>1322</v>
      </c>
      <c r="I184" s="49">
        <f>VLOOKUP($A184,'Data Vlaue (Cr)'!$C:$FB,46)*100</f>
        <v>30.53</v>
      </c>
      <c r="J184" s="51">
        <f>VLOOKUP($A184,'Data Vlaue (Cr)'!$C:$FB,59)</f>
        <v>8206</v>
      </c>
      <c r="K184" s="51">
        <f>VLOOKUP($A184,'Data Vlaue (Cr)'!$C:$FB,60)</f>
        <v>1951</v>
      </c>
      <c r="L184" s="51">
        <f>VLOOKUP($A184,'Data Vlaue (Cr)'!$C:$FB,62)*100</f>
        <v>320.51</v>
      </c>
      <c r="M184" s="51">
        <f>VLOOKUP($A184,'Data Vlaue (Cr)'!$C:$FB,63)</f>
        <v>3931</v>
      </c>
      <c r="N184" s="51">
        <f>VLOOKUP($A184,'Data Vlaue (Cr)'!$C:$FB,64)</f>
        <v>1430</v>
      </c>
      <c r="O184" s="51">
        <f>VLOOKUP($A184,'Data Vlaue (Cr)'!$C:$FB,66)*100</f>
        <v>174.87</v>
      </c>
    </row>
    <row r="185" spans="1:15" x14ac:dyDescent="0.25">
      <c r="A185" s="101" t="str">
        <f>'Data Vlaue (Cr)'!C180</f>
        <v>SBIN</v>
      </c>
      <c r="B185" s="50">
        <f>VLOOKUP($A185,'Data Vlaue (Cr)'!$C:$FB,8)</f>
        <v>922.75</v>
      </c>
      <c r="C185" s="50">
        <f>VLOOKUP($A185,'Data Vlaue (Cr)'!$C:$FB,11)*100</f>
        <v>2.02</v>
      </c>
      <c r="D185" s="50">
        <f>VLOOKUP($A185,'Data Vlaue (Cr)'!$C:$FB,143)</f>
        <v>24997.53</v>
      </c>
      <c r="E185" s="50">
        <f>VLOOKUP($A185,'Data Vlaue (Cr)'!$C:$FB,144)</f>
        <v>19241.240000000002</v>
      </c>
      <c r="F185" s="50">
        <f>VLOOKUP($A185,'Data Vlaue (Cr)'!$C:$FB,146)*100</f>
        <v>29.92</v>
      </c>
      <c r="G185" s="49">
        <f>VLOOKUP($A185,'Data Vlaue (Cr)'!$C:$FB,43)</f>
        <v>5375</v>
      </c>
      <c r="H185" s="49">
        <f>VLOOKUP($A185,'Data Vlaue (Cr)'!$C:$FB,44)</f>
        <v>5855</v>
      </c>
      <c r="I185" s="49">
        <f>VLOOKUP($A185,'Data Vlaue (Cr)'!$C:$FB,46)*100</f>
        <v>-8.2000000000000011</v>
      </c>
      <c r="J185" s="51">
        <f>VLOOKUP($A185,'Data Vlaue (Cr)'!$C:$FB,59)</f>
        <v>13201</v>
      </c>
      <c r="K185" s="51">
        <f>VLOOKUP($A185,'Data Vlaue (Cr)'!$C:$FB,60)</f>
        <v>7871</v>
      </c>
      <c r="L185" s="51">
        <f>VLOOKUP($A185,'Data Vlaue (Cr)'!$C:$FB,62)*100</f>
        <v>67.72</v>
      </c>
      <c r="M185" s="51">
        <f>VLOOKUP($A185,'Data Vlaue (Cr)'!$C:$FB,63)</f>
        <v>6353</v>
      </c>
      <c r="N185" s="51">
        <f>VLOOKUP($A185,'Data Vlaue (Cr)'!$C:$FB,64)</f>
        <v>5708</v>
      </c>
      <c r="O185" s="51">
        <f>VLOOKUP($A185,'Data Vlaue (Cr)'!$C:$FB,66)*100</f>
        <v>11.31</v>
      </c>
    </row>
    <row r="186" spans="1:15" x14ac:dyDescent="0.25">
      <c r="A186" s="101" t="str">
        <f>'Data Vlaue (Cr)'!C181</f>
        <v>SHREECEM</v>
      </c>
      <c r="B186" s="50">
        <f>VLOOKUP($A186,'Data Vlaue (Cr)'!$C:$FB,8)</f>
        <v>28590</v>
      </c>
      <c r="C186" s="50">
        <f>VLOOKUP($A186,'Data Vlaue (Cr)'!$C:$FB,11)*100</f>
        <v>-0.4</v>
      </c>
      <c r="D186" s="50">
        <f>VLOOKUP($A186,'Data Vlaue (Cr)'!$C:$FB,143)</f>
        <v>1505.62</v>
      </c>
      <c r="E186" s="50">
        <f>VLOOKUP($A186,'Data Vlaue (Cr)'!$C:$FB,144)</f>
        <v>972.36</v>
      </c>
      <c r="F186" s="50">
        <f>VLOOKUP($A186,'Data Vlaue (Cr)'!$C:$FB,146)*100</f>
        <v>54.84</v>
      </c>
      <c r="G186" s="49">
        <f>VLOOKUP($A186,'Data Vlaue (Cr)'!$C:$FB,43)</f>
        <v>594</v>
      </c>
      <c r="H186" s="49">
        <f>VLOOKUP($A186,'Data Vlaue (Cr)'!$C:$FB,44)</f>
        <v>594</v>
      </c>
      <c r="I186" s="49">
        <f>VLOOKUP($A186,'Data Vlaue (Cr)'!$C:$FB,46)*100</f>
        <v>0.01</v>
      </c>
      <c r="J186" s="51">
        <f>VLOOKUP($A186,'Data Vlaue (Cr)'!$C:$FB,59)</f>
        <v>673</v>
      </c>
      <c r="K186" s="51">
        <f>VLOOKUP($A186,'Data Vlaue (Cr)'!$C:$FB,60)</f>
        <v>305</v>
      </c>
      <c r="L186" s="51">
        <f>VLOOKUP($A186,'Data Vlaue (Cr)'!$C:$FB,62)*100</f>
        <v>120.71000000000001</v>
      </c>
      <c r="M186" s="51">
        <f>VLOOKUP($A186,'Data Vlaue (Cr)'!$C:$FB,63)</f>
        <v>184</v>
      </c>
      <c r="N186" s="51">
        <f>VLOOKUP($A186,'Data Vlaue (Cr)'!$C:$FB,64)</f>
        <v>51</v>
      </c>
      <c r="O186" s="51">
        <f>VLOOKUP($A186,'Data Vlaue (Cr)'!$C:$FB,66)*100</f>
        <v>259.22000000000003</v>
      </c>
    </row>
    <row r="187" spans="1:15" x14ac:dyDescent="0.25">
      <c r="A187" s="101" t="str">
        <f>'Data Vlaue (Cr)'!C182</f>
        <v>SHRIRAMFIN</v>
      </c>
      <c r="B187" s="50">
        <f>VLOOKUP($A187,'Data Vlaue (Cr)'!$C:$FB,8)</f>
        <v>719.6</v>
      </c>
      <c r="C187" s="50">
        <f>VLOOKUP($A187,'Data Vlaue (Cr)'!$C:$FB,11)*100</f>
        <v>0.57999999999999996</v>
      </c>
      <c r="D187" s="50">
        <f>VLOOKUP($A187,'Data Vlaue (Cr)'!$C:$FB,143)</f>
        <v>5155.01</v>
      </c>
      <c r="E187" s="50">
        <f>VLOOKUP($A187,'Data Vlaue (Cr)'!$C:$FB,144)</f>
        <v>6159.4</v>
      </c>
      <c r="F187" s="50">
        <f>VLOOKUP($A187,'Data Vlaue (Cr)'!$C:$FB,146)*100</f>
        <v>-16.309999999999999</v>
      </c>
      <c r="G187" s="49">
        <f>VLOOKUP($A187,'Data Vlaue (Cr)'!$C:$FB,43)</f>
        <v>2385</v>
      </c>
      <c r="H187" s="49">
        <f>VLOOKUP($A187,'Data Vlaue (Cr)'!$C:$FB,44)</f>
        <v>2349</v>
      </c>
      <c r="I187" s="49">
        <f>VLOOKUP($A187,'Data Vlaue (Cr)'!$C:$FB,46)*100</f>
        <v>1.5599999999999998</v>
      </c>
      <c r="J187" s="51">
        <f>VLOOKUP($A187,'Data Vlaue (Cr)'!$C:$FB,59)</f>
        <v>1688</v>
      </c>
      <c r="K187" s="51">
        <f>VLOOKUP($A187,'Data Vlaue (Cr)'!$C:$FB,60)</f>
        <v>2619</v>
      </c>
      <c r="L187" s="51">
        <f>VLOOKUP($A187,'Data Vlaue (Cr)'!$C:$FB,62)*100</f>
        <v>-35.53</v>
      </c>
      <c r="M187" s="51">
        <f>VLOOKUP($A187,'Data Vlaue (Cr)'!$C:$FB,63)</f>
        <v>1029</v>
      </c>
      <c r="N187" s="51">
        <f>VLOOKUP($A187,'Data Vlaue (Cr)'!$C:$FB,64)</f>
        <v>1170</v>
      </c>
      <c r="O187" s="51">
        <f>VLOOKUP($A187,'Data Vlaue (Cr)'!$C:$FB,66)*100</f>
        <v>-12.06</v>
      </c>
    </row>
    <row r="188" spans="1:15" x14ac:dyDescent="0.25">
      <c r="A188" s="101" t="str">
        <f>'Data Vlaue (Cr)'!C183</f>
        <v>SIEMENS</v>
      </c>
      <c r="B188" s="50">
        <f>VLOOKUP($A188,'Data Vlaue (Cr)'!$C:$FB,8)</f>
        <v>3159.9</v>
      </c>
      <c r="C188" s="50">
        <f>VLOOKUP($A188,'Data Vlaue (Cr)'!$C:$FB,11)*100</f>
        <v>0.24</v>
      </c>
      <c r="D188" s="50">
        <f>VLOOKUP($A188,'Data Vlaue (Cr)'!$C:$FB,143)</f>
        <v>1257.69</v>
      </c>
      <c r="E188" s="50">
        <f>VLOOKUP($A188,'Data Vlaue (Cr)'!$C:$FB,144)</f>
        <v>1675.8</v>
      </c>
      <c r="F188" s="50">
        <f>VLOOKUP($A188,'Data Vlaue (Cr)'!$C:$FB,146)*100</f>
        <v>-24.95</v>
      </c>
      <c r="G188" s="49">
        <f>VLOOKUP($A188,'Data Vlaue (Cr)'!$C:$FB,43)</f>
        <v>547</v>
      </c>
      <c r="H188" s="49">
        <f>VLOOKUP($A188,'Data Vlaue (Cr)'!$C:$FB,44)</f>
        <v>808</v>
      </c>
      <c r="I188" s="49">
        <f>VLOOKUP($A188,'Data Vlaue (Cr)'!$C:$FB,46)*100</f>
        <v>-32.25</v>
      </c>
      <c r="J188" s="51">
        <f>VLOOKUP($A188,'Data Vlaue (Cr)'!$C:$FB,59)</f>
        <v>509</v>
      </c>
      <c r="K188" s="51">
        <f>VLOOKUP($A188,'Data Vlaue (Cr)'!$C:$FB,60)</f>
        <v>614</v>
      </c>
      <c r="L188" s="51">
        <f>VLOOKUP($A188,'Data Vlaue (Cr)'!$C:$FB,62)*100</f>
        <v>-17.11</v>
      </c>
      <c r="M188" s="51">
        <f>VLOOKUP($A188,'Data Vlaue (Cr)'!$C:$FB,63)</f>
        <v>183</v>
      </c>
      <c r="N188" s="51">
        <f>VLOOKUP($A188,'Data Vlaue (Cr)'!$C:$FB,64)</f>
        <v>239</v>
      </c>
      <c r="O188" s="51">
        <f>VLOOKUP($A188,'Data Vlaue (Cr)'!$C:$FB,66)*100</f>
        <v>-23.62</v>
      </c>
    </row>
    <row r="189" spans="1:15" x14ac:dyDescent="0.25">
      <c r="A189" s="101" t="str">
        <f>'Data Vlaue (Cr)'!C216</f>
        <v>ZYDUSLIFE</v>
      </c>
      <c r="B189" s="50">
        <f>VLOOKUP($A189,'Data Vlaue (Cr)'!$C:$FB,8)</f>
        <v>1013.85</v>
      </c>
      <c r="C189" s="50">
        <f>VLOOKUP($A189,'Data Vlaue (Cr)'!$C:$FB,11)*100</f>
        <v>0.89</v>
      </c>
      <c r="D189" s="50">
        <f>VLOOKUP($A189,'Data Vlaue (Cr)'!$C:$FB,143)</f>
        <v>983.66</v>
      </c>
      <c r="E189" s="50">
        <f>VLOOKUP($A189,'Data Vlaue (Cr)'!$C:$FB,144)</f>
        <v>1230.3900000000001</v>
      </c>
      <c r="F189" s="50">
        <f>VLOOKUP($A189,'Data Vlaue (Cr)'!$C:$FB,146)*100</f>
        <v>-20.05</v>
      </c>
      <c r="G189" s="49">
        <f>VLOOKUP($A189,'Data Vlaue (Cr)'!$C:$FB,43)</f>
        <v>561</v>
      </c>
      <c r="H189" s="49">
        <f>VLOOKUP($A189,'Data Vlaue (Cr)'!$C:$FB,44)</f>
        <v>736</v>
      </c>
      <c r="I189" s="49">
        <f>VLOOKUP($A189,'Data Vlaue (Cr)'!$C:$FB,46)*100</f>
        <v>-23.810000000000002</v>
      </c>
      <c r="J189" s="51">
        <f>VLOOKUP($A189,'Data Vlaue (Cr)'!$C:$FB,59)</f>
        <v>294</v>
      </c>
      <c r="K189" s="51">
        <f>VLOOKUP($A189,'Data Vlaue (Cr)'!$C:$FB,60)</f>
        <v>374</v>
      </c>
      <c r="L189" s="51">
        <f>VLOOKUP($A189,'Data Vlaue (Cr)'!$C:$FB,62)*100</f>
        <v>-21.43</v>
      </c>
      <c r="M189" s="51">
        <f>VLOOKUP($A189,'Data Vlaue (Cr)'!$C:$FB,63)</f>
        <v>121</v>
      </c>
      <c r="N189" s="51">
        <f>VLOOKUP($A189,'Data Vlaue (Cr)'!$C:$FB,64)</f>
        <v>122</v>
      </c>
      <c r="O189" s="51">
        <f>VLOOKUP($A189,'Data Vlaue (Cr)'!$C:$FB,66)*100</f>
        <v>-1.1199999999999999</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30698889.620000001</v>
      </c>
      <c r="E212" s="131">
        <f>SUM(E7:E211)</f>
        <v>27743536.580000006</v>
      </c>
      <c r="F212" s="132">
        <f>(D212-E212)/E212</f>
        <v>0.10652401980108316</v>
      </c>
      <c r="G212" s="131">
        <f>SUM(G7:G211)</f>
        <v>348644</v>
      </c>
      <c r="H212" s="131">
        <f>SUM(H7:H211)</f>
        <v>362996</v>
      </c>
      <c r="I212" s="132">
        <f>(G212-H212)/H212</f>
        <v>-3.9537625758961532E-2</v>
      </c>
      <c r="J212" s="131">
        <f>SUM(J7:J211)</f>
        <v>15620858</v>
      </c>
      <c r="K212" s="131">
        <f>SUM(K7:K211)</f>
        <v>13316708</v>
      </c>
      <c r="L212" s="132">
        <f>(J212-K212)/K212</f>
        <v>0.17302699736301194</v>
      </c>
      <c r="M212" s="131">
        <f>SUM(M7:M211)</f>
        <v>14759883</v>
      </c>
      <c r="N212" s="131">
        <f>SUM(N7:N211)</f>
        <v>14149949</v>
      </c>
      <c r="O212" s="132">
        <f>(M212-N212)/N212</f>
        <v>4.3105031685979928E-2</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45957</v>
      </c>
      <c r="C6" s="34" t="s">
        <v>328</v>
      </c>
      <c r="D6" s="21">
        <f>B6</f>
        <v>45957</v>
      </c>
      <c r="E6" s="34" t="s">
        <v>322</v>
      </c>
      <c r="F6" s="34" t="s">
        <v>328</v>
      </c>
      <c r="G6" s="21">
        <f>D6</f>
        <v>45957</v>
      </c>
      <c r="H6" s="34" t="s">
        <v>322</v>
      </c>
      <c r="I6" s="34" t="s">
        <v>328</v>
      </c>
      <c r="J6" s="21">
        <f>D6</f>
        <v>45957</v>
      </c>
      <c r="K6" s="34" t="s">
        <v>322</v>
      </c>
      <c r="L6" s="34" t="s">
        <v>328</v>
      </c>
      <c r="M6" s="21">
        <f>D6</f>
        <v>45957</v>
      </c>
      <c r="N6" s="34" t="s">
        <v>322</v>
      </c>
      <c r="O6" s="34" t="s">
        <v>328</v>
      </c>
    </row>
    <row r="7" spans="1:15" x14ac:dyDescent="0.25">
      <c r="A7" s="101" t="str">
        <f>'Data shares'!C2</f>
        <v>360ONE</v>
      </c>
      <c r="B7" s="50">
        <f>VLOOKUP($A7,'Data shares'!$C:$FB,7)</f>
        <v>1173</v>
      </c>
      <c r="C7" s="50">
        <f>VLOOKUP($A7,'Data shares'!$C:$FB,10)*100</f>
        <v>-1.0699999999999998</v>
      </c>
      <c r="D7" s="49">
        <f>VLOOKUP($A7,'Data shares'!$C:$FB,66)</f>
        <v>5668000</v>
      </c>
      <c r="E7" s="49">
        <f>VLOOKUP($A7,'Data shares'!$C:$FB,67)</f>
        <v>7434500</v>
      </c>
      <c r="F7" s="50">
        <f>VLOOKUP($A7,'Data shares'!$C:$FB,69)*100</f>
        <v>-23.76</v>
      </c>
      <c r="G7" s="49">
        <f>VLOOKUP($A7,'Data shares'!$C:$FB,42)</f>
        <v>2704000</v>
      </c>
      <c r="H7" s="49">
        <f>VLOOKUP($A7,'Data shares'!$C:$FB,43)</f>
        <v>2781500</v>
      </c>
      <c r="I7" s="50">
        <f>VLOOKUP($A7,'Data shares'!$C:$FB,45)*100</f>
        <v>-2.79</v>
      </c>
      <c r="J7" s="49">
        <f>VLOOKUP($A7,'Data shares'!$C:$FB,58)</f>
        <v>1583500</v>
      </c>
      <c r="K7" s="49">
        <f>VLOOKUP($A7,'Data shares'!$C:$FB,59)</f>
        <v>3235500</v>
      </c>
      <c r="L7" s="50">
        <f>VLOOKUP($A7,'Data shares'!$C:$FB,61)*100</f>
        <v>-51.06</v>
      </c>
      <c r="M7" s="49">
        <f>VLOOKUP($A7,'Data shares'!$C:$FB,62)</f>
        <v>1380500</v>
      </c>
      <c r="N7" s="49">
        <f>VLOOKUP($A7,'Data shares'!$C:$FB,63)</f>
        <v>1417500</v>
      </c>
      <c r="O7" s="140">
        <f>VLOOKUP($A7,'Data shares'!$C:$FB,65)*100</f>
        <v>-2.6100000000000003</v>
      </c>
    </row>
    <row r="8" spans="1:15" x14ac:dyDescent="0.25">
      <c r="A8" s="101" t="str">
        <f>'Data shares'!C3</f>
        <v>ABB</v>
      </c>
      <c r="B8" s="50">
        <f>VLOOKUP($A8,'Data shares'!$C:$FB,7)</f>
        <v>5238</v>
      </c>
      <c r="C8" s="50">
        <f>VLOOKUP($A8,'Data shares'!$C:$FB,10)*100</f>
        <v>1.0999999999999999</v>
      </c>
      <c r="D8" s="49">
        <f>VLOOKUP($A8,'Data shares'!$C:$FB,66)</f>
        <v>3919875</v>
      </c>
      <c r="E8" s="49">
        <f>VLOOKUP($A8,'Data shares'!$C:$FB,67)</f>
        <v>4631625</v>
      </c>
      <c r="F8" s="50">
        <f>VLOOKUP($A8,'Data shares'!$C:$FB,69)*100</f>
        <v>-15.370000000000001</v>
      </c>
      <c r="G8" s="49">
        <f>VLOOKUP($A8,'Data shares'!$C:$FB,42)</f>
        <v>1863375</v>
      </c>
      <c r="H8" s="49">
        <f>VLOOKUP($A8,'Data shares'!$C:$FB,43)</f>
        <v>2305125</v>
      </c>
      <c r="I8" s="50">
        <f>VLOOKUP($A8,'Data shares'!$C:$FB,45)*100</f>
        <v>-19.16</v>
      </c>
      <c r="J8" s="49">
        <f>VLOOKUP($A8,'Data shares'!$C:$FB,58)</f>
        <v>1371250</v>
      </c>
      <c r="K8" s="49">
        <f>VLOOKUP($A8,'Data shares'!$C:$FB,59)</f>
        <v>1349625</v>
      </c>
      <c r="L8" s="50">
        <f>VLOOKUP($A8,'Data shares'!$C:$FB,61)*100</f>
        <v>1.6</v>
      </c>
      <c r="M8" s="49">
        <f>VLOOKUP($A8,'Data shares'!$C:$FB,62)</f>
        <v>685250</v>
      </c>
      <c r="N8" s="49">
        <f>VLOOKUP($A8,'Data shares'!$C:$FB,63)</f>
        <v>976875</v>
      </c>
      <c r="O8" s="140">
        <f>VLOOKUP($A8,'Data shares'!$C:$FB,65)*100</f>
        <v>-29.849999999999998</v>
      </c>
    </row>
    <row r="9" spans="1:15" x14ac:dyDescent="0.25">
      <c r="A9" s="101" t="str">
        <f>'Data shares'!C4</f>
        <v>ABCAPITAL</v>
      </c>
      <c r="B9" s="50">
        <f>VLOOKUP($A9,'Data shares'!$C:$FB,7)</f>
        <v>310.75</v>
      </c>
      <c r="C9" s="50">
        <f>VLOOKUP($A9,'Data shares'!$C:$FB,10)*100</f>
        <v>1.5</v>
      </c>
      <c r="D9" s="49">
        <f>VLOOKUP($A9,'Data shares'!$C:$FB,66)</f>
        <v>86635700</v>
      </c>
      <c r="E9" s="49">
        <f>VLOOKUP($A9,'Data shares'!$C:$FB,67)</f>
        <v>107353000</v>
      </c>
      <c r="F9" s="50">
        <f>VLOOKUP($A9,'Data shares'!$C:$FB,69)*100</f>
        <v>-19.3</v>
      </c>
      <c r="G9" s="49">
        <f>VLOOKUP($A9,'Data shares'!$C:$FB,42)</f>
        <v>52390000</v>
      </c>
      <c r="H9" s="49">
        <f>VLOOKUP($A9,'Data shares'!$C:$FB,43)</f>
        <v>71151200</v>
      </c>
      <c r="I9" s="50">
        <f>VLOOKUP($A9,'Data shares'!$C:$FB,45)*100</f>
        <v>-26.369999999999997</v>
      </c>
      <c r="J9" s="49">
        <f>VLOOKUP($A9,'Data shares'!$C:$FB,58)</f>
        <v>20776200</v>
      </c>
      <c r="K9" s="49">
        <f>VLOOKUP($A9,'Data shares'!$C:$FB,59)</f>
        <v>23808000</v>
      </c>
      <c r="L9" s="50">
        <f>VLOOKUP($A9,'Data shares'!$C:$FB,61)*100</f>
        <v>-12.73</v>
      </c>
      <c r="M9" s="49">
        <f>VLOOKUP($A9,'Data shares'!$C:$FB,62)</f>
        <v>13469500</v>
      </c>
      <c r="N9" s="49">
        <f>VLOOKUP($A9,'Data shares'!$C:$FB,63)</f>
        <v>12393800</v>
      </c>
      <c r="O9" s="140">
        <f>VLOOKUP($A9,'Data shares'!$C:$FB,65)*100</f>
        <v>8.68</v>
      </c>
    </row>
    <row r="10" spans="1:15" x14ac:dyDescent="0.25">
      <c r="A10" s="101" t="str">
        <f>'Data shares'!C5</f>
        <v>ADANIENSOL</v>
      </c>
      <c r="B10" s="50">
        <f>VLOOKUP($A10,'Data shares'!$C:$FB,7)</f>
        <v>946.35</v>
      </c>
      <c r="C10" s="50">
        <f>VLOOKUP($A10,'Data shares'!$C:$FB,10)*100</f>
        <v>0.22</v>
      </c>
      <c r="D10" s="49">
        <f>VLOOKUP($A10,'Data shares'!$C:$FB,66)</f>
        <v>21733650</v>
      </c>
      <c r="E10" s="49">
        <f>VLOOKUP($A10,'Data shares'!$C:$FB,67)</f>
        <v>17935425</v>
      </c>
      <c r="F10" s="50">
        <f>VLOOKUP($A10,'Data shares'!$C:$FB,69)*100</f>
        <v>21.18</v>
      </c>
      <c r="G10" s="49">
        <f>VLOOKUP($A10,'Data shares'!$C:$FB,42)</f>
        <v>8677125</v>
      </c>
      <c r="H10" s="49">
        <f>VLOOKUP($A10,'Data shares'!$C:$FB,43)</f>
        <v>12081150</v>
      </c>
      <c r="I10" s="50">
        <f>VLOOKUP($A10,'Data shares'!$C:$FB,45)*100</f>
        <v>-28.18</v>
      </c>
      <c r="J10" s="49">
        <f>VLOOKUP($A10,'Data shares'!$C:$FB,58)</f>
        <v>9418950</v>
      </c>
      <c r="K10" s="49">
        <f>VLOOKUP($A10,'Data shares'!$C:$FB,59)</f>
        <v>4124925</v>
      </c>
      <c r="L10" s="50">
        <f>VLOOKUP($A10,'Data shares'!$C:$FB,61)*100</f>
        <v>128.34</v>
      </c>
      <c r="M10" s="49">
        <f>VLOOKUP($A10,'Data shares'!$C:$FB,62)</f>
        <v>3637575</v>
      </c>
      <c r="N10" s="49">
        <f>VLOOKUP($A10,'Data shares'!$C:$FB,63)</f>
        <v>1729350</v>
      </c>
      <c r="O10" s="140">
        <f>VLOOKUP($A10,'Data shares'!$C:$FB,65)*100</f>
        <v>110.33999999999999</v>
      </c>
    </row>
    <row r="11" spans="1:15" x14ac:dyDescent="0.25">
      <c r="A11" s="101" t="str">
        <f>'Data shares'!C6</f>
        <v>ADANIENT</v>
      </c>
      <c r="B11" s="50">
        <f>VLOOKUP($A11,'Data shares'!$C:$FB,7)</f>
        <v>2492.8000000000002</v>
      </c>
      <c r="C11" s="50">
        <f>VLOOKUP($A11,'Data shares'!$C:$FB,10)*100</f>
        <v>-0.45999999999999996</v>
      </c>
      <c r="D11" s="49">
        <f>VLOOKUP($A11,'Data shares'!$C:$FB,66)</f>
        <v>25698600</v>
      </c>
      <c r="E11" s="49">
        <f>VLOOKUP($A11,'Data shares'!$C:$FB,67)</f>
        <v>23364300</v>
      </c>
      <c r="F11" s="50">
        <f>VLOOKUP($A11,'Data shares'!$C:$FB,69)*100</f>
        <v>9.99</v>
      </c>
      <c r="G11" s="49">
        <f>VLOOKUP($A11,'Data shares'!$C:$FB,42)</f>
        <v>7846800</v>
      </c>
      <c r="H11" s="49">
        <f>VLOOKUP($A11,'Data shares'!$C:$FB,43)</f>
        <v>8153400</v>
      </c>
      <c r="I11" s="50">
        <f>VLOOKUP($A11,'Data shares'!$C:$FB,45)*100</f>
        <v>-3.7600000000000002</v>
      </c>
      <c r="J11" s="49">
        <f>VLOOKUP($A11,'Data shares'!$C:$FB,58)</f>
        <v>11298300</v>
      </c>
      <c r="K11" s="49">
        <f>VLOOKUP($A11,'Data shares'!$C:$FB,59)</f>
        <v>10748700</v>
      </c>
      <c r="L11" s="50">
        <f>VLOOKUP($A11,'Data shares'!$C:$FB,61)*100</f>
        <v>5.1100000000000003</v>
      </c>
      <c r="M11" s="49">
        <f>VLOOKUP($A11,'Data shares'!$C:$FB,62)</f>
        <v>6553500</v>
      </c>
      <c r="N11" s="49">
        <f>VLOOKUP($A11,'Data shares'!$C:$FB,63)</f>
        <v>4462200</v>
      </c>
      <c r="O11" s="140">
        <f>VLOOKUP($A11,'Data shares'!$C:$FB,65)*100</f>
        <v>46.87</v>
      </c>
    </row>
    <row r="12" spans="1:15" x14ac:dyDescent="0.25">
      <c r="A12" s="101" t="str">
        <f>'Data shares'!C7</f>
        <v>ADANIGREEN</v>
      </c>
      <c r="B12" s="50">
        <f>VLOOKUP($A12,'Data shares'!$C:$FB,7)</f>
        <v>1017.1</v>
      </c>
      <c r="C12" s="50">
        <f>VLOOKUP($A12,'Data shares'!$C:$FB,10)*100</f>
        <v>-1.3599999999999999</v>
      </c>
      <c r="D12" s="49">
        <f>VLOOKUP($A12,'Data shares'!$C:$FB,66)</f>
        <v>42490800</v>
      </c>
      <c r="E12" s="49">
        <f>VLOOKUP($A12,'Data shares'!$C:$FB,67)</f>
        <v>30960600</v>
      </c>
      <c r="F12" s="50">
        <f>VLOOKUP($A12,'Data shares'!$C:$FB,69)*100</f>
        <v>37.24</v>
      </c>
      <c r="G12" s="49">
        <f>VLOOKUP($A12,'Data shares'!$C:$FB,42)</f>
        <v>12150000</v>
      </c>
      <c r="H12" s="49">
        <f>VLOOKUP($A12,'Data shares'!$C:$FB,43)</f>
        <v>11728800</v>
      </c>
      <c r="I12" s="50">
        <f>VLOOKUP($A12,'Data shares'!$C:$FB,45)*100</f>
        <v>3.5900000000000003</v>
      </c>
      <c r="J12" s="49">
        <f>VLOOKUP($A12,'Data shares'!$C:$FB,58)</f>
        <v>21434400</v>
      </c>
      <c r="K12" s="49">
        <f>VLOOKUP($A12,'Data shares'!$C:$FB,59)</f>
        <v>14451600</v>
      </c>
      <c r="L12" s="50">
        <f>VLOOKUP($A12,'Data shares'!$C:$FB,61)*100</f>
        <v>48.32</v>
      </c>
      <c r="M12" s="49">
        <f>VLOOKUP($A12,'Data shares'!$C:$FB,62)</f>
        <v>8906400</v>
      </c>
      <c r="N12" s="49">
        <f>VLOOKUP($A12,'Data shares'!$C:$FB,63)</f>
        <v>4780200</v>
      </c>
      <c r="O12" s="140">
        <f>VLOOKUP($A12,'Data shares'!$C:$FB,65)*100</f>
        <v>86.32</v>
      </c>
    </row>
    <row r="13" spans="1:15" x14ac:dyDescent="0.25">
      <c r="A13" s="101" t="str">
        <f>'Data shares'!C8</f>
        <v>ADANIPORTS</v>
      </c>
      <c r="B13" s="50">
        <f>VLOOKUP($A13,'Data shares'!$C:$FB,7)</f>
        <v>1420.6</v>
      </c>
      <c r="C13" s="50">
        <f>VLOOKUP($A13,'Data shares'!$C:$FB,10)*100</f>
        <v>-0.59</v>
      </c>
      <c r="D13" s="49">
        <f>VLOOKUP($A13,'Data shares'!$C:$FB,66)</f>
        <v>41810925</v>
      </c>
      <c r="E13" s="49">
        <f>VLOOKUP($A13,'Data shares'!$C:$FB,67)</f>
        <v>40575450</v>
      </c>
      <c r="F13" s="50">
        <f>VLOOKUP($A13,'Data shares'!$C:$FB,69)*100</f>
        <v>3.04</v>
      </c>
      <c r="G13" s="49">
        <f>VLOOKUP($A13,'Data shares'!$C:$FB,42)</f>
        <v>16879600</v>
      </c>
      <c r="H13" s="49">
        <f>VLOOKUP($A13,'Data shares'!$C:$FB,43)</f>
        <v>16594125</v>
      </c>
      <c r="I13" s="50">
        <f>VLOOKUP($A13,'Data shares'!$C:$FB,45)*100</f>
        <v>1.72</v>
      </c>
      <c r="J13" s="49">
        <f>VLOOKUP($A13,'Data shares'!$C:$FB,58)</f>
        <v>15237525</v>
      </c>
      <c r="K13" s="49">
        <f>VLOOKUP($A13,'Data shares'!$C:$FB,59)</f>
        <v>15064150</v>
      </c>
      <c r="L13" s="50">
        <f>VLOOKUP($A13,'Data shares'!$C:$FB,61)*100</f>
        <v>1.1499999999999999</v>
      </c>
      <c r="M13" s="49">
        <f>VLOOKUP($A13,'Data shares'!$C:$FB,62)</f>
        <v>9693800</v>
      </c>
      <c r="N13" s="49">
        <f>VLOOKUP($A13,'Data shares'!$C:$FB,63)</f>
        <v>8917175</v>
      </c>
      <c r="O13" s="140">
        <f>VLOOKUP($A13,'Data shares'!$C:$FB,65)*100</f>
        <v>8.7099999999999991</v>
      </c>
    </row>
    <row r="14" spans="1:15" x14ac:dyDescent="0.25">
      <c r="A14" s="101" t="str">
        <f>'Data shares'!C9</f>
        <v>ALKEM</v>
      </c>
      <c r="B14" s="50">
        <f>VLOOKUP($A14,'Data shares'!$C:$FB,7)</f>
        <v>5475.5</v>
      </c>
      <c r="C14" s="50">
        <f>VLOOKUP($A14,'Data shares'!$C:$FB,10)*100</f>
        <v>-1.25</v>
      </c>
      <c r="D14" s="49">
        <f>VLOOKUP($A14,'Data shares'!$C:$FB,66)</f>
        <v>2010000</v>
      </c>
      <c r="E14" s="49">
        <f>VLOOKUP($A14,'Data shares'!$C:$FB,67)</f>
        <v>2194750</v>
      </c>
      <c r="F14" s="50">
        <f>VLOOKUP($A14,'Data shares'!$C:$FB,69)*100</f>
        <v>-8.42</v>
      </c>
      <c r="G14" s="49">
        <f>VLOOKUP($A14,'Data shares'!$C:$FB,42)</f>
        <v>1266750</v>
      </c>
      <c r="H14" s="49">
        <f>VLOOKUP($A14,'Data shares'!$C:$FB,43)</f>
        <v>1505250</v>
      </c>
      <c r="I14" s="50">
        <f>VLOOKUP($A14,'Data shares'!$C:$FB,45)*100</f>
        <v>-15.840000000000002</v>
      </c>
      <c r="J14" s="49">
        <f>VLOOKUP($A14,'Data shares'!$C:$FB,58)</f>
        <v>245625</v>
      </c>
      <c r="K14" s="49">
        <f>VLOOKUP($A14,'Data shares'!$C:$FB,59)</f>
        <v>377250</v>
      </c>
      <c r="L14" s="50">
        <f>VLOOKUP($A14,'Data shares'!$C:$FB,61)*100</f>
        <v>-34.89</v>
      </c>
      <c r="M14" s="49">
        <f>VLOOKUP($A14,'Data shares'!$C:$FB,62)</f>
        <v>497625</v>
      </c>
      <c r="N14" s="49">
        <f>VLOOKUP($A14,'Data shares'!$C:$FB,63)</f>
        <v>312250</v>
      </c>
      <c r="O14" s="140">
        <f>VLOOKUP($A14,'Data shares'!$C:$FB,65)*100</f>
        <v>59.37</v>
      </c>
    </row>
    <row r="15" spans="1:15" x14ac:dyDescent="0.25">
      <c r="A15" s="101" t="str">
        <f>'Data shares'!C10</f>
        <v>AMBER</v>
      </c>
      <c r="B15" s="50">
        <f>VLOOKUP($A15,'Data shares'!$C:$FB,7)</f>
        <v>8476</v>
      </c>
      <c r="C15" s="50">
        <f>VLOOKUP($A15,'Data shares'!$C:$FB,10)*100</f>
        <v>1.8599999999999999</v>
      </c>
      <c r="D15" s="49">
        <f>VLOOKUP($A15,'Data shares'!$C:$FB,66)</f>
        <v>3512900</v>
      </c>
      <c r="E15" s="49">
        <f>VLOOKUP($A15,'Data shares'!$C:$FB,67)</f>
        <v>3470200</v>
      </c>
      <c r="F15" s="50">
        <f>VLOOKUP($A15,'Data shares'!$C:$FB,69)*100</f>
        <v>1.23</v>
      </c>
      <c r="G15" s="49">
        <f>VLOOKUP($A15,'Data shares'!$C:$FB,42)</f>
        <v>980300</v>
      </c>
      <c r="H15" s="49">
        <f>VLOOKUP($A15,'Data shares'!$C:$FB,43)</f>
        <v>913800</v>
      </c>
      <c r="I15" s="50">
        <f>VLOOKUP($A15,'Data shares'!$C:$FB,45)*100</f>
        <v>7.28</v>
      </c>
      <c r="J15" s="49">
        <f>VLOOKUP($A15,'Data shares'!$C:$FB,58)</f>
        <v>1722300</v>
      </c>
      <c r="K15" s="49">
        <f>VLOOKUP($A15,'Data shares'!$C:$FB,59)</f>
        <v>1709800</v>
      </c>
      <c r="L15" s="50">
        <f>VLOOKUP($A15,'Data shares'!$C:$FB,61)*100</f>
        <v>0.73</v>
      </c>
      <c r="M15" s="49">
        <f>VLOOKUP($A15,'Data shares'!$C:$FB,62)</f>
        <v>810300</v>
      </c>
      <c r="N15" s="49">
        <f>VLOOKUP($A15,'Data shares'!$C:$FB,63)</f>
        <v>846600</v>
      </c>
      <c r="O15" s="140">
        <f>VLOOKUP($A15,'Data shares'!$C:$FB,65)*100</f>
        <v>-4.29</v>
      </c>
    </row>
    <row r="16" spans="1:15" x14ac:dyDescent="0.25">
      <c r="A16" s="101" t="str">
        <f>'Data shares'!C11</f>
        <v>AMBUJACEM</v>
      </c>
      <c r="B16" s="50">
        <f>VLOOKUP($A16,'Data shares'!$C:$FB,7)</f>
        <v>560.25</v>
      </c>
      <c r="C16" s="50">
        <f>VLOOKUP($A16,'Data shares'!$C:$FB,10)*100</f>
        <v>0.95</v>
      </c>
      <c r="D16" s="49">
        <f>VLOOKUP($A16,'Data shares'!$C:$FB,66)</f>
        <v>44317350</v>
      </c>
      <c r="E16" s="49">
        <f>VLOOKUP($A16,'Data shares'!$C:$FB,67)</f>
        <v>43504650</v>
      </c>
      <c r="F16" s="50">
        <f>VLOOKUP($A16,'Data shares'!$C:$FB,69)*100</f>
        <v>1.87</v>
      </c>
      <c r="G16" s="49">
        <f>VLOOKUP($A16,'Data shares'!$C:$FB,42)</f>
        <v>24581550</v>
      </c>
      <c r="H16" s="49">
        <f>VLOOKUP($A16,'Data shares'!$C:$FB,43)</f>
        <v>28772100</v>
      </c>
      <c r="I16" s="50">
        <f>VLOOKUP($A16,'Data shares'!$C:$FB,45)*100</f>
        <v>-14.56</v>
      </c>
      <c r="J16" s="49">
        <f>VLOOKUP($A16,'Data shares'!$C:$FB,58)</f>
        <v>12984300</v>
      </c>
      <c r="K16" s="49">
        <f>VLOOKUP($A16,'Data shares'!$C:$FB,59)</f>
        <v>9893100</v>
      </c>
      <c r="L16" s="50">
        <f>VLOOKUP($A16,'Data shares'!$C:$FB,61)*100</f>
        <v>31.25</v>
      </c>
      <c r="M16" s="49">
        <f>VLOOKUP($A16,'Data shares'!$C:$FB,62)</f>
        <v>6751500</v>
      </c>
      <c r="N16" s="49">
        <f>VLOOKUP($A16,'Data shares'!$C:$FB,63)</f>
        <v>4839450</v>
      </c>
      <c r="O16" s="140">
        <f>VLOOKUP($A16,'Data shares'!$C:$FB,65)*100</f>
        <v>39.51</v>
      </c>
    </row>
    <row r="17" spans="1:15" x14ac:dyDescent="0.25">
      <c r="A17" s="101" t="str">
        <f>'Data shares'!C12</f>
        <v>ANGELONE</v>
      </c>
      <c r="B17" s="50">
        <f>VLOOKUP($A17,'Data shares'!$C:$FB,7)</f>
        <v>2577</v>
      </c>
      <c r="C17" s="50">
        <f>VLOOKUP($A17,'Data shares'!$C:$FB,10)*100</f>
        <v>2.4899999999999998</v>
      </c>
      <c r="D17" s="49">
        <f>VLOOKUP($A17,'Data shares'!$C:$FB,66)</f>
        <v>11622250</v>
      </c>
      <c r="E17" s="49">
        <f>VLOOKUP($A17,'Data shares'!$C:$FB,67)</f>
        <v>9377250</v>
      </c>
      <c r="F17" s="50">
        <f>VLOOKUP($A17,'Data shares'!$C:$FB,69)*100</f>
        <v>23.94</v>
      </c>
      <c r="G17" s="49">
        <f>VLOOKUP($A17,'Data shares'!$C:$FB,42)</f>
        <v>3186250</v>
      </c>
      <c r="H17" s="49">
        <f>VLOOKUP($A17,'Data shares'!$C:$FB,43)</f>
        <v>3009000</v>
      </c>
      <c r="I17" s="50">
        <f>VLOOKUP($A17,'Data shares'!$C:$FB,45)*100</f>
        <v>5.89</v>
      </c>
      <c r="J17" s="49">
        <f>VLOOKUP($A17,'Data shares'!$C:$FB,58)</f>
        <v>5628750</v>
      </c>
      <c r="K17" s="49">
        <f>VLOOKUP($A17,'Data shares'!$C:$FB,59)</f>
        <v>3666250</v>
      </c>
      <c r="L17" s="50">
        <f>VLOOKUP($A17,'Data shares'!$C:$FB,61)*100</f>
        <v>53.53</v>
      </c>
      <c r="M17" s="49">
        <f>VLOOKUP($A17,'Data shares'!$C:$FB,62)</f>
        <v>2807250</v>
      </c>
      <c r="N17" s="49">
        <f>VLOOKUP($A17,'Data shares'!$C:$FB,63)</f>
        <v>2702000</v>
      </c>
      <c r="O17" s="140">
        <f>VLOOKUP($A17,'Data shares'!$C:$FB,65)*100</f>
        <v>3.9</v>
      </c>
    </row>
    <row r="18" spans="1:15" x14ac:dyDescent="0.25">
      <c r="A18" s="101" t="str">
        <f>'Data shares'!C13</f>
        <v>APLAPOLLO</v>
      </c>
      <c r="B18" s="50">
        <f>VLOOKUP($A18,'Data shares'!$C:$FB,7)</f>
        <v>1767</v>
      </c>
      <c r="C18" s="50">
        <f>VLOOKUP($A18,'Data shares'!$C:$FB,10)*100</f>
        <v>0.72</v>
      </c>
      <c r="D18" s="49">
        <f>VLOOKUP($A18,'Data shares'!$C:$FB,66)</f>
        <v>13263600</v>
      </c>
      <c r="E18" s="49">
        <f>VLOOKUP($A18,'Data shares'!$C:$FB,67)</f>
        <v>12392450</v>
      </c>
      <c r="F18" s="50">
        <f>VLOOKUP($A18,'Data shares'!$C:$FB,69)*100</f>
        <v>7.03</v>
      </c>
      <c r="G18" s="49">
        <f>VLOOKUP($A18,'Data shares'!$C:$FB,42)</f>
        <v>7560700</v>
      </c>
      <c r="H18" s="49">
        <f>VLOOKUP($A18,'Data shares'!$C:$FB,43)</f>
        <v>8272250</v>
      </c>
      <c r="I18" s="50">
        <f>VLOOKUP($A18,'Data shares'!$C:$FB,45)*100</f>
        <v>-8.6</v>
      </c>
      <c r="J18" s="49">
        <f>VLOOKUP($A18,'Data shares'!$C:$FB,58)</f>
        <v>4009250</v>
      </c>
      <c r="K18" s="49">
        <f>VLOOKUP($A18,'Data shares'!$C:$FB,59)</f>
        <v>2844800</v>
      </c>
      <c r="L18" s="50">
        <f>VLOOKUP($A18,'Data shares'!$C:$FB,61)*100</f>
        <v>40.93</v>
      </c>
      <c r="M18" s="49">
        <f>VLOOKUP($A18,'Data shares'!$C:$FB,62)</f>
        <v>1693650</v>
      </c>
      <c r="N18" s="49">
        <f>VLOOKUP($A18,'Data shares'!$C:$FB,63)</f>
        <v>1275400</v>
      </c>
      <c r="O18" s="140">
        <f>VLOOKUP($A18,'Data shares'!$C:$FB,65)*100</f>
        <v>32.79</v>
      </c>
    </row>
    <row r="19" spans="1:15" x14ac:dyDescent="0.25">
      <c r="A19" s="101" t="str">
        <f>'Data shares'!C14</f>
        <v>APOLLOHOSP</v>
      </c>
      <c r="B19" s="50">
        <f>VLOOKUP($A19,'Data shares'!$C:$FB,7)</f>
        <v>7845.5</v>
      </c>
      <c r="C19" s="50">
        <f>VLOOKUP($A19,'Data shares'!$C:$FB,10)*100</f>
        <v>0.1</v>
      </c>
      <c r="D19" s="49">
        <f>VLOOKUP($A19,'Data shares'!$C:$FB,66)</f>
        <v>3606500</v>
      </c>
      <c r="E19" s="49">
        <f>VLOOKUP($A19,'Data shares'!$C:$FB,67)</f>
        <v>4911625</v>
      </c>
      <c r="F19" s="50">
        <f>VLOOKUP($A19,'Data shares'!$C:$FB,69)*100</f>
        <v>-26.57</v>
      </c>
      <c r="G19" s="49">
        <f>VLOOKUP($A19,'Data shares'!$C:$FB,42)</f>
        <v>1674500</v>
      </c>
      <c r="H19" s="49">
        <f>VLOOKUP($A19,'Data shares'!$C:$FB,43)</f>
        <v>1572875</v>
      </c>
      <c r="I19" s="50">
        <f>VLOOKUP($A19,'Data shares'!$C:$FB,45)*100</f>
        <v>6.4600000000000009</v>
      </c>
      <c r="J19" s="49">
        <f>VLOOKUP($A19,'Data shares'!$C:$FB,58)</f>
        <v>1321000</v>
      </c>
      <c r="K19" s="49">
        <f>VLOOKUP($A19,'Data shares'!$C:$FB,59)</f>
        <v>1984000</v>
      </c>
      <c r="L19" s="50">
        <f>VLOOKUP($A19,'Data shares'!$C:$FB,61)*100</f>
        <v>-33.42</v>
      </c>
      <c r="M19" s="49">
        <f>VLOOKUP($A19,'Data shares'!$C:$FB,62)</f>
        <v>611000</v>
      </c>
      <c r="N19" s="49">
        <f>VLOOKUP($A19,'Data shares'!$C:$FB,63)</f>
        <v>1354750</v>
      </c>
      <c r="O19" s="140">
        <f>VLOOKUP($A19,'Data shares'!$C:$FB,65)*100</f>
        <v>-54.900000000000006</v>
      </c>
    </row>
    <row r="20" spans="1:15" x14ac:dyDescent="0.25">
      <c r="A20" s="101" t="str">
        <f>'Data shares'!C15</f>
        <v>ASHOKLEY</v>
      </c>
      <c r="B20" s="50">
        <f>VLOOKUP($A20,'Data shares'!$C:$FB,7)</f>
        <v>140.81</v>
      </c>
      <c r="C20" s="50">
        <f>VLOOKUP($A20,'Data shares'!$C:$FB,10)*100</f>
        <v>3.27</v>
      </c>
      <c r="D20" s="49">
        <f>VLOOKUP($A20,'Data shares'!$C:$FB,66)</f>
        <v>322115000</v>
      </c>
      <c r="E20" s="49">
        <f>VLOOKUP($A20,'Data shares'!$C:$FB,67)</f>
        <v>201970000</v>
      </c>
      <c r="F20" s="50">
        <f>VLOOKUP($A20,'Data shares'!$C:$FB,69)*100</f>
        <v>59.489999999999995</v>
      </c>
      <c r="G20" s="49">
        <f>VLOOKUP($A20,'Data shares'!$C:$FB,42)</f>
        <v>140445000</v>
      </c>
      <c r="H20" s="49">
        <f>VLOOKUP($A20,'Data shares'!$C:$FB,43)</f>
        <v>123525000</v>
      </c>
      <c r="I20" s="50">
        <f>VLOOKUP($A20,'Data shares'!$C:$FB,45)*100</f>
        <v>13.700000000000001</v>
      </c>
      <c r="J20" s="49">
        <f>VLOOKUP($A20,'Data shares'!$C:$FB,58)</f>
        <v>132870000</v>
      </c>
      <c r="K20" s="49">
        <f>VLOOKUP($A20,'Data shares'!$C:$FB,59)</f>
        <v>54365000</v>
      </c>
      <c r="L20" s="50">
        <f>VLOOKUP($A20,'Data shares'!$C:$FB,61)*100</f>
        <v>144.4</v>
      </c>
      <c r="M20" s="49">
        <f>VLOOKUP($A20,'Data shares'!$C:$FB,62)</f>
        <v>48800000</v>
      </c>
      <c r="N20" s="49">
        <f>VLOOKUP($A20,'Data shares'!$C:$FB,63)</f>
        <v>24080000</v>
      </c>
      <c r="O20" s="140">
        <f>VLOOKUP($A20,'Data shares'!$C:$FB,65)*100</f>
        <v>102.66</v>
      </c>
    </row>
    <row r="21" spans="1:15" x14ac:dyDescent="0.25">
      <c r="A21" s="101" t="str">
        <f>'Data shares'!C16</f>
        <v>ASIANPAINT</v>
      </c>
      <c r="B21" s="50">
        <f>VLOOKUP($A21,'Data shares'!$C:$FB,7)</f>
        <v>2518.8000000000002</v>
      </c>
      <c r="C21" s="50">
        <f>VLOOKUP($A21,'Data shares'!$C:$FB,10)*100</f>
        <v>0.69</v>
      </c>
      <c r="D21" s="49">
        <f>VLOOKUP($A21,'Data shares'!$C:$FB,66)</f>
        <v>20212250</v>
      </c>
      <c r="E21" s="49">
        <f>VLOOKUP($A21,'Data shares'!$C:$FB,67)</f>
        <v>19269500</v>
      </c>
      <c r="F21" s="50">
        <f>VLOOKUP($A21,'Data shares'!$C:$FB,69)*100</f>
        <v>4.8899999999999997</v>
      </c>
      <c r="G21" s="49">
        <f>VLOOKUP($A21,'Data shares'!$C:$FB,42)</f>
        <v>9483250</v>
      </c>
      <c r="H21" s="49">
        <f>VLOOKUP($A21,'Data shares'!$C:$FB,43)</f>
        <v>10125500</v>
      </c>
      <c r="I21" s="50">
        <f>VLOOKUP($A21,'Data shares'!$C:$FB,45)*100</f>
        <v>-6.34</v>
      </c>
      <c r="J21" s="49">
        <f>VLOOKUP($A21,'Data shares'!$C:$FB,58)</f>
        <v>6051750</v>
      </c>
      <c r="K21" s="49">
        <f>VLOOKUP($A21,'Data shares'!$C:$FB,59)</f>
        <v>4973250</v>
      </c>
      <c r="L21" s="50">
        <f>VLOOKUP($A21,'Data shares'!$C:$FB,61)*100</f>
        <v>21.69</v>
      </c>
      <c r="M21" s="49">
        <f>VLOOKUP($A21,'Data shares'!$C:$FB,62)</f>
        <v>4677250</v>
      </c>
      <c r="N21" s="49">
        <f>VLOOKUP($A21,'Data shares'!$C:$FB,63)</f>
        <v>4170750</v>
      </c>
      <c r="O21" s="140">
        <f>VLOOKUP($A21,'Data shares'!$C:$FB,65)*100</f>
        <v>12.139999999999999</v>
      </c>
    </row>
    <row r="22" spans="1:15" x14ac:dyDescent="0.25">
      <c r="A22" s="101" t="str">
        <f>'Data shares'!C17</f>
        <v>ASTRAL</v>
      </c>
      <c r="B22" s="50">
        <f>VLOOKUP($A22,'Data shares'!$C:$FB,7)</f>
        <v>1435.2</v>
      </c>
      <c r="C22" s="50">
        <f>VLOOKUP($A22,'Data shares'!$C:$FB,10)*100</f>
        <v>0.31</v>
      </c>
      <c r="D22" s="49">
        <f>VLOOKUP($A22,'Data shares'!$C:$FB,66)</f>
        <v>12407875</v>
      </c>
      <c r="E22" s="49">
        <f>VLOOKUP($A22,'Data shares'!$C:$FB,67)</f>
        <v>12601675</v>
      </c>
      <c r="F22" s="50">
        <f>VLOOKUP($A22,'Data shares'!$C:$FB,69)*100</f>
        <v>-1.54</v>
      </c>
      <c r="G22" s="49">
        <f>VLOOKUP($A22,'Data shares'!$C:$FB,42)</f>
        <v>6402625</v>
      </c>
      <c r="H22" s="49">
        <f>VLOOKUP($A22,'Data shares'!$C:$FB,43)</f>
        <v>7360575</v>
      </c>
      <c r="I22" s="50">
        <f>VLOOKUP($A22,'Data shares'!$C:$FB,45)*100</f>
        <v>-13.01</v>
      </c>
      <c r="J22" s="49">
        <f>VLOOKUP($A22,'Data shares'!$C:$FB,58)</f>
        <v>3717050</v>
      </c>
      <c r="K22" s="49">
        <f>VLOOKUP($A22,'Data shares'!$C:$FB,59)</f>
        <v>3566600</v>
      </c>
      <c r="L22" s="50">
        <f>VLOOKUP($A22,'Data shares'!$C:$FB,61)*100</f>
        <v>4.22</v>
      </c>
      <c r="M22" s="49">
        <f>VLOOKUP($A22,'Data shares'!$C:$FB,62)</f>
        <v>2288200</v>
      </c>
      <c r="N22" s="49">
        <f>VLOOKUP($A22,'Data shares'!$C:$FB,63)</f>
        <v>1674500</v>
      </c>
      <c r="O22" s="140">
        <f>VLOOKUP($A22,'Data shares'!$C:$FB,65)*100</f>
        <v>36.65</v>
      </c>
    </row>
    <row r="23" spans="1:15" x14ac:dyDescent="0.25">
      <c r="A23" s="101" t="str">
        <f>'Data shares'!C18</f>
        <v>AUBANK</v>
      </c>
      <c r="B23" s="50">
        <f>VLOOKUP($A23,'Data shares'!$C:$FB,7)</f>
        <v>864.2</v>
      </c>
      <c r="C23" s="50">
        <f>VLOOKUP($A23,'Data shares'!$C:$FB,10)*100</f>
        <v>0.44999999999999996</v>
      </c>
      <c r="D23" s="49">
        <f>VLOOKUP($A23,'Data shares'!$C:$FB,66)</f>
        <v>30639000</v>
      </c>
      <c r="E23" s="49">
        <f>VLOOKUP($A23,'Data shares'!$C:$FB,67)</f>
        <v>53037000</v>
      </c>
      <c r="F23" s="50">
        <f>VLOOKUP($A23,'Data shares'!$C:$FB,69)*100</f>
        <v>-42.230000000000004</v>
      </c>
      <c r="G23" s="49">
        <f>VLOOKUP($A23,'Data shares'!$C:$FB,42)</f>
        <v>12602000</v>
      </c>
      <c r="H23" s="49">
        <f>VLOOKUP($A23,'Data shares'!$C:$FB,43)</f>
        <v>22277000</v>
      </c>
      <c r="I23" s="50">
        <f>VLOOKUP($A23,'Data shares'!$C:$FB,45)*100</f>
        <v>-43.43</v>
      </c>
      <c r="J23" s="49">
        <f>VLOOKUP($A23,'Data shares'!$C:$FB,58)</f>
        <v>9831000</v>
      </c>
      <c r="K23" s="49">
        <f>VLOOKUP($A23,'Data shares'!$C:$FB,59)</f>
        <v>15099000</v>
      </c>
      <c r="L23" s="50">
        <f>VLOOKUP($A23,'Data shares'!$C:$FB,61)*100</f>
        <v>-34.89</v>
      </c>
      <c r="M23" s="49">
        <f>VLOOKUP($A23,'Data shares'!$C:$FB,62)</f>
        <v>8206000</v>
      </c>
      <c r="N23" s="49">
        <f>VLOOKUP($A23,'Data shares'!$C:$FB,63)</f>
        <v>15661000</v>
      </c>
      <c r="O23" s="140">
        <f>VLOOKUP($A23,'Data shares'!$C:$FB,65)*100</f>
        <v>-47.599999999999994</v>
      </c>
    </row>
    <row r="24" spans="1:15" x14ac:dyDescent="0.25">
      <c r="A24" s="101" t="str">
        <f>'Data shares'!C19</f>
        <v>AUROPHARMA</v>
      </c>
      <c r="B24" s="50">
        <f>VLOOKUP($A24,'Data shares'!$C:$FB,7)</f>
        <v>1094.7</v>
      </c>
      <c r="C24" s="50">
        <f>VLOOKUP($A24,'Data shares'!$C:$FB,10)*100</f>
        <v>0.89</v>
      </c>
      <c r="D24" s="49">
        <f>VLOOKUP($A24,'Data shares'!$C:$FB,66)</f>
        <v>23574650</v>
      </c>
      <c r="E24" s="49">
        <f>VLOOKUP($A24,'Data shares'!$C:$FB,67)</f>
        <v>26075500</v>
      </c>
      <c r="F24" s="50">
        <f>VLOOKUP($A24,'Data shares'!$C:$FB,69)*100</f>
        <v>-9.59</v>
      </c>
      <c r="G24" s="49">
        <f>VLOOKUP($A24,'Data shares'!$C:$FB,42)</f>
        <v>11931150</v>
      </c>
      <c r="H24" s="49">
        <f>VLOOKUP($A24,'Data shares'!$C:$FB,43)</f>
        <v>16817350</v>
      </c>
      <c r="I24" s="50">
        <f>VLOOKUP($A24,'Data shares'!$C:$FB,45)*100</f>
        <v>-29.049999999999997</v>
      </c>
      <c r="J24" s="49">
        <f>VLOOKUP($A24,'Data shares'!$C:$FB,58)</f>
        <v>7363950</v>
      </c>
      <c r="K24" s="49">
        <f>VLOOKUP($A24,'Data shares'!$C:$FB,59)</f>
        <v>5299800</v>
      </c>
      <c r="L24" s="50">
        <f>VLOOKUP($A24,'Data shares'!$C:$FB,61)*100</f>
        <v>38.950000000000003</v>
      </c>
      <c r="M24" s="49">
        <f>VLOOKUP($A24,'Data shares'!$C:$FB,62)</f>
        <v>4279550</v>
      </c>
      <c r="N24" s="49">
        <f>VLOOKUP($A24,'Data shares'!$C:$FB,63)</f>
        <v>3958350</v>
      </c>
      <c r="O24" s="140">
        <f>VLOOKUP($A24,'Data shares'!$C:$FB,65)*100</f>
        <v>8.1100000000000012</v>
      </c>
    </row>
    <row r="25" spans="1:15" x14ac:dyDescent="0.25">
      <c r="A25" s="101" t="str">
        <f>'Data shares'!C20</f>
        <v>AXISBANK</v>
      </c>
      <c r="B25" s="50">
        <f>VLOOKUP($A25,'Data shares'!$C:$FB,7)</f>
        <v>1254.0999999999999</v>
      </c>
      <c r="C25" s="50">
        <f>VLOOKUP($A25,'Data shares'!$C:$FB,10)*100</f>
        <v>0.98</v>
      </c>
      <c r="D25" s="49">
        <f>VLOOKUP($A25,'Data shares'!$C:$FB,66)</f>
        <v>76526875</v>
      </c>
      <c r="E25" s="49">
        <f>VLOOKUP($A25,'Data shares'!$C:$FB,67)</f>
        <v>112503750</v>
      </c>
      <c r="F25" s="50">
        <f>VLOOKUP($A25,'Data shares'!$C:$FB,69)*100</f>
        <v>-31.979999999999997</v>
      </c>
      <c r="G25" s="49">
        <f>VLOOKUP($A25,'Data shares'!$C:$FB,42)</f>
        <v>27947500</v>
      </c>
      <c r="H25" s="49">
        <f>VLOOKUP($A25,'Data shares'!$C:$FB,43)</f>
        <v>47656875</v>
      </c>
      <c r="I25" s="50">
        <f>VLOOKUP($A25,'Data shares'!$C:$FB,45)*100</f>
        <v>-41.36</v>
      </c>
      <c r="J25" s="49">
        <f>VLOOKUP($A25,'Data shares'!$C:$FB,58)</f>
        <v>30295625</v>
      </c>
      <c r="K25" s="49">
        <f>VLOOKUP($A25,'Data shares'!$C:$FB,59)</f>
        <v>34768125</v>
      </c>
      <c r="L25" s="50">
        <f>VLOOKUP($A25,'Data shares'!$C:$FB,61)*100</f>
        <v>-12.86</v>
      </c>
      <c r="M25" s="49">
        <f>VLOOKUP($A25,'Data shares'!$C:$FB,62)</f>
        <v>18283750</v>
      </c>
      <c r="N25" s="49">
        <f>VLOOKUP($A25,'Data shares'!$C:$FB,63)</f>
        <v>30078750</v>
      </c>
      <c r="O25" s="140">
        <f>VLOOKUP($A25,'Data shares'!$C:$FB,65)*100</f>
        <v>-39.21</v>
      </c>
    </row>
    <row r="26" spans="1:15" x14ac:dyDescent="0.25">
      <c r="A26" s="101" t="str">
        <f>'Data shares'!C21</f>
        <v>BAJAJ-AUTO</v>
      </c>
      <c r="B26" s="50">
        <f>VLOOKUP($A26,'Data shares'!$C:$FB,7)</f>
        <v>9095.5</v>
      </c>
      <c r="C26" s="50">
        <f>VLOOKUP($A26,'Data shares'!$C:$FB,10)*100</f>
        <v>0.21</v>
      </c>
      <c r="D26" s="49">
        <f>VLOOKUP($A26,'Data shares'!$C:$FB,66)</f>
        <v>5530950</v>
      </c>
      <c r="E26" s="49">
        <f>VLOOKUP($A26,'Data shares'!$C:$FB,67)</f>
        <v>7086675</v>
      </c>
      <c r="F26" s="50">
        <f>VLOOKUP($A26,'Data shares'!$C:$FB,69)*100</f>
        <v>-21.95</v>
      </c>
      <c r="G26" s="49">
        <f>VLOOKUP($A26,'Data shares'!$C:$FB,42)</f>
        <v>2365650</v>
      </c>
      <c r="H26" s="49">
        <f>VLOOKUP($A26,'Data shares'!$C:$FB,43)</f>
        <v>2941125</v>
      </c>
      <c r="I26" s="50">
        <f>VLOOKUP($A26,'Data shares'!$C:$FB,45)*100</f>
        <v>-19.57</v>
      </c>
      <c r="J26" s="49">
        <f>VLOOKUP($A26,'Data shares'!$C:$FB,58)</f>
        <v>2013450</v>
      </c>
      <c r="K26" s="49">
        <f>VLOOKUP($A26,'Data shares'!$C:$FB,59)</f>
        <v>2527725</v>
      </c>
      <c r="L26" s="50">
        <f>VLOOKUP($A26,'Data shares'!$C:$FB,61)*100</f>
        <v>-20.349999999999998</v>
      </c>
      <c r="M26" s="49">
        <f>VLOOKUP($A26,'Data shares'!$C:$FB,62)</f>
        <v>1151850</v>
      </c>
      <c r="N26" s="49">
        <f>VLOOKUP($A26,'Data shares'!$C:$FB,63)</f>
        <v>1617825</v>
      </c>
      <c r="O26" s="140">
        <f>VLOOKUP($A26,'Data shares'!$C:$FB,65)*100</f>
        <v>-28.799999999999997</v>
      </c>
    </row>
    <row r="27" spans="1:15" x14ac:dyDescent="0.25">
      <c r="A27" s="101" t="str">
        <f>'Data shares'!C22</f>
        <v>BAJAJFINSV</v>
      </c>
      <c r="B27" s="50">
        <f>VLOOKUP($A27,'Data shares'!$C:$FB,7)</f>
        <v>2170.1999999999998</v>
      </c>
      <c r="C27" s="50">
        <f>VLOOKUP($A27,'Data shares'!$C:$FB,10)*100</f>
        <v>0.5</v>
      </c>
      <c r="D27" s="49">
        <f>VLOOKUP($A27,'Data shares'!$C:$FB,66)</f>
        <v>22070000</v>
      </c>
      <c r="E27" s="49">
        <f>VLOOKUP($A27,'Data shares'!$C:$FB,67)</f>
        <v>24000000</v>
      </c>
      <c r="F27" s="50">
        <f>VLOOKUP($A27,'Data shares'!$C:$FB,69)*100</f>
        <v>-8.0399999999999991</v>
      </c>
      <c r="G27" s="49">
        <f>VLOOKUP($A27,'Data shares'!$C:$FB,42)</f>
        <v>10617000</v>
      </c>
      <c r="H27" s="49">
        <f>VLOOKUP($A27,'Data shares'!$C:$FB,43)</f>
        <v>10012000</v>
      </c>
      <c r="I27" s="50">
        <f>VLOOKUP($A27,'Data shares'!$C:$FB,45)*100</f>
        <v>6.04</v>
      </c>
      <c r="J27" s="49">
        <f>VLOOKUP($A27,'Data shares'!$C:$FB,58)</f>
        <v>5906000</v>
      </c>
      <c r="K27" s="49">
        <f>VLOOKUP($A27,'Data shares'!$C:$FB,59)</f>
        <v>6880000</v>
      </c>
      <c r="L27" s="50">
        <f>VLOOKUP($A27,'Data shares'!$C:$FB,61)*100</f>
        <v>-14.16</v>
      </c>
      <c r="M27" s="49">
        <f>VLOOKUP($A27,'Data shares'!$C:$FB,62)</f>
        <v>5547000</v>
      </c>
      <c r="N27" s="49">
        <f>VLOOKUP($A27,'Data shares'!$C:$FB,63)</f>
        <v>7108000</v>
      </c>
      <c r="O27" s="140">
        <f>VLOOKUP($A27,'Data shares'!$C:$FB,65)*100</f>
        <v>-21.959999999999997</v>
      </c>
    </row>
    <row r="28" spans="1:15" x14ac:dyDescent="0.25">
      <c r="A28" s="101" t="str">
        <f>'Data shares'!C23</f>
        <v>BAJFINANCE</v>
      </c>
      <c r="B28" s="50">
        <f>VLOOKUP($A28,'Data shares'!$C:$FB,7)</f>
        <v>1084.4000000000001</v>
      </c>
      <c r="C28" s="50">
        <f>VLOOKUP($A28,'Data shares'!$C:$FB,10)*100</f>
        <v>-0.49</v>
      </c>
      <c r="D28" s="49">
        <f>VLOOKUP($A28,'Data shares'!$C:$FB,66)</f>
        <v>95735250</v>
      </c>
      <c r="E28" s="49">
        <f>VLOOKUP($A28,'Data shares'!$C:$FB,67)</f>
        <v>102144750</v>
      </c>
      <c r="F28" s="50">
        <f>VLOOKUP($A28,'Data shares'!$C:$FB,69)*100</f>
        <v>-6.2700000000000005</v>
      </c>
      <c r="G28" s="49">
        <f>VLOOKUP($A28,'Data shares'!$C:$FB,42)</f>
        <v>55902000</v>
      </c>
      <c r="H28" s="49">
        <f>VLOOKUP($A28,'Data shares'!$C:$FB,43)</f>
        <v>60597750</v>
      </c>
      <c r="I28" s="50">
        <f>VLOOKUP($A28,'Data shares'!$C:$FB,45)*100</f>
        <v>-7.75</v>
      </c>
      <c r="J28" s="49">
        <f>VLOOKUP($A28,'Data shares'!$C:$FB,58)</f>
        <v>19701750</v>
      </c>
      <c r="K28" s="49">
        <f>VLOOKUP($A28,'Data shares'!$C:$FB,59)</f>
        <v>19083000</v>
      </c>
      <c r="L28" s="50">
        <f>VLOOKUP($A28,'Data shares'!$C:$FB,61)*100</f>
        <v>3.2399999999999998</v>
      </c>
      <c r="M28" s="49">
        <f>VLOOKUP($A28,'Data shares'!$C:$FB,62)</f>
        <v>20131500</v>
      </c>
      <c r="N28" s="49">
        <f>VLOOKUP($A28,'Data shares'!$C:$FB,63)</f>
        <v>22464000</v>
      </c>
      <c r="O28" s="140">
        <f>VLOOKUP($A28,'Data shares'!$C:$FB,65)*100</f>
        <v>-10.38</v>
      </c>
    </row>
    <row r="29" spans="1:15" x14ac:dyDescent="0.25">
      <c r="A29" s="101" t="str">
        <f>'Data shares'!C24</f>
        <v>BANDHANBNK</v>
      </c>
      <c r="B29" s="50">
        <f>VLOOKUP($A29,'Data shares'!$C:$FB,7)</f>
        <v>172.04</v>
      </c>
      <c r="C29" s="50">
        <f>VLOOKUP($A29,'Data shares'!$C:$FB,10)*100</f>
        <v>1.2</v>
      </c>
      <c r="D29" s="49">
        <f>VLOOKUP($A29,'Data shares'!$C:$FB,66)</f>
        <v>130600800</v>
      </c>
      <c r="E29" s="49">
        <f>VLOOKUP($A29,'Data shares'!$C:$FB,67)</f>
        <v>141814800</v>
      </c>
      <c r="F29" s="50">
        <f>VLOOKUP($A29,'Data shares'!$C:$FB,69)*100</f>
        <v>-7.91</v>
      </c>
      <c r="G29" s="49">
        <f>VLOOKUP($A29,'Data shares'!$C:$FB,42)</f>
        <v>65502000</v>
      </c>
      <c r="H29" s="49">
        <f>VLOOKUP($A29,'Data shares'!$C:$FB,43)</f>
        <v>62344800</v>
      </c>
      <c r="I29" s="50">
        <f>VLOOKUP($A29,'Data shares'!$C:$FB,45)*100</f>
        <v>5.0599999999999996</v>
      </c>
      <c r="J29" s="49">
        <f>VLOOKUP($A29,'Data shares'!$C:$FB,58)</f>
        <v>38145600</v>
      </c>
      <c r="K29" s="49">
        <f>VLOOKUP($A29,'Data shares'!$C:$FB,59)</f>
        <v>54288000</v>
      </c>
      <c r="L29" s="50">
        <f>VLOOKUP($A29,'Data shares'!$C:$FB,61)*100</f>
        <v>-29.73</v>
      </c>
      <c r="M29" s="49">
        <f>VLOOKUP($A29,'Data shares'!$C:$FB,62)</f>
        <v>26953200</v>
      </c>
      <c r="N29" s="49">
        <f>VLOOKUP($A29,'Data shares'!$C:$FB,63)</f>
        <v>25182000</v>
      </c>
      <c r="O29" s="140">
        <f>VLOOKUP($A29,'Data shares'!$C:$FB,65)*100</f>
        <v>7.03</v>
      </c>
    </row>
    <row r="30" spans="1:15" x14ac:dyDescent="0.25">
      <c r="A30" s="101" t="str">
        <f>'Data shares'!C25</f>
        <v>BANKBARODA</v>
      </c>
      <c r="B30" s="50">
        <f>VLOOKUP($A30,'Data shares'!$C:$FB,7)</f>
        <v>273.64999999999998</v>
      </c>
      <c r="C30" s="50">
        <f>VLOOKUP($A30,'Data shares'!$C:$FB,10)*100</f>
        <v>2.8000000000000003</v>
      </c>
      <c r="D30" s="49">
        <f>VLOOKUP($A30,'Data shares'!$C:$FB,66)</f>
        <v>220325625</v>
      </c>
      <c r="E30" s="49">
        <f>VLOOKUP($A30,'Data shares'!$C:$FB,67)</f>
        <v>197367300</v>
      </c>
      <c r="F30" s="50">
        <f>VLOOKUP($A30,'Data shares'!$C:$FB,69)*100</f>
        <v>11.63</v>
      </c>
      <c r="G30" s="49">
        <f>VLOOKUP($A30,'Data shares'!$C:$FB,42)</f>
        <v>78975000</v>
      </c>
      <c r="H30" s="49">
        <f>VLOOKUP($A30,'Data shares'!$C:$FB,43)</f>
        <v>95290650</v>
      </c>
      <c r="I30" s="50">
        <f>VLOOKUP($A30,'Data shares'!$C:$FB,45)*100</f>
        <v>-17.119999999999997</v>
      </c>
      <c r="J30" s="49">
        <f>VLOOKUP($A30,'Data shares'!$C:$FB,58)</f>
        <v>95521725</v>
      </c>
      <c r="K30" s="49">
        <f>VLOOKUP($A30,'Data shares'!$C:$FB,59)</f>
        <v>68064750</v>
      </c>
      <c r="L30" s="50">
        <f>VLOOKUP($A30,'Data shares'!$C:$FB,61)*100</f>
        <v>40.339999999999996</v>
      </c>
      <c r="M30" s="49">
        <f>VLOOKUP($A30,'Data shares'!$C:$FB,62)</f>
        <v>45828900</v>
      </c>
      <c r="N30" s="49">
        <f>VLOOKUP($A30,'Data shares'!$C:$FB,63)</f>
        <v>34011900</v>
      </c>
      <c r="O30" s="140">
        <f>VLOOKUP($A30,'Data shares'!$C:$FB,65)*100</f>
        <v>34.74</v>
      </c>
    </row>
    <row r="31" spans="1:15" x14ac:dyDescent="0.25">
      <c r="A31" s="101" t="str">
        <f>'Data shares'!C26</f>
        <v>BANKINDIA</v>
      </c>
      <c r="B31" s="50">
        <f>VLOOKUP($A31,'Data shares'!$C:$FB,7)</f>
        <v>139.71</v>
      </c>
      <c r="C31" s="50">
        <f>VLOOKUP($A31,'Data shares'!$C:$FB,10)*100</f>
        <v>4.34</v>
      </c>
      <c r="D31" s="49">
        <f>VLOOKUP($A31,'Data shares'!$C:$FB,66)</f>
        <v>178942400</v>
      </c>
      <c r="E31" s="49">
        <f>VLOOKUP($A31,'Data shares'!$C:$FB,67)</f>
        <v>104847600</v>
      </c>
      <c r="F31" s="50">
        <f>VLOOKUP($A31,'Data shares'!$C:$FB,69)*100</f>
        <v>70.67</v>
      </c>
      <c r="G31" s="49">
        <f>VLOOKUP($A31,'Data shares'!$C:$FB,42)</f>
        <v>60018400</v>
      </c>
      <c r="H31" s="49">
        <f>VLOOKUP($A31,'Data shares'!$C:$FB,43)</f>
        <v>50133200</v>
      </c>
      <c r="I31" s="50">
        <f>VLOOKUP($A31,'Data shares'!$C:$FB,45)*100</f>
        <v>19.72</v>
      </c>
      <c r="J31" s="49">
        <f>VLOOKUP($A31,'Data shares'!$C:$FB,58)</f>
        <v>89991200</v>
      </c>
      <c r="K31" s="49">
        <f>VLOOKUP($A31,'Data shares'!$C:$FB,59)</f>
        <v>31491200</v>
      </c>
      <c r="L31" s="50">
        <f>VLOOKUP($A31,'Data shares'!$C:$FB,61)*100</f>
        <v>185.76999999999998</v>
      </c>
      <c r="M31" s="49">
        <f>VLOOKUP($A31,'Data shares'!$C:$FB,62)</f>
        <v>28932800</v>
      </c>
      <c r="N31" s="49">
        <f>VLOOKUP($A31,'Data shares'!$C:$FB,63)</f>
        <v>23223200</v>
      </c>
      <c r="O31" s="140">
        <f>VLOOKUP($A31,'Data shares'!$C:$FB,65)*100</f>
        <v>24.59</v>
      </c>
    </row>
    <row r="32" spans="1:15" x14ac:dyDescent="0.25">
      <c r="A32" s="101" t="str">
        <f>'Data shares'!C27</f>
        <v>BANKNIFTY</v>
      </c>
      <c r="B32" s="50">
        <f>VLOOKUP($A32,'Data shares'!$C:$FB,7)</f>
        <v>58114.25</v>
      </c>
      <c r="C32" s="50">
        <f>VLOOKUP($A32,'Data shares'!$C:$FB,10)*100</f>
        <v>0.72</v>
      </c>
      <c r="D32" s="49">
        <f>VLOOKUP($A32,'Data shares'!$C:$FB,66)</f>
        <v>639338210</v>
      </c>
      <c r="E32" s="49">
        <f>VLOOKUP($A32,'Data shares'!$C:$FB,67)</f>
        <v>476797125</v>
      </c>
      <c r="F32" s="50">
        <f>VLOOKUP($A32,'Data shares'!$C:$FB,69)*100</f>
        <v>34.089999999999996</v>
      </c>
      <c r="G32" s="49">
        <f>VLOOKUP($A32,'Data shares'!$C:$FB,42)</f>
        <v>2268455</v>
      </c>
      <c r="H32" s="49">
        <f>VLOOKUP($A32,'Data shares'!$C:$FB,43)</f>
        <v>2078720</v>
      </c>
      <c r="I32" s="50">
        <f>VLOOKUP($A32,'Data shares'!$C:$FB,45)*100</f>
        <v>9.1300000000000008</v>
      </c>
      <c r="J32" s="49">
        <f>VLOOKUP($A32,'Data shares'!$C:$FB,58)</f>
        <v>332935960</v>
      </c>
      <c r="K32" s="49">
        <f>VLOOKUP($A32,'Data shares'!$C:$FB,59)</f>
        <v>233526580</v>
      </c>
      <c r="L32" s="50">
        <f>VLOOKUP($A32,'Data shares'!$C:$FB,61)*100</f>
        <v>42.57</v>
      </c>
      <c r="M32" s="49">
        <f>VLOOKUP($A32,'Data shares'!$C:$FB,62)</f>
        <v>304133795</v>
      </c>
      <c r="N32" s="49">
        <f>VLOOKUP($A32,'Data shares'!$C:$FB,63)</f>
        <v>241191825</v>
      </c>
      <c r="O32" s="140">
        <f>VLOOKUP($A32,'Data shares'!$C:$FB,65)*100</f>
        <v>26.1</v>
      </c>
    </row>
    <row r="33" spans="1:15" x14ac:dyDescent="0.25">
      <c r="A33" s="101" t="str">
        <f>'Data shares'!C28</f>
        <v>BDL</v>
      </c>
      <c r="B33" s="50">
        <f>VLOOKUP($A33,'Data shares'!$C:$FB,7)</f>
        <v>1537.8</v>
      </c>
      <c r="C33" s="50">
        <f>VLOOKUP($A33,'Data shares'!$C:$FB,10)*100</f>
        <v>-0.4</v>
      </c>
      <c r="D33" s="49">
        <f>VLOOKUP($A33,'Data shares'!$C:$FB,66)</f>
        <v>11351275</v>
      </c>
      <c r="E33" s="49">
        <f>VLOOKUP($A33,'Data shares'!$C:$FB,67)</f>
        <v>25064000</v>
      </c>
      <c r="F33" s="50">
        <f>VLOOKUP($A33,'Data shares'!$C:$FB,69)*100</f>
        <v>-54.71</v>
      </c>
      <c r="G33" s="49">
        <f>VLOOKUP($A33,'Data shares'!$C:$FB,42)</f>
        <v>3444350</v>
      </c>
      <c r="H33" s="49">
        <f>VLOOKUP($A33,'Data shares'!$C:$FB,43)</f>
        <v>5413525</v>
      </c>
      <c r="I33" s="50">
        <f>VLOOKUP($A33,'Data shares'!$C:$FB,45)*100</f>
        <v>-36.380000000000003</v>
      </c>
      <c r="J33" s="49">
        <f>VLOOKUP($A33,'Data shares'!$C:$FB,58)</f>
        <v>5270525</v>
      </c>
      <c r="K33" s="49">
        <f>VLOOKUP($A33,'Data shares'!$C:$FB,59)</f>
        <v>16033225</v>
      </c>
      <c r="L33" s="50">
        <f>VLOOKUP($A33,'Data shares'!$C:$FB,61)*100</f>
        <v>-67.13</v>
      </c>
      <c r="M33" s="49">
        <f>VLOOKUP($A33,'Data shares'!$C:$FB,62)</f>
        <v>2636400</v>
      </c>
      <c r="N33" s="49">
        <f>VLOOKUP($A33,'Data shares'!$C:$FB,63)</f>
        <v>3617250</v>
      </c>
      <c r="O33" s="140">
        <f>VLOOKUP($A33,'Data shares'!$C:$FB,65)*100</f>
        <v>-27.12</v>
      </c>
    </row>
    <row r="34" spans="1:15" x14ac:dyDescent="0.25">
      <c r="A34" s="101" t="str">
        <f>'Data shares'!C29</f>
        <v>BEL</v>
      </c>
      <c r="B34" s="50">
        <f>VLOOKUP($A34,'Data shares'!$C:$FB,7)</f>
        <v>415.15</v>
      </c>
      <c r="C34" s="50">
        <f>VLOOKUP($A34,'Data shares'!$C:$FB,10)*100</f>
        <v>-1.63</v>
      </c>
      <c r="D34" s="49">
        <f>VLOOKUP($A34,'Data shares'!$C:$FB,66)</f>
        <v>251843100</v>
      </c>
      <c r="E34" s="49">
        <f>VLOOKUP($A34,'Data shares'!$C:$FB,67)</f>
        <v>265024350</v>
      </c>
      <c r="F34" s="50">
        <f>VLOOKUP($A34,'Data shares'!$C:$FB,69)*100</f>
        <v>-4.97</v>
      </c>
      <c r="G34" s="49">
        <f>VLOOKUP($A34,'Data shares'!$C:$FB,42)</f>
        <v>78298050</v>
      </c>
      <c r="H34" s="49">
        <f>VLOOKUP($A34,'Data shares'!$C:$FB,43)</f>
        <v>79383900</v>
      </c>
      <c r="I34" s="50">
        <f>VLOOKUP($A34,'Data shares'!$C:$FB,45)*100</f>
        <v>-1.37</v>
      </c>
      <c r="J34" s="49">
        <f>VLOOKUP($A34,'Data shares'!$C:$FB,58)</f>
        <v>116644800</v>
      </c>
      <c r="K34" s="49">
        <f>VLOOKUP($A34,'Data shares'!$C:$FB,59)</f>
        <v>130931850</v>
      </c>
      <c r="L34" s="50">
        <f>VLOOKUP($A34,'Data shares'!$C:$FB,61)*100</f>
        <v>-10.91</v>
      </c>
      <c r="M34" s="49">
        <f>VLOOKUP($A34,'Data shares'!$C:$FB,62)</f>
        <v>56900250</v>
      </c>
      <c r="N34" s="49">
        <f>VLOOKUP($A34,'Data shares'!$C:$FB,63)</f>
        <v>54708600</v>
      </c>
      <c r="O34" s="140">
        <f>VLOOKUP($A34,'Data shares'!$C:$FB,65)*100</f>
        <v>4.01</v>
      </c>
    </row>
    <row r="35" spans="1:15" x14ac:dyDescent="0.25">
      <c r="A35" s="101" t="str">
        <f>'Data shares'!C30</f>
        <v>BHARATFORG</v>
      </c>
      <c r="B35" s="50">
        <f>VLOOKUP($A35,'Data shares'!$C:$FB,7)</f>
        <v>1301.4000000000001</v>
      </c>
      <c r="C35" s="50">
        <f>VLOOKUP($A35,'Data shares'!$C:$FB,10)*100</f>
        <v>1.3599999999999999</v>
      </c>
      <c r="D35" s="49">
        <f>VLOOKUP($A35,'Data shares'!$C:$FB,66)</f>
        <v>15869500</v>
      </c>
      <c r="E35" s="49">
        <f>VLOOKUP($A35,'Data shares'!$C:$FB,67)</f>
        <v>24544500</v>
      </c>
      <c r="F35" s="50">
        <f>VLOOKUP($A35,'Data shares'!$C:$FB,69)*100</f>
        <v>-35.339999999999996</v>
      </c>
      <c r="G35" s="49">
        <f>VLOOKUP($A35,'Data shares'!$C:$FB,42)</f>
        <v>7671500</v>
      </c>
      <c r="H35" s="49">
        <f>VLOOKUP($A35,'Data shares'!$C:$FB,43)</f>
        <v>8987000</v>
      </c>
      <c r="I35" s="50">
        <f>VLOOKUP($A35,'Data shares'!$C:$FB,45)*100</f>
        <v>-14.64</v>
      </c>
      <c r="J35" s="49">
        <f>VLOOKUP($A35,'Data shares'!$C:$FB,58)</f>
        <v>5401500</v>
      </c>
      <c r="K35" s="49">
        <f>VLOOKUP($A35,'Data shares'!$C:$FB,59)</f>
        <v>9538000</v>
      </c>
      <c r="L35" s="50">
        <f>VLOOKUP($A35,'Data shares'!$C:$FB,61)*100</f>
        <v>-43.37</v>
      </c>
      <c r="M35" s="49">
        <f>VLOOKUP($A35,'Data shares'!$C:$FB,62)</f>
        <v>2796500</v>
      </c>
      <c r="N35" s="49">
        <f>VLOOKUP($A35,'Data shares'!$C:$FB,63)</f>
        <v>6019500</v>
      </c>
      <c r="O35" s="140">
        <f>VLOOKUP($A35,'Data shares'!$C:$FB,65)*100</f>
        <v>-53.54</v>
      </c>
    </row>
    <row r="36" spans="1:15" x14ac:dyDescent="0.25">
      <c r="A36" s="101" t="str">
        <f>'Data shares'!C31</f>
        <v>BHARTIARTL</v>
      </c>
      <c r="B36" s="50">
        <f>VLOOKUP($A36,'Data shares'!$C:$FB,7)</f>
        <v>2080.1</v>
      </c>
      <c r="C36" s="50">
        <f>VLOOKUP($A36,'Data shares'!$C:$FB,10)*100</f>
        <v>2.5</v>
      </c>
      <c r="D36" s="49">
        <f>VLOOKUP($A36,'Data shares'!$C:$FB,66)</f>
        <v>170062350</v>
      </c>
      <c r="E36" s="49">
        <f>VLOOKUP($A36,'Data shares'!$C:$FB,67)</f>
        <v>79533050</v>
      </c>
      <c r="F36" s="50">
        <f>VLOOKUP($A36,'Data shares'!$C:$FB,69)*100</f>
        <v>113.83000000000001</v>
      </c>
      <c r="G36" s="49">
        <f>VLOOKUP($A36,'Data shares'!$C:$FB,42)</f>
        <v>30605675</v>
      </c>
      <c r="H36" s="49">
        <f>VLOOKUP($A36,'Data shares'!$C:$FB,43)</f>
        <v>27233650</v>
      </c>
      <c r="I36" s="50">
        <f>VLOOKUP($A36,'Data shares'!$C:$FB,45)*100</f>
        <v>12.379999999999999</v>
      </c>
      <c r="J36" s="49">
        <f>VLOOKUP($A36,'Data shares'!$C:$FB,58)</f>
        <v>101931675</v>
      </c>
      <c r="K36" s="49">
        <f>VLOOKUP($A36,'Data shares'!$C:$FB,59)</f>
        <v>34890175</v>
      </c>
      <c r="L36" s="50">
        <f>VLOOKUP($A36,'Data shares'!$C:$FB,61)*100</f>
        <v>192.15</v>
      </c>
      <c r="M36" s="49">
        <f>VLOOKUP($A36,'Data shares'!$C:$FB,62)</f>
        <v>37525000</v>
      </c>
      <c r="N36" s="49">
        <f>VLOOKUP($A36,'Data shares'!$C:$FB,63)</f>
        <v>17409225</v>
      </c>
      <c r="O36" s="140">
        <f>VLOOKUP($A36,'Data shares'!$C:$FB,65)*100</f>
        <v>115.55</v>
      </c>
    </row>
    <row r="37" spans="1:15" x14ac:dyDescent="0.25">
      <c r="A37" s="101" t="str">
        <f>'Data shares'!C32</f>
        <v>BHEL</v>
      </c>
      <c r="B37" s="50">
        <f>VLOOKUP($A37,'Data shares'!$C:$FB,7)</f>
        <v>235</v>
      </c>
      <c r="C37" s="50">
        <f>VLOOKUP($A37,'Data shares'!$C:$FB,10)*100</f>
        <v>1.76</v>
      </c>
      <c r="D37" s="49">
        <f>VLOOKUP($A37,'Data shares'!$C:$FB,66)</f>
        <v>127939875</v>
      </c>
      <c r="E37" s="49">
        <f>VLOOKUP($A37,'Data shares'!$C:$FB,67)</f>
        <v>103089000</v>
      </c>
      <c r="F37" s="50">
        <f>VLOOKUP($A37,'Data shares'!$C:$FB,69)*100</f>
        <v>24.11</v>
      </c>
      <c r="G37" s="49">
        <f>VLOOKUP($A37,'Data shares'!$C:$FB,42)</f>
        <v>45273375</v>
      </c>
      <c r="H37" s="49">
        <f>VLOOKUP($A37,'Data shares'!$C:$FB,43)</f>
        <v>41629875</v>
      </c>
      <c r="I37" s="50">
        <f>VLOOKUP($A37,'Data shares'!$C:$FB,45)*100</f>
        <v>8.75</v>
      </c>
      <c r="J37" s="49">
        <f>VLOOKUP($A37,'Data shares'!$C:$FB,58)</f>
        <v>55526625</v>
      </c>
      <c r="K37" s="49">
        <f>VLOOKUP($A37,'Data shares'!$C:$FB,59)</f>
        <v>40684875</v>
      </c>
      <c r="L37" s="50">
        <f>VLOOKUP($A37,'Data shares'!$C:$FB,61)*100</f>
        <v>36.480000000000004</v>
      </c>
      <c r="M37" s="49">
        <f>VLOOKUP($A37,'Data shares'!$C:$FB,62)</f>
        <v>27139875</v>
      </c>
      <c r="N37" s="49">
        <f>VLOOKUP($A37,'Data shares'!$C:$FB,63)</f>
        <v>20774250</v>
      </c>
      <c r="O37" s="140">
        <f>VLOOKUP($A37,'Data shares'!$C:$FB,65)*100</f>
        <v>30.64</v>
      </c>
    </row>
    <row r="38" spans="1:15" x14ac:dyDescent="0.25">
      <c r="A38" s="101" t="str">
        <f>'Data shares'!C33</f>
        <v>BIOCON</v>
      </c>
      <c r="B38" s="50">
        <f>VLOOKUP($A38,'Data shares'!$C:$FB,7)</f>
        <v>360.45</v>
      </c>
      <c r="C38" s="50">
        <f>VLOOKUP($A38,'Data shares'!$C:$FB,10)*100</f>
        <v>0.26</v>
      </c>
      <c r="D38" s="49">
        <f>VLOOKUP($A38,'Data shares'!$C:$FB,66)</f>
        <v>48510000</v>
      </c>
      <c r="E38" s="49">
        <f>VLOOKUP($A38,'Data shares'!$C:$FB,67)</f>
        <v>45760000</v>
      </c>
      <c r="F38" s="50">
        <f>VLOOKUP($A38,'Data shares'!$C:$FB,69)*100</f>
        <v>6.01</v>
      </c>
      <c r="G38" s="49">
        <f>VLOOKUP($A38,'Data shares'!$C:$FB,42)</f>
        <v>32562500</v>
      </c>
      <c r="H38" s="49">
        <f>VLOOKUP($A38,'Data shares'!$C:$FB,43)</f>
        <v>22920000</v>
      </c>
      <c r="I38" s="50">
        <f>VLOOKUP($A38,'Data shares'!$C:$FB,45)*100</f>
        <v>42.07</v>
      </c>
      <c r="J38" s="49">
        <f>VLOOKUP($A38,'Data shares'!$C:$FB,58)</f>
        <v>9305000</v>
      </c>
      <c r="K38" s="49">
        <f>VLOOKUP($A38,'Data shares'!$C:$FB,59)</f>
        <v>13830000</v>
      </c>
      <c r="L38" s="50">
        <f>VLOOKUP($A38,'Data shares'!$C:$FB,61)*100</f>
        <v>-32.72</v>
      </c>
      <c r="M38" s="49">
        <f>VLOOKUP($A38,'Data shares'!$C:$FB,62)</f>
        <v>6642500</v>
      </c>
      <c r="N38" s="49">
        <f>VLOOKUP($A38,'Data shares'!$C:$FB,63)</f>
        <v>9010000</v>
      </c>
      <c r="O38" s="140">
        <f>VLOOKUP($A38,'Data shares'!$C:$FB,65)*100</f>
        <v>-26.279999999999998</v>
      </c>
    </row>
    <row r="39" spans="1:15" x14ac:dyDescent="0.25">
      <c r="A39" s="101" t="str">
        <f>'Data shares'!C34</f>
        <v>BLUESTARCO</v>
      </c>
      <c r="B39" s="50">
        <f>VLOOKUP($A39,'Data shares'!$C:$FB,7)</f>
        <v>1979.6</v>
      </c>
      <c r="C39" s="50">
        <f>VLOOKUP($A39,'Data shares'!$C:$FB,10)*100</f>
        <v>-1.32</v>
      </c>
      <c r="D39" s="49">
        <f>VLOOKUP($A39,'Data shares'!$C:$FB,66)</f>
        <v>4568200</v>
      </c>
      <c r="E39" s="49">
        <f>VLOOKUP($A39,'Data shares'!$C:$FB,67)</f>
        <v>9010950</v>
      </c>
      <c r="F39" s="50">
        <f>VLOOKUP($A39,'Data shares'!$C:$FB,69)*100</f>
        <v>-49.3</v>
      </c>
      <c r="G39" s="49">
        <f>VLOOKUP($A39,'Data shares'!$C:$FB,42)</f>
        <v>1710150</v>
      </c>
      <c r="H39" s="49">
        <f>VLOOKUP($A39,'Data shares'!$C:$FB,43)</f>
        <v>2221700</v>
      </c>
      <c r="I39" s="50">
        <f>VLOOKUP($A39,'Data shares'!$C:$FB,45)*100</f>
        <v>-23.03</v>
      </c>
      <c r="J39" s="49">
        <f>VLOOKUP($A39,'Data shares'!$C:$FB,58)</f>
        <v>2101450</v>
      </c>
      <c r="K39" s="49">
        <f>VLOOKUP($A39,'Data shares'!$C:$FB,59)</f>
        <v>5307250</v>
      </c>
      <c r="L39" s="50">
        <f>VLOOKUP($A39,'Data shares'!$C:$FB,61)*100</f>
        <v>-60.4</v>
      </c>
      <c r="M39" s="49">
        <f>VLOOKUP($A39,'Data shares'!$C:$FB,62)</f>
        <v>756600</v>
      </c>
      <c r="N39" s="49">
        <f>VLOOKUP($A39,'Data shares'!$C:$FB,63)</f>
        <v>1482000</v>
      </c>
      <c r="O39" s="140">
        <f>VLOOKUP($A39,'Data shares'!$C:$FB,65)*100</f>
        <v>-48.949999999999996</v>
      </c>
    </row>
    <row r="40" spans="1:15" x14ac:dyDescent="0.25">
      <c r="A40" s="101" t="str">
        <f>'Data shares'!C35</f>
        <v>BOSCHLTD</v>
      </c>
      <c r="B40" s="50">
        <f>VLOOKUP($A40,'Data shares'!$C:$FB,7)</f>
        <v>39005</v>
      </c>
      <c r="C40" s="50">
        <f>VLOOKUP($A40,'Data shares'!$C:$FB,10)*100</f>
        <v>1.0900000000000001</v>
      </c>
      <c r="D40" s="49">
        <f>VLOOKUP($A40,'Data shares'!$C:$FB,66)</f>
        <v>302275</v>
      </c>
      <c r="E40" s="49">
        <f>VLOOKUP($A40,'Data shares'!$C:$FB,67)</f>
        <v>400925</v>
      </c>
      <c r="F40" s="50">
        <f>VLOOKUP($A40,'Data shares'!$C:$FB,69)*100</f>
        <v>-24.610000000000003</v>
      </c>
      <c r="G40" s="49">
        <f>VLOOKUP($A40,'Data shares'!$C:$FB,42)</f>
        <v>137725</v>
      </c>
      <c r="H40" s="49">
        <f>VLOOKUP($A40,'Data shares'!$C:$FB,43)</f>
        <v>192625</v>
      </c>
      <c r="I40" s="50">
        <f>VLOOKUP($A40,'Data shares'!$C:$FB,45)*100</f>
        <v>-28.499999999999996</v>
      </c>
      <c r="J40" s="49">
        <f>VLOOKUP($A40,'Data shares'!$C:$FB,58)</f>
        <v>130825</v>
      </c>
      <c r="K40" s="49">
        <f>VLOOKUP($A40,'Data shares'!$C:$FB,59)</f>
        <v>149275</v>
      </c>
      <c r="L40" s="50">
        <f>VLOOKUP($A40,'Data shares'!$C:$FB,61)*100</f>
        <v>-12.36</v>
      </c>
      <c r="M40" s="49">
        <f>VLOOKUP($A40,'Data shares'!$C:$FB,62)</f>
        <v>33725</v>
      </c>
      <c r="N40" s="49">
        <f>VLOOKUP($A40,'Data shares'!$C:$FB,63)</f>
        <v>59025</v>
      </c>
      <c r="O40" s="140">
        <f>VLOOKUP($A40,'Data shares'!$C:$FB,65)*100</f>
        <v>-42.86</v>
      </c>
    </row>
    <row r="41" spans="1:15" x14ac:dyDescent="0.25">
      <c r="A41" s="101" t="str">
        <f>'Data shares'!C36</f>
        <v>BPCL</v>
      </c>
      <c r="B41" s="50">
        <f>VLOOKUP($A41,'Data shares'!$C:$FB,7)</f>
        <v>343</v>
      </c>
      <c r="C41" s="50">
        <f>VLOOKUP($A41,'Data shares'!$C:$FB,10)*100</f>
        <v>3.8</v>
      </c>
      <c r="D41" s="49">
        <f>VLOOKUP($A41,'Data shares'!$C:$FB,66)</f>
        <v>109057525</v>
      </c>
      <c r="E41" s="49">
        <f>VLOOKUP($A41,'Data shares'!$C:$FB,67)</f>
        <v>77070425</v>
      </c>
      <c r="F41" s="50">
        <f>VLOOKUP($A41,'Data shares'!$C:$FB,69)*100</f>
        <v>41.5</v>
      </c>
      <c r="G41" s="49">
        <f>VLOOKUP($A41,'Data shares'!$C:$FB,42)</f>
        <v>25289875</v>
      </c>
      <c r="H41" s="49">
        <f>VLOOKUP($A41,'Data shares'!$C:$FB,43)</f>
        <v>23091700</v>
      </c>
      <c r="I41" s="50">
        <f>VLOOKUP($A41,'Data shares'!$C:$FB,45)*100</f>
        <v>9.5200000000000014</v>
      </c>
      <c r="J41" s="49">
        <f>VLOOKUP($A41,'Data shares'!$C:$FB,58)</f>
        <v>57689750</v>
      </c>
      <c r="K41" s="49">
        <f>VLOOKUP($A41,'Data shares'!$C:$FB,59)</f>
        <v>34497325</v>
      </c>
      <c r="L41" s="50">
        <f>VLOOKUP($A41,'Data shares'!$C:$FB,61)*100</f>
        <v>67.23</v>
      </c>
      <c r="M41" s="49">
        <f>VLOOKUP($A41,'Data shares'!$C:$FB,62)</f>
        <v>26077900</v>
      </c>
      <c r="N41" s="49">
        <f>VLOOKUP($A41,'Data shares'!$C:$FB,63)</f>
        <v>19481400</v>
      </c>
      <c r="O41" s="140">
        <f>VLOOKUP($A41,'Data shares'!$C:$FB,65)*100</f>
        <v>33.86</v>
      </c>
    </row>
    <row r="42" spans="1:15" x14ac:dyDescent="0.25">
      <c r="A42" s="101" t="str">
        <f>'Data shares'!C37</f>
        <v>BRITANNIA</v>
      </c>
      <c r="B42" s="50">
        <f>VLOOKUP($A42,'Data shares'!$C:$FB,7)</f>
        <v>5912</v>
      </c>
      <c r="C42" s="50">
        <f>VLOOKUP($A42,'Data shares'!$C:$FB,10)*100</f>
        <v>-2.33</v>
      </c>
      <c r="D42" s="49">
        <f>VLOOKUP($A42,'Data shares'!$C:$FB,66)</f>
        <v>7728000</v>
      </c>
      <c r="E42" s="49">
        <f>VLOOKUP($A42,'Data shares'!$C:$FB,67)</f>
        <v>4359000</v>
      </c>
      <c r="F42" s="50">
        <f>VLOOKUP($A42,'Data shares'!$C:$FB,69)*100</f>
        <v>77.290000000000006</v>
      </c>
      <c r="G42" s="49">
        <f>VLOOKUP($A42,'Data shares'!$C:$FB,42)</f>
        <v>2663625</v>
      </c>
      <c r="H42" s="49">
        <f>VLOOKUP($A42,'Data shares'!$C:$FB,43)</f>
        <v>2802750</v>
      </c>
      <c r="I42" s="50">
        <f>VLOOKUP($A42,'Data shares'!$C:$FB,45)*100</f>
        <v>-4.96</v>
      </c>
      <c r="J42" s="49">
        <f>VLOOKUP($A42,'Data shares'!$C:$FB,58)</f>
        <v>2519125</v>
      </c>
      <c r="K42" s="49">
        <f>VLOOKUP($A42,'Data shares'!$C:$FB,59)</f>
        <v>820000</v>
      </c>
      <c r="L42" s="50">
        <f>VLOOKUP($A42,'Data shares'!$C:$FB,61)*100</f>
        <v>207.20999999999998</v>
      </c>
      <c r="M42" s="49">
        <f>VLOOKUP($A42,'Data shares'!$C:$FB,62)</f>
        <v>2545250</v>
      </c>
      <c r="N42" s="49">
        <f>VLOOKUP($A42,'Data shares'!$C:$FB,63)</f>
        <v>736250</v>
      </c>
      <c r="O42" s="140">
        <f>VLOOKUP($A42,'Data shares'!$C:$FB,65)*100</f>
        <v>245.7</v>
      </c>
    </row>
    <row r="43" spans="1:15" x14ac:dyDescent="0.25">
      <c r="A43" s="101" t="str">
        <f>'Data shares'!C38</f>
        <v>BSE</v>
      </c>
      <c r="B43" s="50">
        <f>VLOOKUP($A43,'Data shares'!$C:$FB,7)</f>
        <v>2510.1999999999998</v>
      </c>
      <c r="C43" s="50">
        <f>VLOOKUP($A43,'Data shares'!$C:$FB,10)*100</f>
        <v>1.4200000000000002</v>
      </c>
      <c r="D43" s="49">
        <f>VLOOKUP($A43,'Data shares'!$C:$FB,66)</f>
        <v>39202875</v>
      </c>
      <c r="E43" s="49">
        <f>VLOOKUP($A43,'Data shares'!$C:$FB,67)</f>
        <v>32048250</v>
      </c>
      <c r="F43" s="50">
        <f>VLOOKUP($A43,'Data shares'!$C:$FB,69)*100</f>
        <v>22.32</v>
      </c>
      <c r="G43" s="49">
        <f>VLOOKUP($A43,'Data shares'!$C:$FB,42)</f>
        <v>9346875</v>
      </c>
      <c r="H43" s="49">
        <f>VLOOKUP($A43,'Data shares'!$C:$FB,43)</f>
        <v>7840125</v>
      </c>
      <c r="I43" s="50">
        <f>VLOOKUP($A43,'Data shares'!$C:$FB,45)*100</f>
        <v>19.220000000000002</v>
      </c>
      <c r="J43" s="49">
        <f>VLOOKUP($A43,'Data shares'!$C:$FB,58)</f>
        <v>18792375</v>
      </c>
      <c r="K43" s="49">
        <f>VLOOKUP($A43,'Data shares'!$C:$FB,59)</f>
        <v>13766250</v>
      </c>
      <c r="L43" s="50">
        <f>VLOOKUP($A43,'Data shares'!$C:$FB,61)*100</f>
        <v>36.51</v>
      </c>
      <c r="M43" s="49">
        <f>VLOOKUP($A43,'Data shares'!$C:$FB,62)</f>
        <v>11063625</v>
      </c>
      <c r="N43" s="49">
        <f>VLOOKUP($A43,'Data shares'!$C:$FB,63)</f>
        <v>10441875</v>
      </c>
      <c r="O43" s="140">
        <f>VLOOKUP($A43,'Data shares'!$C:$FB,65)*100</f>
        <v>5.9499999999999993</v>
      </c>
    </row>
    <row r="44" spans="1:15" x14ac:dyDescent="0.25">
      <c r="A44" s="101" t="str">
        <f>'Data shares'!C39</f>
        <v>CAMS</v>
      </c>
      <c r="B44" s="50">
        <f>VLOOKUP($A44,'Data shares'!$C:$FB,7)</f>
        <v>3965.4</v>
      </c>
      <c r="C44" s="50">
        <f>VLOOKUP($A44,'Data shares'!$C:$FB,10)*100</f>
        <v>2.1999999999999997</v>
      </c>
      <c r="D44" s="49">
        <f>VLOOKUP($A44,'Data shares'!$C:$FB,66)</f>
        <v>7146150</v>
      </c>
      <c r="E44" s="49">
        <f>VLOOKUP($A44,'Data shares'!$C:$FB,67)</f>
        <v>3627150</v>
      </c>
      <c r="F44" s="50">
        <f>VLOOKUP($A44,'Data shares'!$C:$FB,69)*100</f>
        <v>97.02</v>
      </c>
      <c r="G44" s="49">
        <f>VLOOKUP($A44,'Data shares'!$C:$FB,42)</f>
        <v>2114100</v>
      </c>
      <c r="H44" s="49">
        <f>VLOOKUP($A44,'Data shares'!$C:$FB,43)</f>
        <v>1776750</v>
      </c>
      <c r="I44" s="50">
        <f>VLOOKUP($A44,'Data shares'!$C:$FB,45)*100</f>
        <v>18.990000000000002</v>
      </c>
      <c r="J44" s="49">
        <f>VLOOKUP($A44,'Data shares'!$C:$FB,58)</f>
        <v>3800550</v>
      </c>
      <c r="K44" s="49">
        <f>VLOOKUP($A44,'Data shares'!$C:$FB,59)</f>
        <v>1242000</v>
      </c>
      <c r="L44" s="50">
        <f>VLOOKUP($A44,'Data shares'!$C:$FB,61)*100</f>
        <v>206</v>
      </c>
      <c r="M44" s="49">
        <f>VLOOKUP($A44,'Data shares'!$C:$FB,62)</f>
        <v>1231500</v>
      </c>
      <c r="N44" s="49">
        <f>VLOOKUP($A44,'Data shares'!$C:$FB,63)</f>
        <v>608400</v>
      </c>
      <c r="O44" s="140">
        <f>VLOOKUP($A44,'Data shares'!$C:$FB,65)*100</f>
        <v>102.42</v>
      </c>
    </row>
    <row r="45" spans="1:15" x14ac:dyDescent="0.25">
      <c r="A45" s="101" t="str">
        <f>'Data shares'!C40</f>
        <v>CANBK</v>
      </c>
      <c r="B45" s="50">
        <f>VLOOKUP($A45,'Data shares'!$C:$FB,7)</f>
        <v>129.13</v>
      </c>
      <c r="C45" s="50">
        <f>VLOOKUP($A45,'Data shares'!$C:$FB,10)*100</f>
        <v>2.73</v>
      </c>
      <c r="D45" s="49">
        <f>VLOOKUP($A45,'Data shares'!$C:$FB,66)</f>
        <v>521349750</v>
      </c>
      <c r="E45" s="49">
        <f>VLOOKUP($A45,'Data shares'!$C:$FB,67)</f>
        <v>358749000</v>
      </c>
      <c r="F45" s="50">
        <f>VLOOKUP($A45,'Data shares'!$C:$FB,69)*100</f>
        <v>45.32</v>
      </c>
      <c r="G45" s="49">
        <f>VLOOKUP($A45,'Data shares'!$C:$FB,42)</f>
        <v>215041500</v>
      </c>
      <c r="H45" s="49">
        <f>VLOOKUP($A45,'Data shares'!$C:$FB,43)</f>
        <v>147609000</v>
      </c>
      <c r="I45" s="50">
        <f>VLOOKUP($A45,'Data shares'!$C:$FB,45)*100</f>
        <v>45.68</v>
      </c>
      <c r="J45" s="49">
        <f>VLOOKUP($A45,'Data shares'!$C:$FB,58)</f>
        <v>219996000</v>
      </c>
      <c r="K45" s="49">
        <f>VLOOKUP($A45,'Data shares'!$C:$FB,59)</f>
        <v>143687250</v>
      </c>
      <c r="L45" s="50">
        <f>VLOOKUP($A45,'Data shares'!$C:$FB,61)*100</f>
        <v>53.11</v>
      </c>
      <c r="M45" s="49">
        <f>VLOOKUP($A45,'Data shares'!$C:$FB,62)</f>
        <v>86312250</v>
      </c>
      <c r="N45" s="49">
        <f>VLOOKUP($A45,'Data shares'!$C:$FB,63)</f>
        <v>67452750</v>
      </c>
      <c r="O45" s="140">
        <f>VLOOKUP($A45,'Data shares'!$C:$FB,65)*100</f>
        <v>27.96</v>
      </c>
    </row>
    <row r="46" spans="1:15" x14ac:dyDescent="0.25">
      <c r="A46" s="101" t="str">
        <f>'Data shares'!C41</f>
        <v>CDSL</v>
      </c>
      <c r="B46" s="50">
        <f>VLOOKUP($A46,'Data shares'!$C:$FB,7)</f>
        <v>1636.5</v>
      </c>
      <c r="C46" s="50">
        <f>VLOOKUP($A46,'Data shares'!$C:$FB,10)*100</f>
        <v>2.91</v>
      </c>
      <c r="D46" s="49">
        <f>VLOOKUP($A46,'Data shares'!$C:$FB,66)</f>
        <v>38812250</v>
      </c>
      <c r="E46" s="49">
        <f>VLOOKUP($A46,'Data shares'!$C:$FB,67)</f>
        <v>27480175</v>
      </c>
      <c r="F46" s="50">
        <f>VLOOKUP($A46,'Data shares'!$C:$FB,69)*100</f>
        <v>41.24</v>
      </c>
      <c r="G46" s="49">
        <f>VLOOKUP($A46,'Data shares'!$C:$FB,42)</f>
        <v>9628250</v>
      </c>
      <c r="H46" s="49">
        <f>VLOOKUP($A46,'Data shares'!$C:$FB,43)</f>
        <v>8255500</v>
      </c>
      <c r="I46" s="50">
        <f>VLOOKUP($A46,'Data shares'!$C:$FB,45)*100</f>
        <v>16.63</v>
      </c>
      <c r="J46" s="49">
        <f>VLOOKUP($A46,'Data shares'!$C:$FB,58)</f>
        <v>20035500</v>
      </c>
      <c r="K46" s="49">
        <f>VLOOKUP($A46,'Data shares'!$C:$FB,59)</f>
        <v>12160475</v>
      </c>
      <c r="L46" s="50">
        <f>VLOOKUP($A46,'Data shares'!$C:$FB,61)*100</f>
        <v>64.759999999999991</v>
      </c>
      <c r="M46" s="49">
        <f>VLOOKUP($A46,'Data shares'!$C:$FB,62)</f>
        <v>9148500</v>
      </c>
      <c r="N46" s="49">
        <f>VLOOKUP($A46,'Data shares'!$C:$FB,63)</f>
        <v>7064200</v>
      </c>
      <c r="O46" s="140">
        <f>VLOOKUP($A46,'Data shares'!$C:$FB,65)*100</f>
        <v>29.509999999999998</v>
      </c>
    </row>
    <row r="47" spans="1:15" x14ac:dyDescent="0.25">
      <c r="A47" s="101" t="str">
        <f>'Data shares'!C42</f>
        <v>CGPOWER</v>
      </c>
      <c r="B47" s="50">
        <f>VLOOKUP($A47,'Data shares'!$C:$FB,7)</f>
        <v>728.35</v>
      </c>
      <c r="C47" s="50">
        <f>VLOOKUP($A47,'Data shares'!$C:$FB,10)*100</f>
        <v>0.62</v>
      </c>
      <c r="D47" s="49">
        <f>VLOOKUP($A47,'Data shares'!$C:$FB,66)</f>
        <v>19880650</v>
      </c>
      <c r="E47" s="49">
        <f>VLOOKUP($A47,'Data shares'!$C:$FB,67)</f>
        <v>28267600</v>
      </c>
      <c r="F47" s="50">
        <f>VLOOKUP($A47,'Data shares'!$C:$FB,69)*100</f>
        <v>-29.67</v>
      </c>
      <c r="G47" s="49">
        <f>VLOOKUP($A47,'Data shares'!$C:$FB,42)</f>
        <v>11533650</v>
      </c>
      <c r="H47" s="49">
        <f>VLOOKUP($A47,'Data shares'!$C:$FB,43)</f>
        <v>14652300</v>
      </c>
      <c r="I47" s="50">
        <f>VLOOKUP($A47,'Data shares'!$C:$FB,45)*100</f>
        <v>-21.279999999999998</v>
      </c>
      <c r="J47" s="49">
        <f>VLOOKUP($A47,'Data shares'!$C:$FB,58)</f>
        <v>5022650</v>
      </c>
      <c r="K47" s="49">
        <f>VLOOKUP($A47,'Data shares'!$C:$FB,59)</f>
        <v>9395050</v>
      </c>
      <c r="L47" s="50">
        <f>VLOOKUP($A47,'Data shares'!$C:$FB,61)*100</f>
        <v>-46.54</v>
      </c>
      <c r="M47" s="49">
        <f>VLOOKUP($A47,'Data shares'!$C:$FB,62)</f>
        <v>3324350</v>
      </c>
      <c r="N47" s="49">
        <f>VLOOKUP($A47,'Data shares'!$C:$FB,63)</f>
        <v>4220250</v>
      </c>
      <c r="O47" s="140">
        <f>VLOOKUP($A47,'Data shares'!$C:$FB,65)*100</f>
        <v>-21.23</v>
      </c>
    </row>
    <row r="48" spans="1:15" x14ac:dyDescent="0.25">
      <c r="A48" s="101" t="str">
        <f>'Data shares'!C43</f>
        <v>CHOLAFIN</v>
      </c>
      <c r="B48" s="50">
        <f>VLOOKUP($A48,'Data shares'!$C:$FB,7)</f>
        <v>1732.4</v>
      </c>
      <c r="C48" s="50">
        <f>VLOOKUP($A48,'Data shares'!$C:$FB,10)*100</f>
        <v>-6.9999999999999993E-2</v>
      </c>
      <c r="D48" s="49">
        <f>VLOOKUP($A48,'Data shares'!$C:$FB,66)</f>
        <v>46890000</v>
      </c>
      <c r="E48" s="49">
        <f>VLOOKUP($A48,'Data shares'!$C:$FB,67)</f>
        <v>45499375</v>
      </c>
      <c r="F48" s="50">
        <f>VLOOKUP($A48,'Data shares'!$C:$FB,69)*100</f>
        <v>3.06</v>
      </c>
      <c r="G48" s="49">
        <f>VLOOKUP($A48,'Data shares'!$C:$FB,42)</f>
        <v>16230000</v>
      </c>
      <c r="H48" s="49">
        <f>VLOOKUP($A48,'Data shares'!$C:$FB,43)</f>
        <v>18146875</v>
      </c>
      <c r="I48" s="50">
        <f>VLOOKUP($A48,'Data shares'!$C:$FB,45)*100</f>
        <v>-10.56</v>
      </c>
      <c r="J48" s="49">
        <f>VLOOKUP($A48,'Data shares'!$C:$FB,58)</f>
        <v>20786250</v>
      </c>
      <c r="K48" s="49">
        <f>VLOOKUP($A48,'Data shares'!$C:$FB,59)</f>
        <v>21385625</v>
      </c>
      <c r="L48" s="50">
        <f>VLOOKUP($A48,'Data shares'!$C:$FB,61)*100</f>
        <v>-2.8000000000000003</v>
      </c>
      <c r="M48" s="49">
        <f>VLOOKUP($A48,'Data shares'!$C:$FB,62)</f>
        <v>9873750</v>
      </c>
      <c r="N48" s="49">
        <f>VLOOKUP($A48,'Data shares'!$C:$FB,63)</f>
        <v>5966875</v>
      </c>
      <c r="O48" s="140">
        <f>VLOOKUP($A48,'Data shares'!$C:$FB,65)*100</f>
        <v>65.48</v>
      </c>
    </row>
    <row r="49" spans="1:15" x14ac:dyDescent="0.25">
      <c r="A49" s="101" t="str">
        <f>'Data shares'!C44</f>
        <v>CIPLA</v>
      </c>
      <c r="B49" s="50">
        <f>VLOOKUP($A49,'Data shares'!$C:$FB,7)</f>
        <v>1584</v>
      </c>
      <c r="C49" s="50">
        <f>VLOOKUP($A49,'Data shares'!$C:$FB,10)*100</f>
        <v>-0.03</v>
      </c>
      <c r="D49" s="49">
        <f>VLOOKUP($A49,'Data shares'!$C:$FB,66)</f>
        <v>46550625</v>
      </c>
      <c r="E49" s="49">
        <f>VLOOKUP($A49,'Data shares'!$C:$FB,67)</f>
        <v>87319500</v>
      </c>
      <c r="F49" s="50">
        <f>VLOOKUP($A49,'Data shares'!$C:$FB,69)*100</f>
        <v>-46.69</v>
      </c>
      <c r="G49" s="49">
        <f>VLOOKUP($A49,'Data shares'!$C:$FB,42)</f>
        <v>10332375</v>
      </c>
      <c r="H49" s="49">
        <f>VLOOKUP($A49,'Data shares'!$C:$FB,43)</f>
        <v>14790375</v>
      </c>
      <c r="I49" s="50">
        <f>VLOOKUP($A49,'Data shares'!$C:$FB,45)*100</f>
        <v>-30.14</v>
      </c>
      <c r="J49" s="49">
        <f>VLOOKUP($A49,'Data shares'!$C:$FB,58)</f>
        <v>24066750</v>
      </c>
      <c r="K49" s="49">
        <f>VLOOKUP($A49,'Data shares'!$C:$FB,59)</f>
        <v>46174125</v>
      </c>
      <c r="L49" s="50">
        <f>VLOOKUP($A49,'Data shares'!$C:$FB,61)*100</f>
        <v>-47.88</v>
      </c>
      <c r="M49" s="49">
        <f>VLOOKUP($A49,'Data shares'!$C:$FB,62)</f>
        <v>12151500</v>
      </c>
      <c r="N49" s="49">
        <f>VLOOKUP($A49,'Data shares'!$C:$FB,63)</f>
        <v>26355000</v>
      </c>
      <c r="O49" s="140">
        <f>VLOOKUP($A49,'Data shares'!$C:$FB,65)*100</f>
        <v>-53.890000000000008</v>
      </c>
    </row>
    <row r="50" spans="1:15" x14ac:dyDescent="0.25">
      <c r="A50" s="101" t="str">
        <f>'Data shares'!C45</f>
        <v>COALINDIA</v>
      </c>
      <c r="B50" s="50">
        <f>VLOOKUP($A50,'Data shares'!$C:$FB,7)</f>
        <v>396.7</v>
      </c>
      <c r="C50" s="50">
        <f>VLOOKUP($A50,'Data shares'!$C:$FB,10)*100</f>
        <v>0.67</v>
      </c>
      <c r="D50" s="49">
        <f>VLOOKUP($A50,'Data shares'!$C:$FB,66)</f>
        <v>101613150</v>
      </c>
      <c r="E50" s="49">
        <f>VLOOKUP($A50,'Data shares'!$C:$FB,67)</f>
        <v>78571350</v>
      </c>
      <c r="F50" s="50">
        <f>VLOOKUP($A50,'Data shares'!$C:$FB,69)*100</f>
        <v>29.330000000000002</v>
      </c>
      <c r="G50" s="49">
        <f>VLOOKUP($A50,'Data shares'!$C:$FB,42)</f>
        <v>46329300</v>
      </c>
      <c r="H50" s="49">
        <f>VLOOKUP($A50,'Data shares'!$C:$FB,43)</f>
        <v>26703000</v>
      </c>
      <c r="I50" s="50">
        <f>VLOOKUP($A50,'Data shares'!$C:$FB,45)*100</f>
        <v>73.5</v>
      </c>
      <c r="J50" s="49">
        <f>VLOOKUP($A50,'Data shares'!$C:$FB,58)</f>
        <v>35611650</v>
      </c>
      <c r="K50" s="49">
        <f>VLOOKUP($A50,'Data shares'!$C:$FB,59)</f>
        <v>31668300</v>
      </c>
      <c r="L50" s="50">
        <f>VLOOKUP($A50,'Data shares'!$C:$FB,61)*100</f>
        <v>12.45</v>
      </c>
      <c r="M50" s="49">
        <f>VLOOKUP($A50,'Data shares'!$C:$FB,62)</f>
        <v>19672200</v>
      </c>
      <c r="N50" s="49">
        <f>VLOOKUP($A50,'Data shares'!$C:$FB,63)</f>
        <v>20200050</v>
      </c>
      <c r="O50" s="140">
        <f>VLOOKUP($A50,'Data shares'!$C:$FB,65)*100</f>
        <v>-2.6100000000000003</v>
      </c>
    </row>
    <row r="51" spans="1:15" x14ac:dyDescent="0.25">
      <c r="A51" s="101" t="str">
        <f>'Data shares'!C46</f>
        <v>COFORGE</v>
      </c>
      <c r="B51" s="50">
        <f>VLOOKUP($A51,'Data shares'!$C:$FB,7)</f>
        <v>1830.6</v>
      </c>
      <c r="C51" s="50">
        <f>VLOOKUP($A51,'Data shares'!$C:$FB,10)*100</f>
        <v>4.01</v>
      </c>
      <c r="D51" s="49">
        <f>VLOOKUP($A51,'Data shares'!$C:$FB,66)</f>
        <v>110348625</v>
      </c>
      <c r="E51" s="49">
        <f>VLOOKUP($A51,'Data shares'!$C:$FB,67)</f>
        <v>34428000</v>
      </c>
      <c r="F51" s="50">
        <f>VLOOKUP($A51,'Data shares'!$C:$FB,69)*100</f>
        <v>220.52</v>
      </c>
      <c r="G51" s="49">
        <f>VLOOKUP($A51,'Data shares'!$C:$FB,42)</f>
        <v>13706625</v>
      </c>
      <c r="H51" s="49">
        <f>VLOOKUP($A51,'Data shares'!$C:$FB,43)</f>
        <v>13688250</v>
      </c>
      <c r="I51" s="50">
        <f>VLOOKUP($A51,'Data shares'!$C:$FB,45)*100</f>
        <v>0.13</v>
      </c>
      <c r="J51" s="49">
        <f>VLOOKUP($A51,'Data shares'!$C:$FB,58)</f>
        <v>61365000</v>
      </c>
      <c r="K51" s="49">
        <f>VLOOKUP($A51,'Data shares'!$C:$FB,59)</f>
        <v>14559750</v>
      </c>
      <c r="L51" s="50">
        <f>VLOOKUP($A51,'Data shares'!$C:$FB,61)*100</f>
        <v>321.47000000000003</v>
      </c>
      <c r="M51" s="49">
        <f>VLOOKUP($A51,'Data shares'!$C:$FB,62)</f>
        <v>35277000</v>
      </c>
      <c r="N51" s="49">
        <f>VLOOKUP($A51,'Data shares'!$C:$FB,63)</f>
        <v>6180000</v>
      </c>
      <c r="O51" s="140">
        <f>VLOOKUP($A51,'Data shares'!$C:$FB,65)*100</f>
        <v>470.83000000000004</v>
      </c>
    </row>
    <row r="52" spans="1:15" x14ac:dyDescent="0.25">
      <c r="A52" s="101" t="str">
        <f>'Data shares'!C47</f>
        <v>COLPAL</v>
      </c>
      <c r="B52" s="50">
        <f>VLOOKUP($A52,'Data shares'!$C:$FB,7)</f>
        <v>2216.5</v>
      </c>
      <c r="C52" s="50">
        <f>VLOOKUP($A52,'Data shares'!$C:$FB,10)*100</f>
        <v>-1.02</v>
      </c>
      <c r="D52" s="49">
        <f>VLOOKUP($A52,'Data shares'!$C:$FB,66)</f>
        <v>11204550</v>
      </c>
      <c r="E52" s="49">
        <f>VLOOKUP($A52,'Data shares'!$C:$FB,67)</f>
        <v>34778700</v>
      </c>
      <c r="F52" s="50">
        <f>VLOOKUP($A52,'Data shares'!$C:$FB,69)*100</f>
        <v>-67.78</v>
      </c>
      <c r="G52" s="49">
        <f>VLOOKUP($A52,'Data shares'!$C:$FB,42)</f>
        <v>3460275</v>
      </c>
      <c r="H52" s="49">
        <f>VLOOKUP($A52,'Data shares'!$C:$FB,43)</f>
        <v>7122825</v>
      </c>
      <c r="I52" s="50">
        <f>VLOOKUP($A52,'Data shares'!$C:$FB,45)*100</f>
        <v>-51.42</v>
      </c>
      <c r="J52" s="49">
        <f>VLOOKUP($A52,'Data shares'!$C:$FB,58)</f>
        <v>4979475</v>
      </c>
      <c r="K52" s="49">
        <f>VLOOKUP($A52,'Data shares'!$C:$FB,59)</f>
        <v>18037350</v>
      </c>
      <c r="L52" s="50">
        <f>VLOOKUP($A52,'Data shares'!$C:$FB,61)*100</f>
        <v>-72.39</v>
      </c>
      <c r="M52" s="49">
        <f>VLOOKUP($A52,'Data shares'!$C:$FB,62)</f>
        <v>2764800</v>
      </c>
      <c r="N52" s="49">
        <f>VLOOKUP($A52,'Data shares'!$C:$FB,63)</f>
        <v>9618525</v>
      </c>
      <c r="O52" s="140">
        <f>VLOOKUP($A52,'Data shares'!$C:$FB,65)*100</f>
        <v>-71.260000000000005</v>
      </c>
    </row>
    <row r="53" spans="1:15" x14ac:dyDescent="0.25">
      <c r="A53" s="101" t="str">
        <f>'Data shares'!C48</f>
        <v>CONCOR</v>
      </c>
      <c r="B53" s="50">
        <f>VLOOKUP($A53,'Data shares'!$C:$FB,7)</f>
        <v>540.75</v>
      </c>
      <c r="C53" s="50">
        <f>VLOOKUP($A53,'Data shares'!$C:$FB,10)*100</f>
        <v>0.72</v>
      </c>
      <c r="D53" s="49">
        <f>VLOOKUP($A53,'Data shares'!$C:$FB,66)</f>
        <v>30232500</v>
      </c>
      <c r="E53" s="49">
        <f>VLOOKUP($A53,'Data shares'!$C:$FB,67)</f>
        <v>47192500</v>
      </c>
      <c r="F53" s="50">
        <f>VLOOKUP($A53,'Data shares'!$C:$FB,69)*100</f>
        <v>-35.94</v>
      </c>
      <c r="G53" s="49">
        <f>VLOOKUP($A53,'Data shares'!$C:$FB,42)</f>
        <v>13262500</v>
      </c>
      <c r="H53" s="49">
        <f>VLOOKUP($A53,'Data shares'!$C:$FB,43)</f>
        <v>22878750</v>
      </c>
      <c r="I53" s="50">
        <f>VLOOKUP($A53,'Data shares'!$C:$FB,45)*100</f>
        <v>-42.03</v>
      </c>
      <c r="J53" s="49">
        <f>VLOOKUP($A53,'Data shares'!$C:$FB,58)</f>
        <v>11540000</v>
      </c>
      <c r="K53" s="49">
        <f>VLOOKUP($A53,'Data shares'!$C:$FB,59)</f>
        <v>16357500</v>
      </c>
      <c r="L53" s="50">
        <f>VLOOKUP($A53,'Data shares'!$C:$FB,61)*100</f>
        <v>-29.45</v>
      </c>
      <c r="M53" s="49">
        <f>VLOOKUP($A53,'Data shares'!$C:$FB,62)</f>
        <v>5430000</v>
      </c>
      <c r="N53" s="49">
        <f>VLOOKUP($A53,'Data shares'!$C:$FB,63)</f>
        <v>7956250</v>
      </c>
      <c r="O53" s="140">
        <f>VLOOKUP($A53,'Data shares'!$C:$FB,65)*100</f>
        <v>-31.75</v>
      </c>
    </row>
    <row r="54" spans="1:15" x14ac:dyDescent="0.25">
      <c r="A54" s="101" t="str">
        <f>'Data shares'!C49</f>
        <v>CROMPTON</v>
      </c>
      <c r="B54" s="50">
        <f>VLOOKUP($A54,'Data shares'!$C:$FB,7)</f>
        <v>292.05</v>
      </c>
      <c r="C54" s="50">
        <f>VLOOKUP($A54,'Data shares'!$C:$FB,10)*100</f>
        <v>-0.44</v>
      </c>
      <c r="D54" s="49">
        <f>VLOOKUP($A54,'Data shares'!$C:$FB,66)</f>
        <v>64530000</v>
      </c>
      <c r="E54" s="49">
        <f>VLOOKUP($A54,'Data shares'!$C:$FB,67)</f>
        <v>70135200</v>
      </c>
      <c r="F54" s="50">
        <f>VLOOKUP($A54,'Data shares'!$C:$FB,69)*100</f>
        <v>-7.99</v>
      </c>
      <c r="G54" s="49">
        <f>VLOOKUP($A54,'Data shares'!$C:$FB,42)</f>
        <v>29793600</v>
      </c>
      <c r="H54" s="49">
        <f>VLOOKUP($A54,'Data shares'!$C:$FB,43)</f>
        <v>46323000</v>
      </c>
      <c r="I54" s="50">
        <f>VLOOKUP($A54,'Data shares'!$C:$FB,45)*100</f>
        <v>-35.68</v>
      </c>
      <c r="J54" s="49">
        <f>VLOOKUP($A54,'Data shares'!$C:$FB,58)</f>
        <v>25684200</v>
      </c>
      <c r="K54" s="49">
        <f>VLOOKUP($A54,'Data shares'!$C:$FB,59)</f>
        <v>17692200</v>
      </c>
      <c r="L54" s="50">
        <f>VLOOKUP($A54,'Data shares'!$C:$FB,61)*100</f>
        <v>45.17</v>
      </c>
      <c r="M54" s="49">
        <f>VLOOKUP($A54,'Data shares'!$C:$FB,62)</f>
        <v>9052200</v>
      </c>
      <c r="N54" s="49">
        <f>VLOOKUP($A54,'Data shares'!$C:$FB,63)</f>
        <v>6120000</v>
      </c>
      <c r="O54" s="140">
        <f>VLOOKUP($A54,'Data shares'!$C:$FB,65)*100</f>
        <v>47.910000000000004</v>
      </c>
    </row>
    <row r="55" spans="1:15" x14ac:dyDescent="0.25">
      <c r="A55" s="101" t="str">
        <f>'Data shares'!C50</f>
        <v>CUMMINSIND</v>
      </c>
      <c r="B55" s="50">
        <f>VLOOKUP($A55,'Data shares'!$C:$FB,7)</f>
        <v>4311.5</v>
      </c>
      <c r="C55" s="50">
        <f>VLOOKUP($A55,'Data shares'!$C:$FB,10)*100</f>
        <v>3.0700000000000003</v>
      </c>
      <c r="D55" s="49">
        <f>VLOOKUP($A55,'Data shares'!$C:$FB,66)</f>
        <v>15572600</v>
      </c>
      <c r="E55" s="49">
        <f>VLOOKUP($A55,'Data shares'!$C:$FB,67)</f>
        <v>18453200</v>
      </c>
      <c r="F55" s="50">
        <f>VLOOKUP($A55,'Data shares'!$C:$FB,69)*100</f>
        <v>-15.61</v>
      </c>
      <c r="G55" s="49">
        <f>VLOOKUP($A55,'Data shares'!$C:$FB,42)</f>
        <v>2903200</v>
      </c>
      <c r="H55" s="49">
        <f>VLOOKUP($A55,'Data shares'!$C:$FB,43)</f>
        <v>3371800</v>
      </c>
      <c r="I55" s="50">
        <f>VLOOKUP($A55,'Data shares'!$C:$FB,45)*100</f>
        <v>-13.900000000000002</v>
      </c>
      <c r="J55" s="49">
        <f>VLOOKUP($A55,'Data shares'!$C:$FB,58)</f>
        <v>8645200</v>
      </c>
      <c r="K55" s="49">
        <f>VLOOKUP($A55,'Data shares'!$C:$FB,59)</f>
        <v>11395400</v>
      </c>
      <c r="L55" s="50">
        <f>VLOOKUP($A55,'Data shares'!$C:$FB,61)*100</f>
        <v>-24.13</v>
      </c>
      <c r="M55" s="49">
        <f>VLOOKUP($A55,'Data shares'!$C:$FB,62)</f>
        <v>4024200</v>
      </c>
      <c r="N55" s="49">
        <f>VLOOKUP($A55,'Data shares'!$C:$FB,63)</f>
        <v>3686000</v>
      </c>
      <c r="O55" s="140">
        <f>VLOOKUP($A55,'Data shares'!$C:$FB,65)*100</f>
        <v>9.1800000000000015</v>
      </c>
    </row>
    <row r="56" spans="1:15" x14ac:dyDescent="0.25">
      <c r="A56" s="101" t="str">
        <f>'Data shares'!C51</f>
        <v>CYIENT</v>
      </c>
      <c r="B56" s="50">
        <f>VLOOKUP($A56,'Data shares'!$C:$FB,7)</f>
        <v>1208.0999999999999</v>
      </c>
      <c r="C56" s="50">
        <f>VLOOKUP($A56,'Data shares'!$C:$FB,10)*100</f>
        <v>1.9</v>
      </c>
      <c r="D56" s="49">
        <f>VLOOKUP($A56,'Data shares'!$C:$FB,66)</f>
        <v>7359300</v>
      </c>
      <c r="E56" s="49">
        <f>VLOOKUP($A56,'Data shares'!$C:$FB,67)</f>
        <v>8118775</v>
      </c>
      <c r="F56" s="50">
        <f>VLOOKUP($A56,'Data shares'!$C:$FB,69)*100</f>
        <v>-9.35</v>
      </c>
      <c r="G56" s="49">
        <f>VLOOKUP($A56,'Data shares'!$C:$FB,42)</f>
        <v>3126725</v>
      </c>
      <c r="H56" s="49">
        <f>VLOOKUP($A56,'Data shares'!$C:$FB,43)</f>
        <v>3804175</v>
      </c>
      <c r="I56" s="50">
        <f>VLOOKUP($A56,'Data shares'!$C:$FB,45)*100</f>
        <v>-17.810000000000002</v>
      </c>
      <c r="J56" s="49">
        <f>VLOOKUP($A56,'Data shares'!$C:$FB,58)</f>
        <v>2841975</v>
      </c>
      <c r="K56" s="49">
        <f>VLOOKUP($A56,'Data shares'!$C:$FB,59)</f>
        <v>2756550</v>
      </c>
      <c r="L56" s="50">
        <f>VLOOKUP($A56,'Data shares'!$C:$FB,61)*100</f>
        <v>3.1</v>
      </c>
      <c r="M56" s="49">
        <f>VLOOKUP($A56,'Data shares'!$C:$FB,62)</f>
        <v>1390600</v>
      </c>
      <c r="N56" s="49">
        <f>VLOOKUP($A56,'Data shares'!$C:$FB,63)</f>
        <v>1558050</v>
      </c>
      <c r="O56" s="140">
        <f>VLOOKUP($A56,'Data shares'!$C:$FB,65)*100</f>
        <v>-10.75</v>
      </c>
    </row>
    <row r="57" spans="1:15" x14ac:dyDescent="0.25">
      <c r="A57" s="101" t="str">
        <f>'Data shares'!C52</f>
        <v>DABUR</v>
      </c>
      <c r="B57" s="50">
        <f>VLOOKUP($A57,'Data shares'!$C:$FB,7)</f>
        <v>507.05</v>
      </c>
      <c r="C57" s="50">
        <f>VLOOKUP($A57,'Data shares'!$C:$FB,10)*100</f>
        <v>-0.27999999999999997</v>
      </c>
      <c r="D57" s="49">
        <f>VLOOKUP($A57,'Data shares'!$C:$FB,66)</f>
        <v>35391250</v>
      </c>
      <c r="E57" s="49">
        <f>VLOOKUP($A57,'Data shares'!$C:$FB,67)</f>
        <v>48838750</v>
      </c>
      <c r="F57" s="50">
        <f>VLOOKUP($A57,'Data shares'!$C:$FB,69)*100</f>
        <v>-27.529999999999998</v>
      </c>
      <c r="G57" s="49">
        <f>VLOOKUP($A57,'Data shares'!$C:$FB,42)</f>
        <v>16651250</v>
      </c>
      <c r="H57" s="49">
        <f>VLOOKUP($A57,'Data shares'!$C:$FB,43)</f>
        <v>17721250</v>
      </c>
      <c r="I57" s="50">
        <f>VLOOKUP($A57,'Data shares'!$C:$FB,45)*100</f>
        <v>-6.04</v>
      </c>
      <c r="J57" s="49">
        <f>VLOOKUP($A57,'Data shares'!$C:$FB,58)</f>
        <v>12283750</v>
      </c>
      <c r="K57" s="49">
        <f>VLOOKUP($A57,'Data shares'!$C:$FB,59)</f>
        <v>16907500</v>
      </c>
      <c r="L57" s="50">
        <f>VLOOKUP($A57,'Data shares'!$C:$FB,61)*100</f>
        <v>-27.35</v>
      </c>
      <c r="M57" s="49">
        <f>VLOOKUP($A57,'Data shares'!$C:$FB,62)</f>
        <v>6456250</v>
      </c>
      <c r="N57" s="49">
        <f>VLOOKUP($A57,'Data shares'!$C:$FB,63)</f>
        <v>14210000</v>
      </c>
      <c r="O57" s="140">
        <f>VLOOKUP($A57,'Data shares'!$C:$FB,65)*100</f>
        <v>-54.569999999999993</v>
      </c>
    </row>
    <row r="58" spans="1:15" x14ac:dyDescent="0.25">
      <c r="A58" s="101" t="str">
        <f>'Data shares'!C53</f>
        <v>DALBHARAT</v>
      </c>
      <c r="B58" s="50">
        <f>VLOOKUP($A58,'Data shares'!$C:$FB,7)</f>
        <v>2093.1999999999998</v>
      </c>
      <c r="C58" s="50">
        <f>VLOOKUP($A58,'Data shares'!$C:$FB,10)*100</f>
        <v>-0.25</v>
      </c>
      <c r="D58" s="49">
        <f>VLOOKUP($A58,'Data shares'!$C:$FB,66)</f>
        <v>4352725</v>
      </c>
      <c r="E58" s="49">
        <f>VLOOKUP($A58,'Data shares'!$C:$FB,67)</f>
        <v>6608225</v>
      </c>
      <c r="F58" s="50">
        <f>VLOOKUP($A58,'Data shares'!$C:$FB,69)*100</f>
        <v>-34.130000000000003</v>
      </c>
      <c r="G58" s="49">
        <f>VLOOKUP($A58,'Data shares'!$C:$FB,42)</f>
        <v>2172950</v>
      </c>
      <c r="H58" s="49">
        <f>VLOOKUP($A58,'Data shares'!$C:$FB,43)</f>
        <v>1957800</v>
      </c>
      <c r="I58" s="50">
        <f>VLOOKUP($A58,'Data shares'!$C:$FB,45)*100</f>
        <v>10.99</v>
      </c>
      <c r="J58" s="49">
        <f>VLOOKUP($A58,'Data shares'!$C:$FB,58)</f>
        <v>1599650</v>
      </c>
      <c r="K58" s="49">
        <f>VLOOKUP($A58,'Data shares'!$C:$FB,59)</f>
        <v>3392025</v>
      </c>
      <c r="L58" s="50">
        <f>VLOOKUP($A58,'Data shares'!$C:$FB,61)*100</f>
        <v>-52.839999999999996</v>
      </c>
      <c r="M58" s="49">
        <f>VLOOKUP($A58,'Data shares'!$C:$FB,62)</f>
        <v>580125</v>
      </c>
      <c r="N58" s="49">
        <f>VLOOKUP($A58,'Data shares'!$C:$FB,63)</f>
        <v>1258400</v>
      </c>
      <c r="O58" s="140">
        <f>VLOOKUP($A58,'Data shares'!$C:$FB,65)*100</f>
        <v>-53.900000000000006</v>
      </c>
    </row>
    <row r="59" spans="1:15" x14ac:dyDescent="0.25">
      <c r="A59" s="101" t="str">
        <f>'Data shares'!C54</f>
        <v>DELHIVERY</v>
      </c>
      <c r="B59" s="50">
        <f>VLOOKUP($A59,'Data shares'!$C:$FB,7)</f>
        <v>473</v>
      </c>
      <c r="C59" s="50">
        <f>VLOOKUP($A59,'Data shares'!$C:$FB,10)*100</f>
        <v>1.31</v>
      </c>
      <c r="D59" s="49">
        <f>VLOOKUP($A59,'Data shares'!$C:$FB,66)</f>
        <v>29848875</v>
      </c>
      <c r="E59" s="49">
        <f>VLOOKUP($A59,'Data shares'!$C:$FB,67)</f>
        <v>43581225</v>
      </c>
      <c r="F59" s="50">
        <f>VLOOKUP($A59,'Data shares'!$C:$FB,69)*100</f>
        <v>-31.509999999999998</v>
      </c>
      <c r="G59" s="49">
        <f>VLOOKUP($A59,'Data shares'!$C:$FB,42)</f>
        <v>15608150</v>
      </c>
      <c r="H59" s="49">
        <f>VLOOKUP($A59,'Data shares'!$C:$FB,43)</f>
        <v>16929925</v>
      </c>
      <c r="I59" s="50">
        <f>VLOOKUP($A59,'Data shares'!$C:$FB,45)*100</f>
        <v>-7.8100000000000005</v>
      </c>
      <c r="J59" s="49">
        <f>VLOOKUP($A59,'Data shares'!$C:$FB,58)</f>
        <v>9246200</v>
      </c>
      <c r="K59" s="49">
        <f>VLOOKUP($A59,'Data shares'!$C:$FB,59)</f>
        <v>14487650</v>
      </c>
      <c r="L59" s="50">
        <f>VLOOKUP($A59,'Data shares'!$C:$FB,61)*100</f>
        <v>-36.18</v>
      </c>
      <c r="M59" s="49">
        <f>VLOOKUP($A59,'Data shares'!$C:$FB,62)</f>
        <v>4994525</v>
      </c>
      <c r="N59" s="49">
        <f>VLOOKUP($A59,'Data shares'!$C:$FB,63)</f>
        <v>12163650</v>
      </c>
      <c r="O59" s="140">
        <f>VLOOKUP($A59,'Data shares'!$C:$FB,65)*100</f>
        <v>-58.940000000000005</v>
      </c>
    </row>
    <row r="60" spans="1:15" x14ac:dyDescent="0.25">
      <c r="A60" s="101" t="str">
        <f>'Data shares'!C55</f>
        <v>DIVISLAB</v>
      </c>
      <c r="B60" s="50">
        <f>VLOOKUP($A60,'Data shares'!$C:$FB,7)</f>
        <v>6490</v>
      </c>
      <c r="C60" s="50">
        <f>VLOOKUP($A60,'Data shares'!$C:$FB,10)*100</f>
        <v>-1.5599999999999998</v>
      </c>
      <c r="D60" s="49">
        <f>VLOOKUP($A60,'Data shares'!$C:$FB,66)</f>
        <v>6424300</v>
      </c>
      <c r="E60" s="49">
        <f>VLOOKUP($A60,'Data shares'!$C:$FB,67)</f>
        <v>4571200</v>
      </c>
      <c r="F60" s="50">
        <f>VLOOKUP($A60,'Data shares'!$C:$FB,69)*100</f>
        <v>40.54</v>
      </c>
      <c r="G60" s="49">
        <f>VLOOKUP($A60,'Data shares'!$C:$FB,42)</f>
        <v>1888600</v>
      </c>
      <c r="H60" s="49">
        <f>VLOOKUP($A60,'Data shares'!$C:$FB,43)</f>
        <v>2041000</v>
      </c>
      <c r="I60" s="50">
        <f>VLOOKUP($A60,'Data shares'!$C:$FB,45)*100</f>
        <v>-7.4700000000000006</v>
      </c>
      <c r="J60" s="49">
        <f>VLOOKUP($A60,'Data shares'!$C:$FB,58)</f>
        <v>2494400</v>
      </c>
      <c r="K60" s="49">
        <f>VLOOKUP($A60,'Data shares'!$C:$FB,59)</f>
        <v>1375900</v>
      </c>
      <c r="L60" s="50">
        <f>VLOOKUP($A60,'Data shares'!$C:$FB,61)*100</f>
        <v>81.289999999999992</v>
      </c>
      <c r="M60" s="49">
        <f>VLOOKUP($A60,'Data shares'!$C:$FB,62)</f>
        <v>2041300</v>
      </c>
      <c r="N60" s="49">
        <f>VLOOKUP($A60,'Data shares'!$C:$FB,63)</f>
        <v>1154300</v>
      </c>
      <c r="O60" s="140">
        <f>VLOOKUP($A60,'Data shares'!$C:$FB,65)*100</f>
        <v>76.84</v>
      </c>
    </row>
    <row r="61" spans="1:15" x14ac:dyDescent="0.25">
      <c r="A61" s="101" t="str">
        <f>'Data shares'!C56</f>
        <v>DIXON</v>
      </c>
      <c r="B61" s="50">
        <f>VLOOKUP($A61,'Data shares'!$C:$FB,7)</f>
        <v>15505</v>
      </c>
      <c r="C61" s="50">
        <f>VLOOKUP($A61,'Data shares'!$C:$FB,10)*100</f>
        <v>0.1</v>
      </c>
      <c r="D61" s="49">
        <f>VLOOKUP($A61,'Data shares'!$C:$FB,66)</f>
        <v>10705200</v>
      </c>
      <c r="E61" s="49">
        <f>VLOOKUP($A61,'Data shares'!$C:$FB,67)</f>
        <v>13493150</v>
      </c>
      <c r="F61" s="50">
        <f>VLOOKUP($A61,'Data shares'!$C:$FB,69)*100</f>
        <v>-20.66</v>
      </c>
      <c r="G61" s="49">
        <f>VLOOKUP($A61,'Data shares'!$C:$FB,42)</f>
        <v>1076750</v>
      </c>
      <c r="H61" s="49">
        <f>VLOOKUP($A61,'Data shares'!$C:$FB,43)</f>
        <v>1301700</v>
      </c>
      <c r="I61" s="50">
        <f>VLOOKUP($A61,'Data shares'!$C:$FB,45)*100</f>
        <v>-17.28</v>
      </c>
      <c r="J61" s="49">
        <f>VLOOKUP($A61,'Data shares'!$C:$FB,58)</f>
        <v>6554750</v>
      </c>
      <c r="K61" s="49">
        <f>VLOOKUP($A61,'Data shares'!$C:$FB,59)</f>
        <v>7455550</v>
      </c>
      <c r="L61" s="50">
        <f>VLOOKUP($A61,'Data shares'!$C:$FB,61)*100</f>
        <v>-12.08</v>
      </c>
      <c r="M61" s="49">
        <f>VLOOKUP($A61,'Data shares'!$C:$FB,62)</f>
        <v>3073700</v>
      </c>
      <c r="N61" s="49">
        <f>VLOOKUP($A61,'Data shares'!$C:$FB,63)</f>
        <v>4735900</v>
      </c>
      <c r="O61" s="140">
        <f>VLOOKUP($A61,'Data shares'!$C:$FB,65)*100</f>
        <v>-35.099999999999994</v>
      </c>
    </row>
    <row r="62" spans="1:15" x14ac:dyDescent="0.25">
      <c r="A62" s="101" t="str">
        <f>'Data shares'!C57</f>
        <v>DLF</v>
      </c>
      <c r="B62" s="50">
        <f>VLOOKUP($A62,'Data shares'!$C:$FB,7)</f>
        <v>779.5</v>
      </c>
      <c r="C62" s="50">
        <f>VLOOKUP($A62,'Data shares'!$C:$FB,10)*100</f>
        <v>0.91</v>
      </c>
      <c r="D62" s="49">
        <f>VLOOKUP($A62,'Data shares'!$C:$FB,66)</f>
        <v>70231425</v>
      </c>
      <c r="E62" s="49">
        <f>VLOOKUP($A62,'Data shares'!$C:$FB,67)</f>
        <v>47695725</v>
      </c>
      <c r="F62" s="50">
        <f>VLOOKUP($A62,'Data shares'!$C:$FB,69)*100</f>
        <v>47.25</v>
      </c>
      <c r="G62" s="49">
        <f>VLOOKUP($A62,'Data shares'!$C:$FB,42)</f>
        <v>26341425</v>
      </c>
      <c r="H62" s="49">
        <f>VLOOKUP($A62,'Data shares'!$C:$FB,43)</f>
        <v>24241800</v>
      </c>
      <c r="I62" s="50">
        <f>VLOOKUP($A62,'Data shares'!$C:$FB,45)*100</f>
        <v>8.66</v>
      </c>
      <c r="J62" s="49">
        <f>VLOOKUP($A62,'Data shares'!$C:$FB,58)</f>
        <v>26899125</v>
      </c>
      <c r="K62" s="49">
        <f>VLOOKUP($A62,'Data shares'!$C:$FB,59)</f>
        <v>14416050</v>
      </c>
      <c r="L62" s="50">
        <f>VLOOKUP($A62,'Data shares'!$C:$FB,61)*100</f>
        <v>86.59</v>
      </c>
      <c r="M62" s="49">
        <f>VLOOKUP($A62,'Data shares'!$C:$FB,62)</f>
        <v>16990875</v>
      </c>
      <c r="N62" s="49">
        <f>VLOOKUP($A62,'Data shares'!$C:$FB,63)</f>
        <v>9037875</v>
      </c>
      <c r="O62" s="140">
        <f>VLOOKUP($A62,'Data shares'!$C:$FB,65)*100</f>
        <v>88</v>
      </c>
    </row>
    <row r="63" spans="1:15" x14ac:dyDescent="0.25">
      <c r="A63" s="101" t="str">
        <f>'Data shares'!C58</f>
        <v>DMART</v>
      </c>
      <c r="B63" s="50">
        <f>VLOOKUP($A63,'Data shares'!$C:$FB,7)</f>
        <v>4257.8999999999996</v>
      </c>
      <c r="C63" s="50">
        <f>VLOOKUP($A63,'Data shares'!$C:$FB,10)*100</f>
        <v>1.04</v>
      </c>
      <c r="D63" s="49">
        <f>VLOOKUP($A63,'Data shares'!$C:$FB,66)</f>
        <v>10474050</v>
      </c>
      <c r="E63" s="49">
        <f>VLOOKUP($A63,'Data shares'!$C:$FB,67)</f>
        <v>11185650</v>
      </c>
      <c r="F63" s="50">
        <f>VLOOKUP($A63,'Data shares'!$C:$FB,69)*100</f>
        <v>-6.36</v>
      </c>
      <c r="G63" s="49">
        <f>VLOOKUP($A63,'Data shares'!$C:$FB,42)</f>
        <v>4926600</v>
      </c>
      <c r="H63" s="49">
        <f>VLOOKUP($A63,'Data shares'!$C:$FB,43)</f>
        <v>5567850</v>
      </c>
      <c r="I63" s="50">
        <f>VLOOKUP($A63,'Data shares'!$C:$FB,45)*100</f>
        <v>-11.52</v>
      </c>
      <c r="J63" s="49">
        <f>VLOOKUP($A63,'Data shares'!$C:$FB,58)</f>
        <v>4092150</v>
      </c>
      <c r="K63" s="49">
        <f>VLOOKUP($A63,'Data shares'!$C:$FB,59)</f>
        <v>4316550</v>
      </c>
      <c r="L63" s="50">
        <f>VLOOKUP($A63,'Data shares'!$C:$FB,61)*100</f>
        <v>-5.2</v>
      </c>
      <c r="M63" s="49">
        <f>VLOOKUP($A63,'Data shares'!$C:$FB,62)</f>
        <v>1455300</v>
      </c>
      <c r="N63" s="49">
        <f>VLOOKUP($A63,'Data shares'!$C:$FB,63)</f>
        <v>1301250</v>
      </c>
      <c r="O63" s="140">
        <f>VLOOKUP($A63,'Data shares'!$C:$FB,65)*100</f>
        <v>11.84</v>
      </c>
    </row>
    <row r="64" spans="1:15" x14ac:dyDescent="0.25">
      <c r="A64" s="101" t="str">
        <f>'Data shares'!C59</f>
        <v>DRREDDY</v>
      </c>
      <c r="B64" s="50">
        <f>VLOOKUP($A64,'Data shares'!$C:$FB,7)</f>
        <v>1284.3</v>
      </c>
      <c r="C64" s="50">
        <f>VLOOKUP($A64,'Data shares'!$C:$FB,10)*100</f>
        <v>0.05</v>
      </c>
      <c r="D64" s="49">
        <f>VLOOKUP($A64,'Data shares'!$C:$FB,66)</f>
        <v>50278750</v>
      </c>
      <c r="E64" s="49">
        <f>VLOOKUP($A64,'Data shares'!$C:$FB,67)</f>
        <v>34645625</v>
      </c>
      <c r="F64" s="50">
        <f>VLOOKUP($A64,'Data shares'!$C:$FB,69)*100</f>
        <v>45.12</v>
      </c>
      <c r="G64" s="49">
        <f>VLOOKUP($A64,'Data shares'!$C:$FB,42)</f>
        <v>12376875</v>
      </c>
      <c r="H64" s="49">
        <f>VLOOKUP($A64,'Data shares'!$C:$FB,43)</f>
        <v>10246875</v>
      </c>
      <c r="I64" s="50">
        <f>VLOOKUP($A64,'Data shares'!$C:$FB,45)*100</f>
        <v>20.79</v>
      </c>
      <c r="J64" s="49">
        <f>VLOOKUP($A64,'Data shares'!$C:$FB,58)</f>
        <v>23886250</v>
      </c>
      <c r="K64" s="49">
        <f>VLOOKUP($A64,'Data shares'!$C:$FB,59)</f>
        <v>15947500</v>
      </c>
      <c r="L64" s="50">
        <f>VLOOKUP($A64,'Data shares'!$C:$FB,61)*100</f>
        <v>49.78</v>
      </c>
      <c r="M64" s="49">
        <f>VLOOKUP($A64,'Data shares'!$C:$FB,62)</f>
        <v>14015625</v>
      </c>
      <c r="N64" s="49">
        <f>VLOOKUP($A64,'Data shares'!$C:$FB,63)</f>
        <v>8451250</v>
      </c>
      <c r="O64" s="140">
        <f>VLOOKUP($A64,'Data shares'!$C:$FB,65)*100</f>
        <v>65.84</v>
      </c>
    </row>
    <row r="65" spans="1:15" x14ac:dyDescent="0.25">
      <c r="A65" s="101" t="str">
        <f>'Data shares'!C60</f>
        <v>EICHERMOT</v>
      </c>
      <c r="B65" s="50">
        <f>VLOOKUP($A65,'Data shares'!$C:$FB,7)</f>
        <v>6906.5</v>
      </c>
      <c r="C65" s="50">
        <f>VLOOKUP($A65,'Data shares'!$C:$FB,10)*100</f>
        <v>0.97</v>
      </c>
      <c r="D65" s="49">
        <f>VLOOKUP($A65,'Data shares'!$C:$FB,66)</f>
        <v>6211625</v>
      </c>
      <c r="E65" s="49">
        <f>VLOOKUP($A65,'Data shares'!$C:$FB,67)</f>
        <v>8393525</v>
      </c>
      <c r="F65" s="50">
        <f>VLOOKUP($A65,'Data shares'!$C:$FB,69)*100</f>
        <v>-26</v>
      </c>
      <c r="G65" s="49">
        <f>VLOOKUP($A65,'Data shares'!$C:$FB,42)</f>
        <v>2895900</v>
      </c>
      <c r="H65" s="49">
        <f>VLOOKUP($A65,'Data shares'!$C:$FB,43)</f>
        <v>2316650</v>
      </c>
      <c r="I65" s="50">
        <f>VLOOKUP($A65,'Data shares'!$C:$FB,45)*100</f>
        <v>25</v>
      </c>
      <c r="J65" s="49">
        <f>VLOOKUP($A65,'Data shares'!$C:$FB,58)</f>
        <v>2286725</v>
      </c>
      <c r="K65" s="49">
        <f>VLOOKUP($A65,'Data shares'!$C:$FB,59)</f>
        <v>3599750</v>
      </c>
      <c r="L65" s="50">
        <f>VLOOKUP($A65,'Data shares'!$C:$FB,61)*100</f>
        <v>-36.480000000000004</v>
      </c>
      <c r="M65" s="49">
        <f>VLOOKUP($A65,'Data shares'!$C:$FB,62)</f>
        <v>1029000</v>
      </c>
      <c r="N65" s="49">
        <f>VLOOKUP($A65,'Data shares'!$C:$FB,63)</f>
        <v>2477125</v>
      </c>
      <c r="O65" s="140">
        <f>VLOOKUP($A65,'Data shares'!$C:$FB,65)*100</f>
        <v>-58.46</v>
      </c>
    </row>
    <row r="66" spans="1:15" x14ac:dyDescent="0.25">
      <c r="A66" s="101" t="str">
        <f>'Data shares'!C61</f>
        <v>ETERNAL</v>
      </c>
      <c r="B66" s="50">
        <f>VLOOKUP($A66,'Data shares'!$C:$FB,7)</f>
        <v>333.7</v>
      </c>
      <c r="C66" s="50">
        <f>VLOOKUP($A66,'Data shares'!$C:$FB,10)*100</f>
        <v>2.17</v>
      </c>
      <c r="D66" s="49">
        <f>VLOOKUP($A66,'Data shares'!$C:$FB,66)</f>
        <v>303580900</v>
      </c>
      <c r="E66" s="49">
        <f>VLOOKUP($A66,'Data shares'!$C:$FB,67)</f>
        <v>362535075</v>
      </c>
      <c r="F66" s="50">
        <f>VLOOKUP($A66,'Data shares'!$C:$FB,69)*100</f>
        <v>-16.259999999999998</v>
      </c>
      <c r="G66" s="49">
        <f>VLOOKUP($A66,'Data shares'!$C:$FB,42)</f>
        <v>114021075</v>
      </c>
      <c r="H66" s="49">
        <f>VLOOKUP($A66,'Data shares'!$C:$FB,43)</f>
        <v>184661325</v>
      </c>
      <c r="I66" s="50">
        <f>VLOOKUP($A66,'Data shares'!$C:$FB,45)*100</f>
        <v>-38.25</v>
      </c>
      <c r="J66" s="49">
        <f>VLOOKUP($A66,'Data shares'!$C:$FB,58)</f>
        <v>128287350</v>
      </c>
      <c r="K66" s="49">
        <f>VLOOKUP($A66,'Data shares'!$C:$FB,59)</f>
        <v>118070825</v>
      </c>
      <c r="L66" s="50">
        <f>VLOOKUP($A66,'Data shares'!$C:$FB,61)*100</f>
        <v>8.6499999999999986</v>
      </c>
      <c r="M66" s="49">
        <f>VLOOKUP($A66,'Data shares'!$C:$FB,62)</f>
        <v>61272475</v>
      </c>
      <c r="N66" s="49">
        <f>VLOOKUP($A66,'Data shares'!$C:$FB,63)</f>
        <v>59802925</v>
      </c>
      <c r="O66" s="140">
        <f>VLOOKUP($A66,'Data shares'!$C:$FB,65)*100</f>
        <v>2.46</v>
      </c>
    </row>
    <row r="67" spans="1:15" x14ac:dyDescent="0.25">
      <c r="A67" s="101" t="str">
        <f>'Data shares'!C62</f>
        <v>EXIDEIND</v>
      </c>
      <c r="B67" s="50">
        <f>VLOOKUP($A67,'Data shares'!$C:$FB,7)</f>
        <v>379.95</v>
      </c>
      <c r="C67" s="50">
        <f>VLOOKUP($A67,'Data shares'!$C:$FB,10)*100</f>
        <v>-2.25</v>
      </c>
      <c r="D67" s="49">
        <f>VLOOKUP($A67,'Data shares'!$C:$FB,66)</f>
        <v>78134400</v>
      </c>
      <c r="E67" s="49">
        <f>VLOOKUP($A67,'Data shares'!$C:$FB,67)</f>
        <v>54405000</v>
      </c>
      <c r="F67" s="50">
        <f>VLOOKUP($A67,'Data shares'!$C:$FB,69)*100</f>
        <v>43.62</v>
      </c>
      <c r="G67" s="49">
        <f>VLOOKUP($A67,'Data shares'!$C:$FB,42)</f>
        <v>28647000</v>
      </c>
      <c r="H67" s="49">
        <f>VLOOKUP($A67,'Data shares'!$C:$FB,43)</f>
        <v>21234600</v>
      </c>
      <c r="I67" s="50">
        <f>VLOOKUP($A67,'Data shares'!$C:$FB,45)*100</f>
        <v>34.910000000000004</v>
      </c>
      <c r="J67" s="49">
        <f>VLOOKUP($A67,'Data shares'!$C:$FB,58)</f>
        <v>27874800</v>
      </c>
      <c r="K67" s="49">
        <f>VLOOKUP($A67,'Data shares'!$C:$FB,59)</f>
        <v>19650600</v>
      </c>
      <c r="L67" s="50">
        <f>VLOOKUP($A67,'Data shares'!$C:$FB,61)*100</f>
        <v>41.85</v>
      </c>
      <c r="M67" s="49">
        <f>VLOOKUP($A67,'Data shares'!$C:$FB,62)</f>
        <v>21612600</v>
      </c>
      <c r="N67" s="49">
        <f>VLOOKUP($A67,'Data shares'!$C:$FB,63)</f>
        <v>13519800</v>
      </c>
      <c r="O67" s="140">
        <f>VLOOKUP($A67,'Data shares'!$C:$FB,65)*100</f>
        <v>59.86</v>
      </c>
    </row>
    <row r="68" spans="1:15" x14ac:dyDescent="0.25">
      <c r="A68" s="101" t="str">
        <f>'Data shares'!C63</f>
        <v>FEDERALBNK</v>
      </c>
      <c r="B68" s="50">
        <f>VLOOKUP($A68,'Data shares'!$C:$FB,7)</f>
        <v>234.04</v>
      </c>
      <c r="C68" s="50">
        <f>VLOOKUP($A68,'Data shares'!$C:$FB,10)*100</f>
        <v>2.92</v>
      </c>
      <c r="D68" s="49">
        <f>VLOOKUP($A68,'Data shares'!$C:$FB,66)</f>
        <v>446705000</v>
      </c>
      <c r="E68" s="49">
        <f>VLOOKUP($A68,'Data shares'!$C:$FB,67)</f>
        <v>511195000</v>
      </c>
      <c r="F68" s="50">
        <f>VLOOKUP($A68,'Data shares'!$C:$FB,69)*100</f>
        <v>-12.620000000000001</v>
      </c>
      <c r="G68" s="49">
        <f>VLOOKUP($A68,'Data shares'!$C:$FB,42)</f>
        <v>96775000</v>
      </c>
      <c r="H68" s="49">
        <f>VLOOKUP($A68,'Data shares'!$C:$FB,43)</f>
        <v>137210000</v>
      </c>
      <c r="I68" s="50">
        <f>VLOOKUP($A68,'Data shares'!$C:$FB,45)*100</f>
        <v>-29.470000000000002</v>
      </c>
      <c r="J68" s="49">
        <f>VLOOKUP($A68,'Data shares'!$C:$FB,58)</f>
        <v>229605000</v>
      </c>
      <c r="K68" s="49">
        <f>VLOOKUP($A68,'Data shares'!$C:$FB,59)</f>
        <v>240020000</v>
      </c>
      <c r="L68" s="50">
        <f>VLOOKUP($A68,'Data shares'!$C:$FB,61)*100</f>
        <v>-4.34</v>
      </c>
      <c r="M68" s="49">
        <f>VLOOKUP($A68,'Data shares'!$C:$FB,62)</f>
        <v>120325000</v>
      </c>
      <c r="N68" s="49">
        <f>VLOOKUP($A68,'Data shares'!$C:$FB,63)</f>
        <v>133965000</v>
      </c>
      <c r="O68" s="140">
        <f>VLOOKUP($A68,'Data shares'!$C:$FB,65)*100</f>
        <v>-10.18</v>
      </c>
    </row>
    <row r="69" spans="1:15" x14ac:dyDescent="0.25">
      <c r="A69" s="101" t="str">
        <f>'Data shares'!C64</f>
        <v>FINNIFTY</v>
      </c>
      <c r="B69" s="50">
        <f>VLOOKUP($A69,'Data shares'!$C:$FB,7)</f>
        <v>27519</v>
      </c>
      <c r="C69" s="50">
        <f>VLOOKUP($A69,'Data shares'!$C:$FB,10)*100</f>
        <v>0.44999999999999996</v>
      </c>
      <c r="D69" s="49">
        <f>VLOOKUP($A69,'Data shares'!$C:$FB,66)</f>
        <v>47920535</v>
      </c>
      <c r="E69" s="49">
        <f>VLOOKUP($A69,'Data shares'!$C:$FB,67)</f>
        <v>29004495</v>
      </c>
      <c r="F69" s="50">
        <f>VLOOKUP($A69,'Data shares'!$C:$FB,69)*100</f>
        <v>65.22</v>
      </c>
      <c r="G69" s="49">
        <f>VLOOKUP($A69,'Data shares'!$C:$FB,42)</f>
        <v>55575</v>
      </c>
      <c r="H69" s="49">
        <f>VLOOKUP($A69,'Data shares'!$C:$FB,43)</f>
        <v>35750</v>
      </c>
      <c r="I69" s="50">
        <f>VLOOKUP($A69,'Data shares'!$C:$FB,45)*100</f>
        <v>55.45</v>
      </c>
      <c r="J69" s="49">
        <f>VLOOKUP($A69,'Data shares'!$C:$FB,58)</f>
        <v>23407280</v>
      </c>
      <c r="K69" s="49">
        <f>VLOOKUP($A69,'Data shares'!$C:$FB,59)</f>
        <v>14389050</v>
      </c>
      <c r="L69" s="50">
        <f>VLOOKUP($A69,'Data shares'!$C:$FB,61)*100</f>
        <v>62.67</v>
      </c>
      <c r="M69" s="49">
        <f>VLOOKUP($A69,'Data shares'!$C:$FB,62)</f>
        <v>24457680</v>
      </c>
      <c r="N69" s="49">
        <f>VLOOKUP($A69,'Data shares'!$C:$FB,63)</f>
        <v>14579695</v>
      </c>
      <c r="O69" s="140">
        <f>VLOOKUP($A69,'Data shares'!$C:$FB,65)*100</f>
        <v>67.75</v>
      </c>
    </row>
    <row r="70" spans="1:15" x14ac:dyDescent="0.25">
      <c r="A70" s="101" t="str">
        <f>'Data shares'!C65</f>
        <v>FORTIS</v>
      </c>
      <c r="B70" s="50">
        <f>VLOOKUP($A70,'Data shares'!$C:$FB,7)</f>
        <v>1052.55</v>
      </c>
      <c r="C70" s="50">
        <f>VLOOKUP($A70,'Data shares'!$C:$FB,10)*100</f>
        <v>1.47</v>
      </c>
      <c r="D70" s="49">
        <f>VLOOKUP($A70,'Data shares'!$C:$FB,66)</f>
        <v>16326150</v>
      </c>
      <c r="E70" s="49">
        <f>VLOOKUP($A70,'Data shares'!$C:$FB,67)</f>
        <v>20670025</v>
      </c>
      <c r="F70" s="50">
        <f>VLOOKUP($A70,'Data shares'!$C:$FB,69)*100</f>
        <v>-21.02</v>
      </c>
      <c r="G70" s="49">
        <f>VLOOKUP($A70,'Data shares'!$C:$FB,42)</f>
        <v>6850225</v>
      </c>
      <c r="H70" s="49">
        <f>VLOOKUP($A70,'Data shares'!$C:$FB,43)</f>
        <v>8641250</v>
      </c>
      <c r="I70" s="50">
        <f>VLOOKUP($A70,'Data shares'!$C:$FB,45)*100</f>
        <v>-20.73</v>
      </c>
      <c r="J70" s="49">
        <f>VLOOKUP($A70,'Data shares'!$C:$FB,58)</f>
        <v>5555975</v>
      </c>
      <c r="K70" s="49">
        <f>VLOOKUP($A70,'Data shares'!$C:$FB,59)</f>
        <v>7521375</v>
      </c>
      <c r="L70" s="50">
        <f>VLOOKUP($A70,'Data shares'!$C:$FB,61)*100</f>
        <v>-26.13</v>
      </c>
      <c r="M70" s="49">
        <f>VLOOKUP($A70,'Data shares'!$C:$FB,62)</f>
        <v>3919950</v>
      </c>
      <c r="N70" s="49">
        <f>VLOOKUP($A70,'Data shares'!$C:$FB,63)</f>
        <v>4507400</v>
      </c>
      <c r="O70" s="140">
        <f>VLOOKUP($A70,'Data shares'!$C:$FB,65)*100</f>
        <v>-13.03</v>
      </c>
    </row>
    <row r="71" spans="1:15" x14ac:dyDescent="0.25">
      <c r="A71" s="101" t="str">
        <f>'Data shares'!C66</f>
        <v>GAIL</v>
      </c>
      <c r="B71" s="50">
        <f>VLOOKUP($A71,'Data shares'!$C:$FB,7)</f>
        <v>180.17</v>
      </c>
      <c r="C71" s="50">
        <f>VLOOKUP($A71,'Data shares'!$C:$FB,10)*100</f>
        <v>-0.47000000000000003</v>
      </c>
      <c r="D71" s="49">
        <f>VLOOKUP($A71,'Data shares'!$C:$FB,66)</f>
        <v>96421500</v>
      </c>
      <c r="E71" s="49">
        <f>VLOOKUP($A71,'Data shares'!$C:$FB,67)</f>
        <v>144455850</v>
      </c>
      <c r="F71" s="50">
        <f>VLOOKUP($A71,'Data shares'!$C:$FB,69)*100</f>
        <v>-33.25</v>
      </c>
      <c r="G71" s="49">
        <f>VLOOKUP($A71,'Data shares'!$C:$FB,42)</f>
        <v>53285400</v>
      </c>
      <c r="H71" s="49">
        <f>VLOOKUP($A71,'Data shares'!$C:$FB,43)</f>
        <v>75278700</v>
      </c>
      <c r="I71" s="50">
        <f>VLOOKUP($A71,'Data shares'!$C:$FB,45)*100</f>
        <v>-29.220000000000002</v>
      </c>
      <c r="J71" s="49">
        <f>VLOOKUP($A71,'Data shares'!$C:$FB,58)</f>
        <v>30047850</v>
      </c>
      <c r="K71" s="49">
        <f>VLOOKUP($A71,'Data shares'!$C:$FB,59)</f>
        <v>46368000</v>
      </c>
      <c r="L71" s="50">
        <f>VLOOKUP($A71,'Data shares'!$C:$FB,61)*100</f>
        <v>-35.199999999999996</v>
      </c>
      <c r="M71" s="49">
        <f>VLOOKUP($A71,'Data shares'!$C:$FB,62)</f>
        <v>13088250</v>
      </c>
      <c r="N71" s="49">
        <f>VLOOKUP($A71,'Data shares'!$C:$FB,63)</f>
        <v>22809150</v>
      </c>
      <c r="O71" s="140">
        <f>VLOOKUP($A71,'Data shares'!$C:$FB,65)*100</f>
        <v>-42.620000000000005</v>
      </c>
    </row>
    <row r="72" spans="1:15" x14ac:dyDescent="0.25">
      <c r="A72" s="101" t="str">
        <f>'Data shares'!C67</f>
        <v>GLENMARK</v>
      </c>
      <c r="B72" s="50">
        <f>VLOOKUP($A72,'Data shares'!$C:$FB,7)</f>
        <v>1812.7</v>
      </c>
      <c r="C72" s="50">
        <f>VLOOKUP($A72,'Data shares'!$C:$FB,10)*100</f>
        <v>-0.33999999999999997</v>
      </c>
      <c r="D72" s="49">
        <f>VLOOKUP($A72,'Data shares'!$C:$FB,66)</f>
        <v>12787500</v>
      </c>
      <c r="E72" s="49">
        <f>VLOOKUP($A72,'Data shares'!$C:$FB,67)</f>
        <v>12862125</v>
      </c>
      <c r="F72" s="50">
        <f>VLOOKUP($A72,'Data shares'!$C:$FB,69)*100</f>
        <v>-0.57999999999999996</v>
      </c>
      <c r="G72" s="49">
        <f>VLOOKUP($A72,'Data shares'!$C:$FB,42)</f>
        <v>6229125</v>
      </c>
      <c r="H72" s="49">
        <f>VLOOKUP($A72,'Data shares'!$C:$FB,43)</f>
        <v>7167750</v>
      </c>
      <c r="I72" s="50">
        <f>VLOOKUP($A72,'Data shares'!$C:$FB,45)*100</f>
        <v>-13.100000000000001</v>
      </c>
      <c r="J72" s="49">
        <f>VLOOKUP($A72,'Data shares'!$C:$FB,58)</f>
        <v>5186625</v>
      </c>
      <c r="K72" s="49">
        <f>VLOOKUP($A72,'Data shares'!$C:$FB,59)</f>
        <v>4090875</v>
      </c>
      <c r="L72" s="50">
        <f>VLOOKUP($A72,'Data shares'!$C:$FB,61)*100</f>
        <v>26.790000000000003</v>
      </c>
      <c r="M72" s="49">
        <f>VLOOKUP($A72,'Data shares'!$C:$FB,62)</f>
        <v>1371750</v>
      </c>
      <c r="N72" s="49">
        <f>VLOOKUP($A72,'Data shares'!$C:$FB,63)</f>
        <v>1603500</v>
      </c>
      <c r="O72" s="140">
        <f>VLOOKUP($A72,'Data shares'!$C:$FB,65)*100</f>
        <v>-14.45</v>
      </c>
    </row>
    <row r="73" spans="1:15" x14ac:dyDescent="0.25">
      <c r="A73" s="101" t="str">
        <f>'Data shares'!C68</f>
        <v>GMRAIRPORT</v>
      </c>
      <c r="B73" s="50">
        <f>VLOOKUP($A73,'Data shares'!$C:$FB,7)</f>
        <v>92.34</v>
      </c>
      <c r="C73" s="50">
        <f>VLOOKUP($A73,'Data shares'!$C:$FB,10)*100</f>
        <v>-0.91999999999999993</v>
      </c>
      <c r="D73" s="49">
        <f>VLOOKUP($A73,'Data shares'!$C:$FB,66)</f>
        <v>195125625</v>
      </c>
      <c r="E73" s="49">
        <f>VLOOKUP($A73,'Data shares'!$C:$FB,67)</f>
        <v>358089525</v>
      </c>
      <c r="F73" s="50">
        <f>VLOOKUP($A73,'Data shares'!$C:$FB,69)*100</f>
        <v>-45.51</v>
      </c>
      <c r="G73" s="49">
        <f>VLOOKUP($A73,'Data shares'!$C:$FB,42)</f>
        <v>111355875</v>
      </c>
      <c r="H73" s="49">
        <f>VLOOKUP($A73,'Data shares'!$C:$FB,43)</f>
        <v>159016050</v>
      </c>
      <c r="I73" s="50">
        <f>VLOOKUP($A73,'Data shares'!$C:$FB,45)*100</f>
        <v>-29.970000000000002</v>
      </c>
      <c r="J73" s="49">
        <f>VLOOKUP($A73,'Data shares'!$C:$FB,58)</f>
        <v>59022450</v>
      </c>
      <c r="K73" s="49">
        <f>VLOOKUP($A73,'Data shares'!$C:$FB,59)</f>
        <v>146802825</v>
      </c>
      <c r="L73" s="50">
        <f>VLOOKUP($A73,'Data shares'!$C:$FB,61)*100</f>
        <v>-59.79</v>
      </c>
      <c r="M73" s="49">
        <f>VLOOKUP($A73,'Data shares'!$C:$FB,62)</f>
        <v>24747300</v>
      </c>
      <c r="N73" s="49">
        <f>VLOOKUP($A73,'Data shares'!$C:$FB,63)</f>
        <v>52270650</v>
      </c>
      <c r="O73" s="140">
        <f>VLOOKUP($A73,'Data shares'!$C:$FB,65)*100</f>
        <v>-52.66</v>
      </c>
    </row>
    <row r="74" spans="1:15" x14ac:dyDescent="0.25">
      <c r="A74" s="101" t="str">
        <f>'Data shares'!C69</f>
        <v>GODREJCP</v>
      </c>
      <c r="B74" s="50">
        <f>VLOOKUP($A74,'Data shares'!$C:$FB,7)</f>
        <v>1124.7</v>
      </c>
      <c r="C74" s="50">
        <f>VLOOKUP($A74,'Data shares'!$C:$FB,10)*100</f>
        <v>-0.5</v>
      </c>
      <c r="D74" s="49">
        <f>VLOOKUP($A74,'Data shares'!$C:$FB,66)</f>
        <v>11890500</v>
      </c>
      <c r="E74" s="49">
        <f>VLOOKUP($A74,'Data shares'!$C:$FB,67)</f>
        <v>14593500</v>
      </c>
      <c r="F74" s="50">
        <f>VLOOKUP($A74,'Data shares'!$C:$FB,69)*100</f>
        <v>-18.52</v>
      </c>
      <c r="G74" s="49">
        <f>VLOOKUP($A74,'Data shares'!$C:$FB,42)</f>
        <v>8167500</v>
      </c>
      <c r="H74" s="49">
        <f>VLOOKUP($A74,'Data shares'!$C:$FB,43)</f>
        <v>9383000</v>
      </c>
      <c r="I74" s="50">
        <f>VLOOKUP($A74,'Data shares'!$C:$FB,45)*100</f>
        <v>-12.950000000000001</v>
      </c>
      <c r="J74" s="49">
        <f>VLOOKUP($A74,'Data shares'!$C:$FB,58)</f>
        <v>2486500</v>
      </c>
      <c r="K74" s="49">
        <f>VLOOKUP($A74,'Data shares'!$C:$FB,59)</f>
        <v>3319500</v>
      </c>
      <c r="L74" s="50">
        <f>VLOOKUP($A74,'Data shares'!$C:$FB,61)*100</f>
        <v>-25.09</v>
      </c>
      <c r="M74" s="49">
        <f>VLOOKUP($A74,'Data shares'!$C:$FB,62)</f>
        <v>1236500</v>
      </c>
      <c r="N74" s="49">
        <f>VLOOKUP($A74,'Data shares'!$C:$FB,63)</f>
        <v>1891000</v>
      </c>
      <c r="O74" s="140">
        <f>VLOOKUP($A74,'Data shares'!$C:$FB,65)*100</f>
        <v>-34.61</v>
      </c>
    </row>
    <row r="75" spans="1:15" x14ac:dyDescent="0.25">
      <c r="A75" s="101" t="str">
        <f>'Data shares'!C70</f>
        <v>GODREJPROP</v>
      </c>
      <c r="B75" s="50">
        <f>VLOOKUP($A75,'Data shares'!$C:$FB,7)</f>
        <v>2320.3000000000002</v>
      </c>
      <c r="C75" s="50">
        <f>VLOOKUP($A75,'Data shares'!$C:$FB,10)*100</f>
        <v>1.4200000000000002</v>
      </c>
      <c r="D75" s="49">
        <f>VLOOKUP($A75,'Data shares'!$C:$FB,66)</f>
        <v>16831100</v>
      </c>
      <c r="E75" s="49">
        <f>VLOOKUP($A75,'Data shares'!$C:$FB,67)</f>
        <v>14378925</v>
      </c>
      <c r="F75" s="50">
        <f>VLOOKUP($A75,'Data shares'!$C:$FB,69)*100</f>
        <v>17.05</v>
      </c>
      <c r="G75" s="49">
        <f>VLOOKUP($A75,'Data shares'!$C:$FB,42)</f>
        <v>5334450</v>
      </c>
      <c r="H75" s="49">
        <f>VLOOKUP($A75,'Data shares'!$C:$FB,43)</f>
        <v>7526750</v>
      </c>
      <c r="I75" s="50">
        <f>VLOOKUP($A75,'Data shares'!$C:$FB,45)*100</f>
        <v>-29.13</v>
      </c>
      <c r="J75" s="49">
        <f>VLOOKUP($A75,'Data shares'!$C:$FB,58)</f>
        <v>7488800</v>
      </c>
      <c r="K75" s="49">
        <f>VLOOKUP($A75,'Data shares'!$C:$FB,59)</f>
        <v>3779050</v>
      </c>
      <c r="L75" s="50">
        <f>VLOOKUP($A75,'Data shares'!$C:$FB,61)*100</f>
        <v>98.17</v>
      </c>
      <c r="M75" s="49">
        <f>VLOOKUP($A75,'Data shares'!$C:$FB,62)</f>
        <v>4007850</v>
      </c>
      <c r="N75" s="49">
        <f>VLOOKUP($A75,'Data shares'!$C:$FB,63)</f>
        <v>3073125</v>
      </c>
      <c r="O75" s="140">
        <f>VLOOKUP($A75,'Data shares'!$C:$FB,65)*100</f>
        <v>30.42</v>
      </c>
    </row>
    <row r="76" spans="1:15" x14ac:dyDescent="0.25">
      <c r="A76" s="101" t="str">
        <f>'Data shares'!C71</f>
        <v>GRASIM</v>
      </c>
      <c r="B76" s="50">
        <f>VLOOKUP($A76,'Data shares'!$C:$FB,7)</f>
        <v>2923.9</v>
      </c>
      <c r="C76" s="50">
        <f>VLOOKUP($A76,'Data shares'!$C:$FB,10)*100</f>
        <v>2.91</v>
      </c>
      <c r="D76" s="49">
        <f>VLOOKUP($A76,'Data shares'!$C:$FB,66)</f>
        <v>18354000</v>
      </c>
      <c r="E76" s="49">
        <f>VLOOKUP($A76,'Data shares'!$C:$FB,67)</f>
        <v>16858250</v>
      </c>
      <c r="F76" s="50">
        <f>VLOOKUP($A76,'Data shares'!$C:$FB,69)*100</f>
        <v>8.870000000000001</v>
      </c>
      <c r="G76" s="49">
        <f>VLOOKUP($A76,'Data shares'!$C:$FB,42)</f>
        <v>7495250</v>
      </c>
      <c r="H76" s="49">
        <f>VLOOKUP($A76,'Data shares'!$C:$FB,43)</f>
        <v>12426500</v>
      </c>
      <c r="I76" s="50">
        <f>VLOOKUP($A76,'Data shares'!$C:$FB,45)*100</f>
        <v>-39.68</v>
      </c>
      <c r="J76" s="49">
        <f>VLOOKUP($A76,'Data shares'!$C:$FB,58)</f>
        <v>7996250</v>
      </c>
      <c r="K76" s="49">
        <f>VLOOKUP($A76,'Data shares'!$C:$FB,59)</f>
        <v>2863750</v>
      </c>
      <c r="L76" s="50">
        <f>VLOOKUP($A76,'Data shares'!$C:$FB,61)*100</f>
        <v>179.22</v>
      </c>
      <c r="M76" s="49">
        <f>VLOOKUP($A76,'Data shares'!$C:$FB,62)</f>
        <v>2862500</v>
      </c>
      <c r="N76" s="49">
        <f>VLOOKUP($A76,'Data shares'!$C:$FB,63)</f>
        <v>1568000</v>
      </c>
      <c r="O76" s="140">
        <f>VLOOKUP($A76,'Data shares'!$C:$FB,65)*100</f>
        <v>82.56</v>
      </c>
    </row>
    <row r="77" spans="1:15" x14ac:dyDescent="0.25">
      <c r="A77" s="101" t="str">
        <f>'Data shares'!C72</f>
        <v>HAL</v>
      </c>
      <c r="B77" s="50">
        <f>VLOOKUP($A77,'Data shares'!$C:$FB,7)</f>
        <v>4756.8</v>
      </c>
      <c r="C77" s="50">
        <f>VLOOKUP($A77,'Data shares'!$C:$FB,10)*100</f>
        <v>-1.1900000000000002</v>
      </c>
      <c r="D77" s="49">
        <f>VLOOKUP($A77,'Data shares'!$C:$FB,66)</f>
        <v>19848150</v>
      </c>
      <c r="E77" s="49">
        <f>VLOOKUP($A77,'Data shares'!$C:$FB,67)</f>
        <v>21560100</v>
      </c>
      <c r="F77" s="50">
        <f>VLOOKUP($A77,'Data shares'!$C:$FB,69)*100</f>
        <v>-7.9399999999999995</v>
      </c>
      <c r="G77" s="49">
        <f>VLOOKUP($A77,'Data shares'!$C:$FB,42)</f>
        <v>6278250</v>
      </c>
      <c r="H77" s="49">
        <f>VLOOKUP($A77,'Data shares'!$C:$FB,43)</f>
        <v>6717600</v>
      </c>
      <c r="I77" s="50">
        <f>VLOOKUP($A77,'Data shares'!$C:$FB,45)*100</f>
        <v>-6.54</v>
      </c>
      <c r="J77" s="49">
        <f>VLOOKUP($A77,'Data shares'!$C:$FB,58)</f>
        <v>9615300</v>
      </c>
      <c r="K77" s="49">
        <f>VLOOKUP($A77,'Data shares'!$C:$FB,59)</f>
        <v>11155200</v>
      </c>
      <c r="L77" s="50">
        <f>VLOOKUP($A77,'Data shares'!$C:$FB,61)*100</f>
        <v>-13.8</v>
      </c>
      <c r="M77" s="49">
        <f>VLOOKUP($A77,'Data shares'!$C:$FB,62)</f>
        <v>3954600</v>
      </c>
      <c r="N77" s="49">
        <f>VLOOKUP($A77,'Data shares'!$C:$FB,63)</f>
        <v>3687300</v>
      </c>
      <c r="O77" s="140">
        <f>VLOOKUP($A77,'Data shares'!$C:$FB,65)*100</f>
        <v>7.2499999999999991</v>
      </c>
    </row>
    <row r="78" spans="1:15" x14ac:dyDescent="0.25">
      <c r="A78" s="101" t="str">
        <f>'Data shares'!C73</f>
        <v>HAVELLS</v>
      </c>
      <c r="B78" s="50">
        <f>VLOOKUP($A78,'Data shares'!$C:$FB,7)</f>
        <v>1492.6</v>
      </c>
      <c r="C78" s="50">
        <f>VLOOKUP($A78,'Data shares'!$C:$FB,10)*100</f>
        <v>-0.15</v>
      </c>
      <c r="D78" s="49">
        <f>VLOOKUP($A78,'Data shares'!$C:$FB,66)</f>
        <v>11039500</v>
      </c>
      <c r="E78" s="49">
        <f>VLOOKUP($A78,'Data shares'!$C:$FB,67)</f>
        <v>15420000</v>
      </c>
      <c r="F78" s="50">
        <f>VLOOKUP($A78,'Data shares'!$C:$FB,69)*100</f>
        <v>-28.410000000000004</v>
      </c>
      <c r="G78" s="49">
        <f>VLOOKUP($A78,'Data shares'!$C:$FB,42)</f>
        <v>5235000</v>
      </c>
      <c r="H78" s="49">
        <f>VLOOKUP($A78,'Data shares'!$C:$FB,43)</f>
        <v>8116500</v>
      </c>
      <c r="I78" s="50">
        <f>VLOOKUP($A78,'Data shares'!$C:$FB,45)*100</f>
        <v>-35.5</v>
      </c>
      <c r="J78" s="49">
        <f>VLOOKUP($A78,'Data shares'!$C:$FB,58)</f>
        <v>3196000</v>
      </c>
      <c r="K78" s="49">
        <f>VLOOKUP($A78,'Data shares'!$C:$FB,59)</f>
        <v>4947000</v>
      </c>
      <c r="L78" s="50">
        <f>VLOOKUP($A78,'Data shares'!$C:$FB,61)*100</f>
        <v>-35.4</v>
      </c>
      <c r="M78" s="49">
        <f>VLOOKUP($A78,'Data shares'!$C:$FB,62)</f>
        <v>2608500</v>
      </c>
      <c r="N78" s="49">
        <f>VLOOKUP($A78,'Data shares'!$C:$FB,63)</f>
        <v>2356500</v>
      </c>
      <c r="O78" s="140">
        <f>VLOOKUP($A78,'Data shares'!$C:$FB,65)*100</f>
        <v>10.69</v>
      </c>
    </row>
    <row r="79" spans="1:15" x14ac:dyDescent="0.25">
      <c r="A79" s="101" t="str">
        <f>'Data shares'!C74</f>
        <v>HCLTECH</v>
      </c>
      <c r="B79" s="50">
        <f>VLOOKUP($A79,'Data shares'!$C:$FB,7)</f>
        <v>1533.5</v>
      </c>
      <c r="C79" s="50">
        <f>VLOOKUP($A79,'Data shares'!$C:$FB,10)*100</f>
        <v>0.64</v>
      </c>
      <c r="D79" s="49">
        <f>VLOOKUP($A79,'Data shares'!$C:$FB,66)</f>
        <v>27777050</v>
      </c>
      <c r="E79" s="49">
        <f>VLOOKUP($A79,'Data shares'!$C:$FB,67)</f>
        <v>32259150</v>
      </c>
      <c r="F79" s="50">
        <f>VLOOKUP($A79,'Data shares'!$C:$FB,69)*100</f>
        <v>-13.889999999999999</v>
      </c>
      <c r="G79" s="49">
        <f>VLOOKUP($A79,'Data shares'!$C:$FB,42)</f>
        <v>13293350</v>
      </c>
      <c r="H79" s="49">
        <f>VLOOKUP($A79,'Data shares'!$C:$FB,43)</f>
        <v>14072100</v>
      </c>
      <c r="I79" s="50">
        <f>VLOOKUP($A79,'Data shares'!$C:$FB,45)*100</f>
        <v>-5.53</v>
      </c>
      <c r="J79" s="49">
        <f>VLOOKUP($A79,'Data shares'!$C:$FB,58)</f>
        <v>9257850</v>
      </c>
      <c r="K79" s="49">
        <f>VLOOKUP($A79,'Data shares'!$C:$FB,59)</f>
        <v>10902500</v>
      </c>
      <c r="L79" s="50">
        <f>VLOOKUP($A79,'Data shares'!$C:$FB,61)*100</f>
        <v>-15.09</v>
      </c>
      <c r="M79" s="49">
        <f>VLOOKUP($A79,'Data shares'!$C:$FB,62)</f>
        <v>5225850</v>
      </c>
      <c r="N79" s="49">
        <f>VLOOKUP($A79,'Data shares'!$C:$FB,63)</f>
        <v>7284550</v>
      </c>
      <c r="O79" s="140">
        <f>VLOOKUP($A79,'Data shares'!$C:$FB,65)*100</f>
        <v>-28.26</v>
      </c>
    </row>
    <row r="80" spans="1:15" x14ac:dyDescent="0.25">
      <c r="A80" s="101" t="str">
        <f>'Data shares'!C75</f>
        <v>HDFCAMC</v>
      </c>
      <c r="B80" s="50">
        <f>VLOOKUP($A80,'Data shares'!$C:$FB,7)</f>
        <v>5559</v>
      </c>
      <c r="C80" s="50">
        <f>VLOOKUP($A80,'Data shares'!$C:$FB,10)*100</f>
        <v>0.27999999999999997</v>
      </c>
      <c r="D80" s="49">
        <f>VLOOKUP($A80,'Data shares'!$C:$FB,66)</f>
        <v>4500750</v>
      </c>
      <c r="E80" s="49">
        <f>VLOOKUP($A80,'Data shares'!$C:$FB,67)</f>
        <v>7462200</v>
      </c>
      <c r="F80" s="50">
        <f>VLOOKUP($A80,'Data shares'!$C:$FB,69)*100</f>
        <v>-39.69</v>
      </c>
      <c r="G80" s="49">
        <f>VLOOKUP($A80,'Data shares'!$C:$FB,42)</f>
        <v>1622550</v>
      </c>
      <c r="H80" s="49">
        <f>VLOOKUP($A80,'Data shares'!$C:$FB,43)</f>
        <v>1903800</v>
      </c>
      <c r="I80" s="50">
        <f>VLOOKUP($A80,'Data shares'!$C:$FB,45)*100</f>
        <v>-14.77</v>
      </c>
      <c r="J80" s="49">
        <f>VLOOKUP($A80,'Data shares'!$C:$FB,58)</f>
        <v>2094450</v>
      </c>
      <c r="K80" s="49">
        <f>VLOOKUP($A80,'Data shares'!$C:$FB,59)</f>
        <v>3880500</v>
      </c>
      <c r="L80" s="50">
        <f>VLOOKUP($A80,'Data shares'!$C:$FB,61)*100</f>
        <v>-46.03</v>
      </c>
      <c r="M80" s="49">
        <f>VLOOKUP($A80,'Data shares'!$C:$FB,62)</f>
        <v>783750</v>
      </c>
      <c r="N80" s="49">
        <f>VLOOKUP($A80,'Data shares'!$C:$FB,63)</f>
        <v>1677900</v>
      </c>
      <c r="O80" s="140">
        <f>VLOOKUP($A80,'Data shares'!$C:$FB,65)*100</f>
        <v>-53.290000000000006</v>
      </c>
    </row>
    <row r="81" spans="1:15" x14ac:dyDescent="0.25">
      <c r="A81" s="101" t="str">
        <f>'Data shares'!C76</f>
        <v>HDFCBANK</v>
      </c>
      <c r="B81" s="50">
        <f>VLOOKUP($A81,'Data shares'!$C:$FB,7)</f>
        <v>1002.95</v>
      </c>
      <c r="C81" s="50">
        <f>VLOOKUP($A81,'Data shares'!$C:$FB,10)*100</f>
        <v>0.82000000000000006</v>
      </c>
      <c r="D81" s="49">
        <f>VLOOKUP($A81,'Data shares'!$C:$FB,66)</f>
        <v>259492200</v>
      </c>
      <c r="E81" s="49">
        <f>VLOOKUP($A81,'Data shares'!$C:$FB,67)</f>
        <v>319154000</v>
      </c>
      <c r="F81" s="50">
        <f>VLOOKUP($A81,'Data shares'!$C:$FB,69)*100</f>
        <v>-18.690000000000001</v>
      </c>
      <c r="G81" s="49">
        <f>VLOOKUP($A81,'Data shares'!$C:$FB,42)</f>
        <v>110708400</v>
      </c>
      <c r="H81" s="49">
        <f>VLOOKUP($A81,'Data shares'!$C:$FB,43)</f>
        <v>144148400</v>
      </c>
      <c r="I81" s="50">
        <f>VLOOKUP($A81,'Data shares'!$C:$FB,45)*100</f>
        <v>-23.200000000000003</v>
      </c>
      <c r="J81" s="49">
        <f>VLOOKUP($A81,'Data shares'!$C:$FB,58)</f>
        <v>89382700</v>
      </c>
      <c r="K81" s="49">
        <f>VLOOKUP($A81,'Data shares'!$C:$FB,59)</f>
        <v>94712200</v>
      </c>
      <c r="L81" s="50">
        <f>VLOOKUP($A81,'Data shares'!$C:$FB,61)*100</f>
        <v>-5.63</v>
      </c>
      <c r="M81" s="49">
        <f>VLOOKUP($A81,'Data shares'!$C:$FB,62)</f>
        <v>59401100</v>
      </c>
      <c r="N81" s="49">
        <f>VLOOKUP($A81,'Data shares'!$C:$FB,63)</f>
        <v>80293400</v>
      </c>
      <c r="O81" s="140">
        <f>VLOOKUP($A81,'Data shares'!$C:$FB,65)*100</f>
        <v>-26.02</v>
      </c>
    </row>
    <row r="82" spans="1:15" x14ac:dyDescent="0.25">
      <c r="A82" s="101" t="str">
        <f>'Data shares'!C77</f>
        <v>HDFCLIFE</v>
      </c>
      <c r="B82" s="50">
        <f>VLOOKUP($A82,'Data shares'!$C:$FB,7)</f>
        <v>737.25</v>
      </c>
      <c r="C82" s="50">
        <f>VLOOKUP($A82,'Data shares'!$C:$FB,10)*100</f>
        <v>0.31</v>
      </c>
      <c r="D82" s="49">
        <f>VLOOKUP($A82,'Data shares'!$C:$FB,66)</f>
        <v>52784600</v>
      </c>
      <c r="E82" s="49">
        <f>VLOOKUP($A82,'Data shares'!$C:$FB,67)</f>
        <v>41350100</v>
      </c>
      <c r="F82" s="50">
        <f>VLOOKUP($A82,'Data shares'!$C:$FB,69)*100</f>
        <v>27.650000000000002</v>
      </c>
      <c r="G82" s="49">
        <f>VLOOKUP($A82,'Data shares'!$C:$FB,42)</f>
        <v>28785900</v>
      </c>
      <c r="H82" s="49">
        <f>VLOOKUP($A82,'Data shares'!$C:$FB,43)</f>
        <v>23922800</v>
      </c>
      <c r="I82" s="50">
        <f>VLOOKUP($A82,'Data shares'!$C:$FB,45)*100</f>
        <v>20.330000000000002</v>
      </c>
      <c r="J82" s="49">
        <f>VLOOKUP($A82,'Data shares'!$C:$FB,58)</f>
        <v>16690300</v>
      </c>
      <c r="K82" s="49">
        <f>VLOOKUP($A82,'Data shares'!$C:$FB,59)</f>
        <v>13043800</v>
      </c>
      <c r="L82" s="50">
        <f>VLOOKUP($A82,'Data shares'!$C:$FB,61)*100</f>
        <v>27.96</v>
      </c>
      <c r="M82" s="49">
        <f>VLOOKUP($A82,'Data shares'!$C:$FB,62)</f>
        <v>7308400</v>
      </c>
      <c r="N82" s="49">
        <f>VLOOKUP($A82,'Data shares'!$C:$FB,63)</f>
        <v>4383500</v>
      </c>
      <c r="O82" s="140">
        <f>VLOOKUP($A82,'Data shares'!$C:$FB,65)*100</f>
        <v>66.73</v>
      </c>
    </row>
    <row r="83" spans="1:15" x14ac:dyDescent="0.25">
      <c r="A83" s="101" t="str">
        <f>'Data shares'!C78</f>
        <v>HEROMOTOCO</v>
      </c>
      <c r="B83" s="50">
        <f>VLOOKUP($A83,'Data shares'!$C:$FB,7)</f>
        <v>5646.5</v>
      </c>
      <c r="C83" s="50">
        <f>VLOOKUP($A83,'Data shares'!$C:$FB,10)*100</f>
        <v>1.91</v>
      </c>
      <c r="D83" s="49">
        <f>VLOOKUP($A83,'Data shares'!$C:$FB,66)</f>
        <v>13248600</v>
      </c>
      <c r="E83" s="49">
        <f>VLOOKUP($A83,'Data shares'!$C:$FB,67)</f>
        <v>10878750</v>
      </c>
      <c r="F83" s="50">
        <f>VLOOKUP($A83,'Data shares'!$C:$FB,69)*100</f>
        <v>21.78</v>
      </c>
      <c r="G83" s="49">
        <f>VLOOKUP($A83,'Data shares'!$C:$FB,42)</f>
        <v>4265100</v>
      </c>
      <c r="H83" s="49">
        <f>VLOOKUP($A83,'Data shares'!$C:$FB,43)</f>
        <v>3758250</v>
      </c>
      <c r="I83" s="50">
        <f>VLOOKUP($A83,'Data shares'!$C:$FB,45)*100</f>
        <v>13.489999999999998</v>
      </c>
      <c r="J83" s="49">
        <f>VLOOKUP($A83,'Data shares'!$C:$FB,58)</f>
        <v>5848050</v>
      </c>
      <c r="K83" s="49">
        <f>VLOOKUP($A83,'Data shares'!$C:$FB,59)</f>
        <v>4652400</v>
      </c>
      <c r="L83" s="50">
        <f>VLOOKUP($A83,'Data shares'!$C:$FB,61)*100</f>
        <v>25.7</v>
      </c>
      <c r="M83" s="49">
        <f>VLOOKUP($A83,'Data shares'!$C:$FB,62)</f>
        <v>3135450</v>
      </c>
      <c r="N83" s="49">
        <f>VLOOKUP($A83,'Data shares'!$C:$FB,63)</f>
        <v>2468100</v>
      </c>
      <c r="O83" s="140">
        <f>VLOOKUP($A83,'Data shares'!$C:$FB,65)*100</f>
        <v>27.04</v>
      </c>
    </row>
    <row r="84" spans="1:15" x14ac:dyDescent="0.25">
      <c r="A84" s="101" t="str">
        <f>'Data shares'!C79</f>
        <v>HFCL</v>
      </c>
      <c r="B84" s="50">
        <f>VLOOKUP($A84,'Data shares'!$C:$FB,7)</f>
        <v>76.849999999999994</v>
      </c>
      <c r="C84" s="50">
        <f>VLOOKUP($A84,'Data shares'!$C:$FB,10)*100</f>
        <v>-1.1400000000000001</v>
      </c>
      <c r="D84" s="49">
        <f>VLOOKUP($A84,'Data shares'!$C:$FB,66)</f>
        <v>150297900</v>
      </c>
      <c r="E84" s="49">
        <f>VLOOKUP($A84,'Data shares'!$C:$FB,67)</f>
        <v>180303300</v>
      </c>
      <c r="F84" s="50">
        <f>VLOOKUP($A84,'Data shares'!$C:$FB,69)*100</f>
        <v>-16.64</v>
      </c>
      <c r="G84" s="49">
        <f>VLOOKUP($A84,'Data shares'!$C:$FB,42)</f>
        <v>73736400</v>
      </c>
      <c r="H84" s="49">
        <f>VLOOKUP($A84,'Data shares'!$C:$FB,43)</f>
        <v>76793700</v>
      </c>
      <c r="I84" s="50">
        <f>VLOOKUP($A84,'Data shares'!$C:$FB,45)*100</f>
        <v>-3.9800000000000004</v>
      </c>
      <c r="J84" s="49">
        <f>VLOOKUP($A84,'Data shares'!$C:$FB,58)</f>
        <v>57721050</v>
      </c>
      <c r="K84" s="49">
        <f>VLOOKUP($A84,'Data shares'!$C:$FB,59)</f>
        <v>75897150</v>
      </c>
      <c r="L84" s="50">
        <f>VLOOKUP($A84,'Data shares'!$C:$FB,61)*100</f>
        <v>-23.95</v>
      </c>
      <c r="M84" s="49">
        <f>VLOOKUP($A84,'Data shares'!$C:$FB,62)</f>
        <v>18840450</v>
      </c>
      <c r="N84" s="49">
        <f>VLOOKUP($A84,'Data shares'!$C:$FB,63)</f>
        <v>27612450</v>
      </c>
      <c r="O84" s="140">
        <f>VLOOKUP($A84,'Data shares'!$C:$FB,65)*100</f>
        <v>-31.77</v>
      </c>
    </row>
    <row r="85" spans="1:15" x14ac:dyDescent="0.25">
      <c r="A85" s="101" t="str">
        <f>'Data shares'!C80</f>
        <v>HINDALCO</v>
      </c>
      <c r="B85" s="50">
        <f>VLOOKUP($A85,'Data shares'!$C:$FB,7)</f>
        <v>840.85</v>
      </c>
      <c r="C85" s="50">
        <f>VLOOKUP($A85,'Data shares'!$C:$FB,10)*100</f>
        <v>1.9900000000000002</v>
      </c>
      <c r="D85" s="49">
        <f>VLOOKUP($A85,'Data shares'!$C:$FB,66)</f>
        <v>152752600</v>
      </c>
      <c r="E85" s="49">
        <f>VLOOKUP($A85,'Data shares'!$C:$FB,67)</f>
        <v>277872000</v>
      </c>
      <c r="F85" s="50">
        <f>VLOOKUP($A85,'Data shares'!$C:$FB,69)*100</f>
        <v>-45.03</v>
      </c>
      <c r="G85" s="49">
        <f>VLOOKUP($A85,'Data shares'!$C:$FB,42)</f>
        <v>36261400</v>
      </c>
      <c r="H85" s="49">
        <f>VLOOKUP($A85,'Data shares'!$C:$FB,43)</f>
        <v>49182000</v>
      </c>
      <c r="I85" s="50">
        <f>VLOOKUP($A85,'Data shares'!$C:$FB,45)*100</f>
        <v>-26.27</v>
      </c>
      <c r="J85" s="49">
        <f>VLOOKUP($A85,'Data shares'!$C:$FB,58)</f>
        <v>72441600</v>
      </c>
      <c r="K85" s="49">
        <f>VLOOKUP($A85,'Data shares'!$C:$FB,59)</f>
        <v>161030800</v>
      </c>
      <c r="L85" s="50">
        <f>VLOOKUP($A85,'Data shares'!$C:$FB,61)*100</f>
        <v>-55.010000000000005</v>
      </c>
      <c r="M85" s="49">
        <f>VLOOKUP($A85,'Data shares'!$C:$FB,62)</f>
        <v>44049600</v>
      </c>
      <c r="N85" s="49">
        <f>VLOOKUP($A85,'Data shares'!$C:$FB,63)</f>
        <v>67659200</v>
      </c>
      <c r="O85" s="140">
        <f>VLOOKUP($A85,'Data shares'!$C:$FB,65)*100</f>
        <v>-34.89</v>
      </c>
    </row>
    <row r="86" spans="1:15" x14ac:dyDescent="0.25">
      <c r="A86" s="101" t="str">
        <f>'Data shares'!C81</f>
        <v>HINDPETRO</v>
      </c>
      <c r="B86" s="50">
        <f>VLOOKUP($A86,'Data shares'!$C:$FB,7)</f>
        <v>453.75</v>
      </c>
      <c r="C86" s="50">
        <f>VLOOKUP($A86,'Data shares'!$C:$FB,10)*100</f>
        <v>3.49</v>
      </c>
      <c r="D86" s="49">
        <f>VLOOKUP($A86,'Data shares'!$C:$FB,66)</f>
        <v>110360475</v>
      </c>
      <c r="E86" s="49">
        <f>VLOOKUP($A86,'Data shares'!$C:$FB,67)</f>
        <v>102197700</v>
      </c>
      <c r="F86" s="50">
        <f>VLOOKUP($A86,'Data shares'!$C:$FB,69)*100</f>
        <v>7.99</v>
      </c>
      <c r="G86" s="49">
        <f>VLOOKUP($A86,'Data shares'!$C:$FB,42)</f>
        <v>37395675</v>
      </c>
      <c r="H86" s="49">
        <f>VLOOKUP($A86,'Data shares'!$C:$FB,43)</f>
        <v>44778825</v>
      </c>
      <c r="I86" s="50">
        <f>VLOOKUP($A86,'Data shares'!$C:$FB,45)*100</f>
        <v>-16.489999999999998</v>
      </c>
      <c r="J86" s="49">
        <f>VLOOKUP($A86,'Data shares'!$C:$FB,58)</f>
        <v>48348900</v>
      </c>
      <c r="K86" s="49">
        <f>VLOOKUP($A86,'Data shares'!$C:$FB,59)</f>
        <v>34609275</v>
      </c>
      <c r="L86" s="50">
        <f>VLOOKUP($A86,'Data shares'!$C:$FB,61)*100</f>
        <v>39.700000000000003</v>
      </c>
      <c r="M86" s="49">
        <f>VLOOKUP($A86,'Data shares'!$C:$FB,62)</f>
        <v>24615900</v>
      </c>
      <c r="N86" s="49">
        <f>VLOOKUP($A86,'Data shares'!$C:$FB,63)</f>
        <v>22809600</v>
      </c>
      <c r="O86" s="140">
        <f>VLOOKUP($A86,'Data shares'!$C:$FB,65)*100</f>
        <v>7.9200000000000008</v>
      </c>
    </row>
    <row r="87" spans="1:15" x14ac:dyDescent="0.25">
      <c r="A87" s="101" t="str">
        <f>'Data shares'!C82</f>
        <v>HINDUNILVR</v>
      </c>
      <c r="B87" s="50">
        <f>VLOOKUP($A87,'Data shares'!$C:$FB,7)</f>
        <v>2511.8000000000002</v>
      </c>
      <c r="C87" s="50">
        <f>VLOOKUP($A87,'Data shares'!$C:$FB,10)*100</f>
        <v>-0.18</v>
      </c>
      <c r="D87" s="49">
        <f>VLOOKUP($A87,'Data shares'!$C:$FB,66)</f>
        <v>35661000</v>
      </c>
      <c r="E87" s="49">
        <f>VLOOKUP($A87,'Data shares'!$C:$FB,67)</f>
        <v>88468200</v>
      </c>
      <c r="F87" s="50">
        <f>VLOOKUP($A87,'Data shares'!$C:$FB,69)*100</f>
        <v>-59.69</v>
      </c>
      <c r="G87" s="49">
        <f>VLOOKUP($A87,'Data shares'!$C:$FB,42)</f>
        <v>11402100</v>
      </c>
      <c r="H87" s="49">
        <f>VLOOKUP($A87,'Data shares'!$C:$FB,43)</f>
        <v>17608200</v>
      </c>
      <c r="I87" s="50">
        <f>VLOOKUP($A87,'Data shares'!$C:$FB,45)*100</f>
        <v>-35.25</v>
      </c>
      <c r="J87" s="49">
        <f>VLOOKUP($A87,'Data shares'!$C:$FB,58)</f>
        <v>17077500</v>
      </c>
      <c r="K87" s="49">
        <f>VLOOKUP($A87,'Data shares'!$C:$FB,59)</f>
        <v>45213000</v>
      </c>
      <c r="L87" s="50">
        <f>VLOOKUP($A87,'Data shares'!$C:$FB,61)*100</f>
        <v>-62.23</v>
      </c>
      <c r="M87" s="49">
        <f>VLOOKUP($A87,'Data shares'!$C:$FB,62)</f>
        <v>7181400</v>
      </c>
      <c r="N87" s="49">
        <f>VLOOKUP($A87,'Data shares'!$C:$FB,63)</f>
        <v>25647000</v>
      </c>
      <c r="O87" s="140">
        <f>VLOOKUP($A87,'Data shares'!$C:$FB,65)*100</f>
        <v>-72</v>
      </c>
    </row>
    <row r="88" spans="1:15" x14ac:dyDescent="0.25">
      <c r="A88" s="101" t="str">
        <f>'Data shares'!C83</f>
        <v>HINDZINC</v>
      </c>
      <c r="B88" s="50">
        <f>VLOOKUP($A88,'Data shares'!$C:$FB,7)</f>
        <v>482.3</v>
      </c>
      <c r="C88" s="50">
        <f>VLOOKUP($A88,'Data shares'!$C:$FB,10)*100</f>
        <v>-0.89999999999999991</v>
      </c>
      <c r="D88" s="49">
        <f>VLOOKUP($A88,'Data shares'!$C:$FB,66)</f>
        <v>62031550</v>
      </c>
      <c r="E88" s="49">
        <f>VLOOKUP($A88,'Data shares'!$C:$FB,67)</f>
        <v>130793250</v>
      </c>
      <c r="F88" s="50">
        <f>VLOOKUP($A88,'Data shares'!$C:$FB,69)*100</f>
        <v>-52.569999999999993</v>
      </c>
      <c r="G88" s="49">
        <f>VLOOKUP($A88,'Data shares'!$C:$FB,42)</f>
        <v>19328050</v>
      </c>
      <c r="H88" s="49">
        <f>VLOOKUP($A88,'Data shares'!$C:$FB,43)</f>
        <v>31521700</v>
      </c>
      <c r="I88" s="50">
        <f>VLOOKUP($A88,'Data shares'!$C:$FB,45)*100</f>
        <v>-38.68</v>
      </c>
      <c r="J88" s="49">
        <f>VLOOKUP($A88,'Data shares'!$C:$FB,58)</f>
        <v>33044375</v>
      </c>
      <c r="K88" s="49">
        <f>VLOOKUP($A88,'Data shares'!$C:$FB,59)</f>
        <v>74989600</v>
      </c>
      <c r="L88" s="50">
        <f>VLOOKUP($A88,'Data shares'!$C:$FB,61)*100</f>
        <v>-55.93</v>
      </c>
      <c r="M88" s="49">
        <f>VLOOKUP($A88,'Data shares'!$C:$FB,62)</f>
        <v>9659125</v>
      </c>
      <c r="N88" s="49">
        <f>VLOOKUP($A88,'Data shares'!$C:$FB,63)</f>
        <v>24281950</v>
      </c>
      <c r="O88" s="140">
        <f>VLOOKUP($A88,'Data shares'!$C:$FB,65)*100</f>
        <v>-60.22</v>
      </c>
    </row>
    <row r="89" spans="1:15" x14ac:dyDescent="0.25">
      <c r="A89" s="101" t="str">
        <f>'Data shares'!C84</f>
        <v>HUDCO</v>
      </c>
      <c r="B89" s="50">
        <f>VLOOKUP($A89,'Data shares'!$C:$FB,7)</f>
        <v>227.01</v>
      </c>
      <c r="C89" s="50">
        <f>VLOOKUP($A89,'Data shares'!$C:$FB,10)*100</f>
        <v>6.9999999999999993E-2</v>
      </c>
      <c r="D89" s="49">
        <f>VLOOKUP($A89,'Data shares'!$C:$FB,66)</f>
        <v>44280675</v>
      </c>
      <c r="E89" s="49">
        <f>VLOOKUP($A89,'Data shares'!$C:$FB,67)</f>
        <v>40609350</v>
      </c>
      <c r="F89" s="50">
        <f>VLOOKUP($A89,'Data shares'!$C:$FB,69)*100</f>
        <v>9.0399999999999991</v>
      </c>
      <c r="G89" s="49">
        <f>VLOOKUP($A89,'Data shares'!$C:$FB,42)</f>
        <v>21897525</v>
      </c>
      <c r="H89" s="49">
        <f>VLOOKUP($A89,'Data shares'!$C:$FB,43)</f>
        <v>19105875</v>
      </c>
      <c r="I89" s="50">
        <f>VLOOKUP($A89,'Data shares'!$C:$FB,45)*100</f>
        <v>14.610000000000001</v>
      </c>
      <c r="J89" s="49">
        <f>VLOOKUP($A89,'Data shares'!$C:$FB,58)</f>
        <v>15839700</v>
      </c>
      <c r="K89" s="49">
        <f>VLOOKUP($A89,'Data shares'!$C:$FB,59)</f>
        <v>15262500</v>
      </c>
      <c r="L89" s="50">
        <f>VLOOKUP($A89,'Data shares'!$C:$FB,61)*100</f>
        <v>3.7800000000000002</v>
      </c>
      <c r="M89" s="49">
        <f>VLOOKUP($A89,'Data shares'!$C:$FB,62)</f>
        <v>6543450</v>
      </c>
      <c r="N89" s="49">
        <f>VLOOKUP($A89,'Data shares'!$C:$FB,63)</f>
        <v>6240975</v>
      </c>
      <c r="O89" s="140">
        <f>VLOOKUP($A89,'Data shares'!$C:$FB,65)*100</f>
        <v>4.8500000000000005</v>
      </c>
    </row>
    <row r="90" spans="1:15" x14ac:dyDescent="0.25">
      <c r="A90" s="101" t="str">
        <f>'Data shares'!C85</f>
        <v>ICICIBANK</v>
      </c>
      <c r="B90" s="50">
        <f>VLOOKUP($A90,'Data shares'!$C:$FB,7)</f>
        <v>1377.6</v>
      </c>
      <c r="C90" s="50">
        <f>VLOOKUP($A90,'Data shares'!$C:$FB,10)*100</f>
        <v>-0.01</v>
      </c>
      <c r="D90" s="49">
        <f>VLOOKUP($A90,'Data shares'!$C:$FB,66)</f>
        <v>137174800</v>
      </c>
      <c r="E90" s="49">
        <f>VLOOKUP($A90,'Data shares'!$C:$FB,67)</f>
        <v>204335600</v>
      </c>
      <c r="F90" s="50">
        <f>VLOOKUP($A90,'Data shares'!$C:$FB,69)*100</f>
        <v>-32.869999999999997</v>
      </c>
      <c r="G90" s="49">
        <f>VLOOKUP($A90,'Data shares'!$C:$FB,42)</f>
        <v>50554000</v>
      </c>
      <c r="H90" s="49">
        <f>VLOOKUP($A90,'Data shares'!$C:$FB,43)</f>
        <v>77121100</v>
      </c>
      <c r="I90" s="50">
        <f>VLOOKUP($A90,'Data shares'!$C:$FB,45)*100</f>
        <v>-34.449999999999996</v>
      </c>
      <c r="J90" s="49">
        <f>VLOOKUP($A90,'Data shares'!$C:$FB,58)</f>
        <v>55005300</v>
      </c>
      <c r="K90" s="49">
        <f>VLOOKUP($A90,'Data shares'!$C:$FB,59)</f>
        <v>82824700</v>
      </c>
      <c r="L90" s="50">
        <f>VLOOKUP($A90,'Data shares'!$C:$FB,61)*100</f>
        <v>-33.589999999999996</v>
      </c>
      <c r="M90" s="49">
        <f>VLOOKUP($A90,'Data shares'!$C:$FB,62)</f>
        <v>31615500</v>
      </c>
      <c r="N90" s="49">
        <f>VLOOKUP($A90,'Data shares'!$C:$FB,63)</f>
        <v>44389800</v>
      </c>
      <c r="O90" s="140">
        <f>VLOOKUP($A90,'Data shares'!$C:$FB,65)*100</f>
        <v>-28.78</v>
      </c>
    </row>
    <row r="91" spans="1:15" x14ac:dyDescent="0.25">
      <c r="A91" s="101" t="str">
        <f>'Data shares'!C86</f>
        <v>ICICIGI</v>
      </c>
      <c r="B91" s="50">
        <f>VLOOKUP($A91,'Data shares'!$C:$FB,7)</f>
        <v>1986.4</v>
      </c>
      <c r="C91" s="50">
        <f>VLOOKUP($A91,'Data shares'!$C:$FB,10)*100</f>
        <v>-0.38</v>
      </c>
      <c r="D91" s="49">
        <f>VLOOKUP($A91,'Data shares'!$C:$FB,66)</f>
        <v>6358300</v>
      </c>
      <c r="E91" s="49">
        <f>VLOOKUP($A91,'Data shares'!$C:$FB,67)</f>
        <v>10192000</v>
      </c>
      <c r="F91" s="50">
        <f>VLOOKUP($A91,'Data shares'!$C:$FB,69)*100</f>
        <v>-37.61</v>
      </c>
      <c r="G91" s="49">
        <f>VLOOKUP($A91,'Data shares'!$C:$FB,42)</f>
        <v>3755050</v>
      </c>
      <c r="H91" s="49">
        <f>VLOOKUP($A91,'Data shares'!$C:$FB,43)</f>
        <v>5889000</v>
      </c>
      <c r="I91" s="50">
        <f>VLOOKUP($A91,'Data shares'!$C:$FB,45)*100</f>
        <v>-36.24</v>
      </c>
      <c r="J91" s="49">
        <f>VLOOKUP($A91,'Data shares'!$C:$FB,58)</f>
        <v>1444625</v>
      </c>
      <c r="K91" s="49">
        <f>VLOOKUP($A91,'Data shares'!$C:$FB,59)</f>
        <v>1872650</v>
      </c>
      <c r="L91" s="50">
        <f>VLOOKUP($A91,'Data shares'!$C:$FB,61)*100</f>
        <v>-22.86</v>
      </c>
      <c r="M91" s="49">
        <f>VLOOKUP($A91,'Data shares'!$C:$FB,62)</f>
        <v>1158625</v>
      </c>
      <c r="N91" s="49">
        <f>VLOOKUP($A91,'Data shares'!$C:$FB,63)</f>
        <v>2430350</v>
      </c>
      <c r="O91" s="140">
        <f>VLOOKUP($A91,'Data shares'!$C:$FB,65)*100</f>
        <v>-52.33</v>
      </c>
    </row>
    <row r="92" spans="1:15" x14ac:dyDescent="0.25">
      <c r="A92" s="101" t="str">
        <f>'Data shares'!C87</f>
        <v>ICICIPRULI</v>
      </c>
      <c r="B92" s="50">
        <f>VLOOKUP($A92,'Data shares'!$C:$FB,7)</f>
        <v>600.75</v>
      </c>
      <c r="C92" s="50">
        <f>VLOOKUP($A92,'Data shares'!$C:$FB,10)*100</f>
        <v>-0.2</v>
      </c>
      <c r="D92" s="49">
        <f>VLOOKUP($A92,'Data shares'!$C:$FB,66)</f>
        <v>14803700</v>
      </c>
      <c r="E92" s="49">
        <f>VLOOKUP($A92,'Data shares'!$C:$FB,67)</f>
        <v>14946150</v>
      </c>
      <c r="F92" s="50">
        <f>VLOOKUP($A92,'Data shares'!$C:$FB,69)*100</f>
        <v>-0.95</v>
      </c>
      <c r="G92" s="49">
        <f>VLOOKUP($A92,'Data shares'!$C:$FB,42)</f>
        <v>9109400</v>
      </c>
      <c r="H92" s="49">
        <f>VLOOKUP($A92,'Data shares'!$C:$FB,43)</f>
        <v>9215775</v>
      </c>
      <c r="I92" s="50">
        <f>VLOOKUP($A92,'Data shares'!$C:$FB,45)*100</f>
        <v>-1.1499999999999999</v>
      </c>
      <c r="J92" s="49">
        <f>VLOOKUP($A92,'Data shares'!$C:$FB,58)</f>
        <v>4171750</v>
      </c>
      <c r="K92" s="49">
        <f>VLOOKUP($A92,'Data shares'!$C:$FB,59)</f>
        <v>3537200</v>
      </c>
      <c r="L92" s="50">
        <f>VLOOKUP($A92,'Data shares'!$C:$FB,61)*100</f>
        <v>17.940000000000001</v>
      </c>
      <c r="M92" s="49">
        <f>VLOOKUP($A92,'Data shares'!$C:$FB,62)</f>
        <v>1522550</v>
      </c>
      <c r="N92" s="49">
        <f>VLOOKUP($A92,'Data shares'!$C:$FB,63)</f>
        <v>2193175</v>
      </c>
      <c r="O92" s="140">
        <f>VLOOKUP($A92,'Data shares'!$C:$FB,65)*100</f>
        <v>-30.580000000000002</v>
      </c>
    </row>
    <row r="93" spans="1:15" x14ac:dyDescent="0.25">
      <c r="A93" s="101" t="str">
        <f>'Data shares'!C88</f>
        <v>IDEA</v>
      </c>
      <c r="B93" s="50">
        <f>VLOOKUP($A93,'Data shares'!$C:$FB,7)</f>
        <v>9.9700000000000006</v>
      </c>
      <c r="C93" s="50">
        <f>VLOOKUP($A93,'Data shares'!$C:$FB,10)*100</f>
        <v>3.64</v>
      </c>
      <c r="D93" s="49">
        <f>VLOOKUP($A93,'Data shares'!$C:$FB,66)</f>
        <v>9617920000</v>
      </c>
      <c r="E93" s="49">
        <f>VLOOKUP($A93,'Data shares'!$C:$FB,67)</f>
        <v>3780400000</v>
      </c>
      <c r="F93" s="50">
        <f>VLOOKUP($A93,'Data shares'!$C:$FB,69)*100</f>
        <v>154.42000000000002</v>
      </c>
      <c r="G93" s="49">
        <f>VLOOKUP($A93,'Data shares'!$C:$FB,42)</f>
        <v>4913800000</v>
      </c>
      <c r="H93" s="49">
        <f>VLOOKUP($A93,'Data shares'!$C:$FB,43)</f>
        <v>2420640000</v>
      </c>
      <c r="I93" s="50">
        <f>VLOOKUP($A93,'Data shares'!$C:$FB,45)*100</f>
        <v>103</v>
      </c>
      <c r="J93" s="49">
        <f>VLOOKUP($A93,'Data shares'!$C:$FB,58)</f>
        <v>3615200000</v>
      </c>
      <c r="K93" s="49">
        <f>VLOOKUP($A93,'Data shares'!$C:$FB,59)</f>
        <v>982600000</v>
      </c>
      <c r="L93" s="50">
        <f>VLOOKUP($A93,'Data shares'!$C:$FB,61)*100</f>
        <v>267.91999999999996</v>
      </c>
      <c r="M93" s="49">
        <f>VLOOKUP($A93,'Data shares'!$C:$FB,62)</f>
        <v>1088920000</v>
      </c>
      <c r="N93" s="49">
        <f>VLOOKUP($A93,'Data shares'!$C:$FB,63)</f>
        <v>377160000</v>
      </c>
      <c r="O93" s="140">
        <f>VLOOKUP($A93,'Data shares'!$C:$FB,65)*100</f>
        <v>188.72</v>
      </c>
    </row>
    <row r="94" spans="1:15" x14ac:dyDescent="0.25">
      <c r="A94" s="101" t="str">
        <f>'Data shares'!C89</f>
        <v>IDFCFIRSTB</v>
      </c>
      <c r="B94" s="50">
        <f>VLOOKUP($A94,'Data shares'!$C:$FB,7)</f>
        <v>78.03</v>
      </c>
      <c r="C94" s="50">
        <f>VLOOKUP($A94,'Data shares'!$C:$FB,10)*100</f>
        <v>-0.22</v>
      </c>
      <c r="D94" s="49">
        <f>VLOOKUP($A94,'Data shares'!$C:$FB,66)</f>
        <v>417133850</v>
      </c>
      <c r="E94" s="49">
        <f>VLOOKUP($A94,'Data shares'!$C:$FB,67)</f>
        <v>488940900</v>
      </c>
      <c r="F94" s="50">
        <f>VLOOKUP($A94,'Data shares'!$C:$FB,69)*100</f>
        <v>-14.69</v>
      </c>
      <c r="G94" s="49">
        <f>VLOOKUP($A94,'Data shares'!$C:$FB,42)</f>
        <v>211367975</v>
      </c>
      <c r="H94" s="49">
        <f>VLOOKUP($A94,'Data shares'!$C:$FB,43)</f>
        <v>244832175</v>
      </c>
      <c r="I94" s="50">
        <f>VLOOKUP($A94,'Data shares'!$C:$FB,45)*100</f>
        <v>-13.669999999999998</v>
      </c>
      <c r="J94" s="49">
        <f>VLOOKUP($A94,'Data shares'!$C:$FB,58)</f>
        <v>131779200</v>
      </c>
      <c r="K94" s="49">
        <f>VLOOKUP($A94,'Data shares'!$C:$FB,59)</f>
        <v>163926350</v>
      </c>
      <c r="L94" s="50">
        <f>VLOOKUP($A94,'Data shares'!$C:$FB,61)*100</f>
        <v>-19.61</v>
      </c>
      <c r="M94" s="49">
        <f>VLOOKUP($A94,'Data shares'!$C:$FB,62)</f>
        <v>73986675</v>
      </c>
      <c r="N94" s="49">
        <f>VLOOKUP($A94,'Data shares'!$C:$FB,63)</f>
        <v>80182375</v>
      </c>
      <c r="O94" s="140">
        <f>VLOOKUP($A94,'Data shares'!$C:$FB,65)*100</f>
        <v>-7.7299999999999995</v>
      </c>
    </row>
    <row r="95" spans="1:15" x14ac:dyDescent="0.25">
      <c r="A95" s="101" t="str">
        <f>'Data shares'!C90</f>
        <v>IEX</v>
      </c>
      <c r="B95" s="50">
        <f>VLOOKUP($A95,'Data shares'!$C:$FB,7)</f>
        <v>147.13999999999999</v>
      </c>
      <c r="C95" s="50">
        <f>VLOOKUP($A95,'Data shares'!$C:$FB,10)*100</f>
        <v>0.06</v>
      </c>
      <c r="D95" s="49">
        <f>VLOOKUP($A95,'Data shares'!$C:$FB,66)</f>
        <v>119163750</v>
      </c>
      <c r="E95" s="49">
        <f>VLOOKUP($A95,'Data shares'!$C:$FB,67)</f>
        <v>218568750</v>
      </c>
      <c r="F95" s="50">
        <f>VLOOKUP($A95,'Data shares'!$C:$FB,69)*100</f>
        <v>-45.48</v>
      </c>
      <c r="G95" s="49">
        <f>VLOOKUP($A95,'Data shares'!$C:$FB,42)</f>
        <v>43736250</v>
      </c>
      <c r="H95" s="49">
        <f>VLOOKUP($A95,'Data shares'!$C:$FB,43)</f>
        <v>61353750</v>
      </c>
      <c r="I95" s="50">
        <f>VLOOKUP($A95,'Data shares'!$C:$FB,45)*100</f>
        <v>-28.71</v>
      </c>
      <c r="J95" s="49">
        <f>VLOOKUP($A95,'Data shares'!$C:$FB,58)</f>
        <v>53951250</v>
      </c>
      <c r="K95" s="49">
        <f>VLOOKUP($A95,'Data shares'!$C:$FB,59)</f>
        <v>109976250</v>
      </c>
      <c r="L95" s="50">
        <f>VLOOKUP($A95,'Data shares'!$C:$FB,61)*100</f>
        <v>-50.94</v>
      </c>
      <c r="M95" s="49">
        <f>VLOOKUP($A95,'Data shares'!$C:$FB,62)</f>
        <v>21476250</v>
      </c>
      <c r="N95" s="49">
        <f>VLOOKUP($A95,'Data shares'!$C:$FB,63)</f>
        <v>47238750</v>
      </c>
      <c r="O95" s="140">
        <f>VLOOKUP($A95,'Data shares'!$C:$FB,65)*100</f>
        <v>-54.54</v>
      </c>
    </row>
    <row r="96" spans="1:15" x14ac:dyDescent="0.25">
      <c r="A96" s="101" t="str">
        <f>'Data shares'!C91</f>
        <v>IGL</v>
      </c>
      <c r="B96" s="50">
        <f>VLOOKUP($A96,'Data shares'!$C:$FB,7)</f>
        <v>213.47</v>
      </c>
      <c r="C96" s="50">
        <f>VLOOKUP($A96,'Data shares'!$C:$FB,10)*100</f>
        <v>1.0900000000000001</v>
      </c>
      <c r="D96" s="49">
        <f>VLOOKUP($A96,'Data shares'!$C:$FB,66)</f>
        <v>34883750</v>
      </c>
      <c r="E96" s="49">
        <f>VLOOKUP($A96,'Data shares'!$C:$FB,67)</f>
        <v>35431000</v>
      </c>
      <c r="F96" s="50">
        <f>VLOOKUP($A96,'Data shares'!$C:$FB,69)*100</f>
        <v>-1.54</v>
      </c>
      <c r="G96" s="49">
        <f>VLOOKUP($A96,'Data shares'!$C:$FB,42)</f>
        <v>13378750</v>
      </c>
      <c r="H96" s="49">
        <f>VLOOKUP($A96,'Data shares'!$C:$FB,43)</f>
        <v>13378750</v>
      </c>
      <c r="I96" s="50">
        <f>VLOOKUP($A96,'Data shares'!$C:$FB,45)*100</f>
        <v>0</v>
      </c>
      <c r="J96" s="49">
        <f>VLOOKUP($A96,'Data shares'!$C:$FB,58)</f>
        <v>16062750</v>
      </c>
      <c r="K96" s="49">
        <f>VLOOKUP($A96,'Data shares'!$C:$FB,59)</f>
        <v>15746500</v>
      </c>
      <c r="L96" s="50">
        <f>VLOOKUP($A96,'Data shares'!$C:$FB,61)*100</f>
        <v>2.0099999999999998</v>
      </c>
      <c r="M96" s="49">
        <f>VLOOKUP($A96,'Data shares'!$C:$FB,62)</f>
        <v>5442250</v>
      </c>
      <c r="N96" s="49">
        <f>VLOOKUP($A96,'Data shares'!$C:$FB,63)</f>
        <v>6305750</v>
      </c>
      <c r="O96" s="140">
        <f>VLOOKUP($A96,'Data shares'!$C:$FB,65)*100</f>
        <v>-13.69</v>
      </c>
    </row>
    <row r="97" spans="1:15" x14ac:dyDescent="0.25">
      <c r="A97" s="101" t="str">
        <f>'Data shares'!C92</f>
        <v>IIFL</v>
      </c>
      <c r="B97" s="50">
        <f>VLOOKUP($A97,'Data shares'!$C:$FB,7)</f>
        <v>505.35</v>
      </c>
      <c r="C97" s="50">
        <f>VLOOKUP($A97,'Data shares'!$C:$FB,10)*100</f>
        <v>3.17</v>
      </c>
      <c r="D97" s="49">
        <f>VLOOKUP($A97,'Data shares'!$C:$FB,66)</f>
        <v>30229650</v>
      </c>
      <c r="E97" s="49">
        <f>VLOOKUP($A97,'Data shares'!$C:$FB,67)</f>
        <v>17272200</v>
      </c>
      <c r="F97" s="50">
        <f>VLOOKUP($A97,'Data shares'!$C:$FB,69)*100</f>
        <v>75.02</v>
      </c>
      <c r="G97" s="49">
        <f>VLOOKUP($A97,'Data shares'!$C:$FB,42)</f>
        <v>14879700</v>
      </c>
      <c r="H97" s="49">
        <f>VLOOKUP($A97,'Data shares'!$C:$FB,43)</f>
        <v>12584550</v>
      </c>
      <c r="I97" s="50">
        <f>VLOOKUP($A97,'Data shares'!$C:$FB,45)*100</f>
        <v>18.240000000000002</v>
      </c>
      <c r="J97" s="49">
        <f>VLOOKUP($A97,'Data shares'!$C:$FB,58)</f>
        <v>11492250</v>
      </c>
      <c r="K97" s="49">
        <f>VLOOKUP($A97,'Data shares'!$C:$FB,59)</f>
        <v>3077250</v>
      </c>
      <c r="L97" s="50">
        <f>VLOOKUP($A97,'Data shares'!$C:$FB,61)*100</f>
        <v>273.45999999999998</v>
      </c>
      <c r="M97" s="49">
        <f>VLOOKUP($A97,'Data shares'!$C:$FB,62)</f>
        <v>3857700</v>
      </c>
      <c r="N97" s="49">
        <f>VLOOKUP($A97,'Data shares'!$C:$FB,63)</f>
        <v>1610400</v>
      </c>
      <c r="O97" s="140">
        <f>VLOOKUP($A97,'Data shares'!$C:$FB,65)*100</f>
        <v>139.54999999999998</v>
      </c>
    </row>
    <row r="98" spans="1:15" x14ac:dyDescent="0.25">
      <c r="A98" s="101" t="str">
        <f>'Data shares'!C93</f>
        <v>INDHOTEL</v>
      </c>
      <c r="B98" s="50">
        <f>VLOOKUP($A98,'Data shares'!$C:$FB,7)</f>
        <v>746.55</v>
      </c>
      <c r="C98" s="50">
        <f>VLOOKUP($A98,'Data shares'!$C:$FB,10)*100</f>
        <v>1.4500000000000002</v>
      </c>
      <c r="D98" s="49">
        <f>VLOOKUP($A98,'Data shares'!$C:$FB,66)</f>
        <v>45452000</v>
      </c>
      <c r="E98" s="49">
        <f>VLOOKUP($A98,'Data shares'!$C:$FB,67)</f>
        <v>36010000</v>
      </c>
      <c r="F98" s="50">
        <f>VLOOKUP($A98,'Data shares'!$C:$FB,69)*100</f>
        <v>26.22</v>
      </c>
      <c r="G98" s="49">
        <f>VLOOKUP($A98,'Data shares'!$C:$FB,42)</f>
        <v>21954000</v>
      </c>
      <c r="H98" s="49">
        <f>VLOOKUP($A98,'Data shares'!$C:$FB,43)</f>
        <v>17485000</v>
      </c>
      <c r="I98" s="50">
        <f>VLOOKUP($A98,'Data shares'!$C:$FB,45)*100</f>
        <v>25.56</v>
      </c>
      <c r="J98" s="49">
        <f>VLOOKUP($A98,'Data shares'!$C:$FB,58)</f>
        <v>14545000</v>
      </c>
      <c r="K98" s="49">
        <f>VLOOKUP($A98,'Data shares'!$C:$FB,59)</f>
        <v>12349000</v>
      </c>
      <c r="L98" s="50">
        <f>VLOOKUP($A98,'Data shares'!$C:$FB,61)*100</f>
        <v>17.78</v>
      </c>
      <c r="M98" s="49">
        <f>VLOOKUP($A98,'Data shares'!$C:$FB,62)</f>
        <v>8953000</v>
      </c>
      <c r="N98" s="49">
        <f>VLOOKUP($A98,'Data shares'!$C:$FB,63)</f>
        <v>6176000</v>
      </c>
      <c r="O98" s="140">
        <f>VLOOKUP($A98,'Data shares'!$C:$FB,65)*100</f>
        <v>44.96</v>
      </c>
    </row>
    <row r="99" spans="1:15" x14ac:dyDescent="0.25">
      <c r="A99" s="101" t="str">
        <f>'Data shares'!C94</f>
        <v>INDIANB</v>
      </c>
      <c r="B99" s="50">
        <f>VLOOKUP($A99,'Data shares'!$C:$FB,7)</f>
        <v>825.85</v>
      </c>
      <c r="C99" s="50">
        <f>VLOOKUP($A99,'Data shares'!$C:$FB,10)*100</f>
        <v>0.71000000000000008</v>
      </c>
      <c r="D99" s="49">
        <f>VLOOKUP($A99,'Data shares'!$C:$FB,66)</f>
        <v>20727000</v>
      </c>
      <c r="E99" s="49">
        <f>VLOOKUP($A99,'Data shares'!$C:$FB,67)</f>
        <v>23390000</v>
      </c>
      <c r="F99" s="50">
        <f>VLOOKUP($A99,'Data shares'!$C:$FB,69)*100</f>
        <v>-11.39</v>
      </c>
      <c r="G99" s="49">
        <f>VLOOKUP($A99,'Data shares'!$C:$FB,42)</f>
        <v>7443000</v>
      </c>
      <c r="H99" s="49">
        <f>VLOOKUP($A99,'Data shares'!$C:$FB,43)</f>
        <v>8511000</v>
      </c>
      <c r="I99" s="50">
        <f>VLOOKUP($A99,'Data shares'!$C:$FB,45)*100</f>
        <v>-12.55</v>
      </c>
      <c r="J99" s="49">
        <f>VLOOKUP($A99,'Data shares'!$C:$FB,58)</f>
        <v>8255000</v>
      </c>
      <c r="K99" s="49">
        <f>VLOOKUP($A99,'Data shares'!$C:$FB,59)</f>
        <v>9084000</v>
      </c>
      <c r="L99" s="50">
        <f>VLOOKUP($A99,'Data shares'!$C:$FB,61)*100</f>
        <v>-9.1300000000000008</v>
      </c>
      <c r="M99" s="49">
        <f>VLOOKUP($A99,'Data shares'!$C:$FB,62)</f>
        <v>5029000</v>
      </c>
      <c r="N99" s="49">
        <f>VLOOKUP($A99,'Data shares'!$C:$FB,63)</f>
        <v>5795000</v>
      </c>
      <c r="O99" s="140">
        <f>VLOOKUP($A99,'Data shares'!$C:$FB,65)*100</f>
        <v>-13.22</v>
      </c>
    </row>
    <row r="100" spans="1:15" x14ac:dyDescent="0.25">
      <c r="A100" s="101" t="str">
        <f>'Data shares'!C95</f>
        <v>INDIAVIX</v>
      </c>
      <c r="B100" s="50">
        <f>VLOOKUP($A100,'Data shares'!$C:$FB,7)</f>
        <v>11.86</v>
      </c>
      <c r="C100" s="50">
        <f>VLOOKUP($A100,'Data shares'!$C:$FB,10)*100</f>
        <v>2.31</v>
      </c>
      <c r="D100" s="49">
        <f>VLOOKUP($A100,'Data shares'!$C:$FB,66)</f>
        <v>0</v>
      </c>
      <c r="E100" s="49">
        <f>VLOOKUP($A100,'Data shares'!$C:$FB,67)</f>
        <v>0</v>
      </c>
      <c r="F100" s="50">
        <f>VLOOKUP($A100,'Data shares'!$C:$FB,69)*100</f>
        <v>0</v>
      </c>
      <c r="G100" s="49">
        <f>VLOOKUP($A100,'Data shares'!$C:$FB,42)</f>
        <v>0</v>
      </c>
      <c r="H100" s="49">
        <f>VLOOKUP($A100,'Data shares'!$C:$FB,43)</f>
        <v>0</v>
      </c>
      <c r="I100" s="50">
        <f>VLOOKUP($A100,'Data shares'!$C:$FB,45)*100</f>
        <v>0</v>
      </c>
      <c r="J100" s="49">
        <f>VLOOKUP($A100,'Data shares'!$C:$FB,58)</f>
        <v>0</v>
      </c>
      <c r="K100" s="49">
        <f>VLOOKUP($A100,'Data shares'!$C:$FB,59)</f>
        <v>0</v>
      </c>
      <c r="L100" s="50">
        <f>VLOOKUP($A100,'Data shares'!$C:$FB,61)*100</f>
        <v>0</v>
      </c>
      <c r="M100" s="49">
        <f>VLOOKUP($A100,'Data shares'!$C:$FB,62)</f>
        <v>0</v>
      </c>
      <c r="N100" s="49">
        <f>VLOOKUP($A100,'Data shares'!$C:$FB,63)</f>
        <v>0</v>
      </c>
      <c r="O100" s="140">
        <f>VLOOKUP($A100,'Data shares'!$C:$FB,65)*100</f>
        <v>0</v>
      </c>
    </row>
    <row r="101" spans="1:15" x14ac:dyDescent="0.25">
      <c r="A101" s="101" t="str">
        <f>'Data shares'!C96</f>
        <v>INDIGO</v>
      </c>
      <c r="B101" s="50">
        <f>VLOOKUP($A101,'Data shares'!$C:$FB,7)</f>
        <v>5835</v>
      </c>
      <c r="C101" s="50">
        <f>VLOOKUP($A101,'Data shares'!$C:$FB,10)*100</f>
        <v>0.97</v>
      </c>
      <c r="D101" s="49">
        <f>VLOOKUP($A101,'Data shares'!$C:$FB,66)</f>
        <v>14798550</v>
      </c>
      <c r="E101" s="49">
        <f>VLOOKUP($A101,'Data shares'!$C:$FB,67)</f>
        <v>15196350</v>
      </c>
      <c r="F101" s="50">
        <f>VLOOKUP($A101,'Data shares'!$C:$FB,69)*100</f>
        <v>-2.62</v>
      </c>
      <c r="G101" s="49">
        <f>VLOOKUP($A101,'Data shares'!$C:$FB,42)</f>
        <v>6166200</v>
      </c>
      <c r="H101" s="49">
        <f>VLOOKUP($A101,'Data shares'!$C:$FB,43)</f>
        <v>7124700</v>
      </c>
      <c r="I101" s="50">
        <f>VLOOKUP($A101,'Data shares'!$C:$FB,45)*100</f>
        <v>-13.450000000000001</v>
      </c>
      <c r="J101" s="49">
        <f>VLOOKUP($A101,'Data shares'!$C:$FB,58)</f>
        <v>4993650</v>
      </c>
      <c r="K101" s="49">
        <f>VLOOKUP($A101,'Data shares'!$C:$FB,59)</f>
        <v>4935600</v>
      </c>
      <c r="L101" s="50">
        <f>VLOOKUP($A101,'Data shares'!$C:$FB,61)*100</f>
        <v>1.18</v>
      </c>
      <c r="M101" s="49">
        <f>VLOOKUP($A101,'Data shares'!$C:$FB,62)</f>
        <v>3638700</v>
      </c>
      <c r="N101" s="49">
        <f>VLOOKUP($A101,'Data shares'!$C:$FB,63)</f>
        <v>3136050</v>
      </c>
      <c r="O101" s="140">
        <f>VLOOKUP($A101,'Data shares'!$C:$FB,65)*100</f>
        <v>16.03</v>
      </c>
    </row>
    <row r="102" spans="1:15" x14ac:dyDescent="0.25">
      <c r="A102" s="101" t="str">
        <f>'Data shares'!C97</f>
        <v>INDUSINDBK</v>
      </c>
      <c r="B102" s="50">
        <f>VLOOKUP($A102,'Data shares'!$C:$FB,7)</f>
        <v>770.05</v>
      </c>
      <c r="C102" s="50">
        <f>VLOOKUP($A102,'Data shares'!$C:$FB,10)*100</f>
        <v>1.9900000000000002</v>
      </c>
      <c r="D102" s="49">
        <f>VLOOKUP($A102,'Data shares'!$C:$FB,66)</f>
        <v>81194400</v>
      </c>
      <c r="E102" s="49">
        <f>VLOOKUP($A102,'Data shares'!$C:$FB,67)</f>
        <v>62460300</v>
      </c>
      <c r="F102" s="50">
        <f>VLOOKUP($A102,'Data shares'!$C:$FB,69)*100</f>
        <v>29.99</v>
      </c>
      <c r="G102" s="49">
        <f>VLOOKUP($A102,'Data shares'!$C:$FB,42)</f>
        <v>38102400</v>
      </c>
      <c r="H102" s="49">
        <f>VLOOKUP($A102,'Data shares'!$C:$FB,43)</f>
        <v>29937600</v>
      </c>
      <c r="I102" s="50">
        <f>VLOOKUP($A102,'Data shares'!$C:$FB,45)*100</f>
        <v>27.27</v>
      </c>
      <c r="J102" s="49">
        <f>VLOOKUP($A102,'Data shares'!$C:$FB,58)</f>
        <v>26875100</v>
      </c>
      <c r="K102" s="49">
        <f>VLOOKUP($A102,'Data shares'!$C:$FB,59)</f>
        <v>18776800</v>
      </c>
      <c r="L102" s="50">
        <f>VLOOKUP($A102,'Data shares'!$C:$FB,61)*100</f>
        <v>43.13</v>
      </c>
      <c r="M102" s="49">
        <f>VLOOKUP($A102,'Data shares'!$C:$FB,62)</f>
        <v>16216900</v>
      </c>
      <c r="N102" s="49">
        <f>VLOOKUP($A102,'Data shares'!$C:$FB,63)</f>
        <v>13745900</v>
      </c>
      <c r="O102" s="140">
        <f>VLOOKUP($A102,'Data shares'!$C:$FB,65)*100</f>
        <v>17.98</v>
      </c>
    </row>
    <row r="103" spans="1:15" x14ac:dyDescent="0.25">
      <c r="A103" s="101" t="str">
        <f>'Data shares'!C98</f>
        <v>INDUSTOWER</v>
      </c>
      <c r="B103" s="50">
        <f>VLOOKUP($A103,'Data shares'!$C:$FB,7)</f>
        <v>371.3</v>
      </c>
      <c r="C103" s="50">
        <f>VLOOKUP($A103,'Data shares'!$C:$FB,10)*100</f>
        <v>2.7</v>
      </c>
      <c r="D103" s="49">
        <f>VLOOKUP($A103,'Data shares'!$C:$FB,66)</f>
        <v>391372300</v>
      </c>
      <c r="E103" s="49">
        <f>VLOOKUP($A103,'Data shares'!$C:$FB,67)</f>
        <v>95405700</v>
      </c>
      <c r="F103" s="50">
        <f>VLOOKUP($A103,'Data shares'!$C:$FB,69)*100</f>
        <v>310.21999999999997</v>
      </c>
      <c r="G103" s="49">
        <f>VLOOKUP($A103,'Data shares'!$C:$FB,42)</f>
        <v>116842700</v>
      </c>
      <c r="H103" s="49">
        <f>VLOOKUP($A103,'Data shares'!$C:$FB,43)</f>
        <v>54032800</v>
      </c>
      <c r="I103" s="50">
        <f>VLOOKUP($A103,'Data shares'!$C:$FB,45)*100</f>
        <v>116.24000000000001</v>
      </c>
      <c r="J103" s="49">
        <f>VLOOKUP($A103,'Data shares'!$C:$FB,58)</f>
        <v>191149700</v>
      </c>
      <c r="K103" s="49">
        <f>VLOOKUP($A103,'Data shares'!$C:$FB,59)</f>
        <v>29841800</v>
      </c>
      <c r="L103" s="50">
        <f>VLOOKUP($A103,'Data shares'!$C:$FB,61)*100</f>
        <v>540.54</v>
      </c>
      <c r="M103" s="49">
        <f>VLOOKUP($A103,'Data shares'!$C:$FB,62)</f>
        <v>83379900</v>
      </c>
      <c r="N103" s="49">
        <f>VLOOKUP($A103,'Data shares'!$C:$FB,63)</f>
        <v>11531100</v>
      </c>
      <c r="O103" s="140">
        <f>VLOOKUP($A103,'Data shares'!$C:$FB,65)*100</f>
        <v>623.09</v>
      </c>
    </row>
    <row r="104" spans="1:15" x14ac:dyDescent="0.25">
      <c r="A104" s="101" t="str">
        <f>'Data shares'!C99</f>
        <v>INFY</v>
      </c>
      <c r="B104" s="50">
        <f>VLOOKUP($A104,'Data shares'!$C:$FB,7)</f>
        <v>1504.5</v>
      </c>
      <c r="C104" s="50">
        <f>VLOOKUP($A104,'Data shares'!$C:$FB,10)*100</f>
        <v>-1.37</v>
      </c>
      <c r="D104" s="49">
        <f>VLOOKUP($A104,'Data shares'!$C:$FB,66)</f>
        <v>123122400</v>
      </c>
      <c r="E104" s="49">
        <f>VLOOKUP($A104,'Data shares'!$C:$FB,67)</f>
        <v>154102400</v>
      </c>
      <c r="F104" s="50">
        <f>VLOOKUP($A104,'Data shares'!$C:$FB,69)*100</f>
        <v>-20.100000000000001</v>
      </c>
      <c r="G104" s="49">
        <f>VLOOKUP($A104,'Data shares'!$C:$FB,42)</f>
        <v>31732000</v>
      </c>
      <c r="H104" s="49">
        <f>VLOOKUP($A104,'Data shares'!$C:$FB,43)</f>
        <v>30428800</v>
      </c>
      <c r="I104" s="50">
        <f>VLOOKUP($A104,'Data shares'!$C:$FB,45)*100</f>
        <v>4.2799999999999994</v>
      </c>
      <c r="J104" s="49">
        <f>VLOOKUP($A104,'Data shares'!$C:$FB,58)</f>
        <v>63393200</v>
      </c>
      <c r="K104" s="49">
        <f>VLOOKUP($A104,'Data shares'!$C:$FB,59)</f>
        <v>85982000</v>
      </c>
      <c r="L104" s="50">
        <f>VLOOKUP($A104,'Data shares'!$C:$FB,61)*100</f>
        <v>-26.27</v>
      </c>
      <c r="M104" s="49">
        <f>VLOOKUP($A104,'Data shares'!$C:$FB,62)</f>
        <v>27997200</v>
      </c>
      <c r="N104" s="49">
        <f>VLOOKUP($A104,'Data shares'!$C:$FB,63)</f>
        <v>37691600</v>
      </c>
      <c r="O104" s="140">
        <f>VLOOKUP($A104,'Data shares'!$C:$FB,65)*100</f>
        <v>-25.72</v>
      </c>
    </row>
    <row r="105" spans="1:15" x14ac:dyDescent="0.25">
      <c r="A105" s="101" t="str">
        <f>'Data shares'!C100</f>
        <v>INOXWIND</v>
      </c>
      <c r="B105" s="50">
        <f>VLOOKUP($A105,'Data shares'!$C:$FB,7)</f>
        <v>153.1</v>
      </c>
      <c r="C105" s="50">
        <f>VLOOKUP($A105,'Data shares'!$C:$FB,10)*100</f>
        <v>-0.64</v>
      </c>
      <c r="D105" s="49">
        <f>VLOOKUP($A105,'Data shares'!$C:$FB,66)</f>
        <v>60839568</v>
      </c>
      <c r="E105" s="49">
        <f>VLOOKUP($A105,'Data shares'!$C:$FB,67)</f>
        <v>126217400</v>
      </c>
      <c r="F105" s="50">
        <f>VLOOKUP($A105,'Data shares'!$C:$FB,69)*100</f>
        <v>-51.800000000000004</v>
      </c>
      <c r="G105" s="49">
        <f>VLOOKUP($A105,'Data shares'!$C:$FB,42)</f>
        <v>36659488</v>
      </c>
      <c r="H105" s="49">
        <f>VLOOKUP($A105,'Data shares'!$C:$FB,43)</f>
        <v>43138048</v>
      </c>
      <c r="I105" s="50">
        <f>VLOOKUP($A105,'Data shares'!$C:$FB,45)*100</f>
        <v>-15.02</v>
      </c>
      <c r="J105" s="49">
        <f>VLOOKUP($A105,'Data shares'!$C:$FB,58)</f>
        <v>18208680</v>
      </c>
      <c r="K105" s="49">
        <f>VLOOKUP($A105,'Data shares'!$C:$FB,59)</f>
        <v>58045280</v>
      </c>
      <c r="L105" s="50">
        <f>VLOOKUP($A105,'Data shares'!$C:$FB,61)*100</f>
        <v>-68.63</v>
      </c>
      <c r="M105" s="49">
        <f>VLOOKUP($A105,'Data shares'!$C:$FB,62)</f>
        <v>5971400</v>
      </c>
      <c r="N105" s="49">
        <f>VLOOKUP($A105,'Data shares'!$C:$FB,63)</f>
        <v>25034072</v>
      </c>
      <c r="O105" s="140">
        <f>VLOOKUP($A105,'Data shares'!$C:$FB,65)*100</f>
        <v>-76.149999999999991</v>
      </c>
    </row>
    <row r="106" spans="1:15" x14ac:dyDescent="0.25">
      <c r="A106" s="101" t="str">
        <f>'Data shares'!C101</f>
        <v>IOC</v>
      </c>
      <c r="B106" s="50">
        <f>VLOOKUP($A106,'Data shares'!$C:$FB,7)</f>
        <v>155.19999999999999</v>
      </c>
      <c r="C106" s="50">
        <f>VLOOKUP($A106,'Data shares'!$C:$FB,10)*100</f>
        <v>3.2099999999999995</v>
      </c>
      <c r="D106" s="49">
        <f>VLOOKUP($A106,'Data shares'!$C:$FB,66)</f>
        <v>315100500</v>
      </c>
      <c r="E106" s="49">
        <f>VLOOKUP($A106,'Data shares'!$C:$FB,67)</f>
        <v>187999500</v>
      </c>
      <c r="F106" s="50">
        <f>VLOOKUP($A106,'Data shares'!$C:$FB,69)*100</f>
        <v>67.61</v>
      </c>
      <c r="G106" s="49">
        <f>VLOOKUP($A106,'Data shares'!$C:$FB,42)</f>
        <v>91489125</v>
      </c>
      <c r="H106" s="49">
        <f>VLOOKUP($A106,'Data shares'!$C:$FB,43)</f>
        <v>89665875</v>
      </c>
      <c r="I106" s="50">
        <f>VLOOKUP($A106,'Data shares'!$C:$FB,45)*100</f>
        <v>2.0299999999999998</v>
      </c>
      <c r="J106" s="49">
        <f>VLOOKUP($A106,'Data shares'!$C:$FB,58)</f>
        <v>162235125</v>
      </c>
      <c r="K106" s="49">
        <f>VLOOKUP($A106,'Data shares'!$C:$FB,59)</f>
        <v>64662000</v>
      </c>
      <c r="L106" s="50">
        <f>VLOOKUP($A106,'Data shares'!$C:$FB,61)*100</f>
        <v>150.89999999999998</v>
      </c>
      <c r="M106" s="49">
        <f>VLOOKUP($A106,'Data shares'!$C:$FB,62)</f>
        <v>61376250</v>
      </c>
      <c r="N106" s="49">
        <f>VLOOKUP($A106,'Data shares'!$C:$FB,63)</f>
        <v>33671625</v>
      </c>
      <c r="O106" s="140">
        <f>VLOOKUP($A106,'Data shares'!$C:$FB,65)*100</f>
        <v>82.28</v>
      </c>
    </row>
    <row r="107" spans="1:15" x14ac:dyDescent="0.25">
      <c r="A107" s="101" t="str">
        <f>'Data shares'!C102</f>
        <v>IRCTC</v>
      </c>
      <c r="B107" s="50">
        <f>VLOOKUP($A107,'Data shares'!$C:$FB,7)</f>
        <v>724.1</v>
      </c>
      <c r="C107" s="50">
        <f>VLOOKUP($A107,'Data shares'!$C:$FB,10)*100</f>
        <v>1.3</v>
      </c>
      <c r="D107" s="49">
        <f>VLOOKUP($A107,'Data shares'!$C:$FB,66)</f>
        <v>22083250</v>
      </c>
      <c r="E107" s="49">
        <f>VLOOKUP($A107,'Data shares'!$C:$FB,67)</f>
        <v>36448125</v>
      </c>
      <c r="F107" s="50">
        <f>VLOOKUP($A107,'Data shares'!$C:$FB,69)*100</f>
        <v>-39.410000000000004</v>
      </c>
      <c r="G107" s="49">
        <f>VLOOKUP($A107,'Data shares'!$C:$FB,42)</f>
        <v>9099125</v>
      </c>
      <c r="H107" s="49">
        <f>VLOOKUP($A107,'Data shares'!$C:$FB,43)</f>
        <v>11665500</v>
      </c>
      <c r="I107" s="50">
        <f>VLOOKUP($A107,'Data shares'!$C:$FB,45)*100</f>
        <v>-22</v>
      </c>
      <c r="J107" s="49">
        <f>VLOOKUP($A107,'Data shares'!$C:$FB,58)</f>
        <v>8822625</v>
      </c>
      <c r="K107" s="49">
        <f>VLOOKUP($A107,'Data shares'!$C:$FB,59)</f>
        <v>19140625</v>
      </c>
      <c r="L107" s="50">
        <f>VLOOKUP($A107,'Data shares'!$C:$FB,61)*100</f>
        <v>-53.910000000000004</v>
      </c>
      <c r="M107" s="49">
        <f>VLOOKUP($A107,'Data shares'!$C:$FB,62)</f>
        <v>4161500</v>
      </c>
      <c r="N107" s="49">
        <f>VLOOKUP($A107,'Data shares'!$C:$FB,63)</f>
        <v>5642000</v>
      </c>
      <c r="O107" s="140">
        <f>VLOOKUP($A107,'Data shares'!$C:$FB,65)*100</f>
        <v>-26.240000000000002</v>
      </c>
    </row>
    <row r="108" spans="1:15" x14ac:dyDescent="0.25">
      <c r="A108" s="101" t="str">
        <f>'Data shares'!C103</f>
        <v>IREDA</v>
      </c>
      <c r="B108" s="50">
        <f>VLOOKUP($A108,'Data shares'!$C:$FB,7)</f>
        <v>153.37</v>
      </c>
      <c r="C108" s="50">
        <f>VLOOKUP($A108,'Data shares'!$C:$FB,10)*100</f>
        <v>-0.02</v>
      </c>
      <c r="D108" s="49">
        <f>VLOOKUP($A108,'Data shares'!$C:$FB,66)</f>
        <v>85052850</v>
      </c>
      <c r="E108" s="49">
        <f>VLOOKUP($A108,'Data shares'!$C:$FB,67)</f>
        <v>84732000</v>
      </c>
      <c r="F108" s="50">
        <f>VLOOKUP($A108,'Data shares'!$C:$FB,69)*100</f>
        <v>0.38</v>
      </c>
      <c r="G108" s="49">
        <f>VLOOKUP($A108,'Data shares'!$C:$FB,42)</f>
        <v>42228000</v>
      </c>
      <c r="H108" s="49">
        <f>VLOOKUP($A108,'Data shares'!$C:$FB,43)</f>
        <v>35441850</v>
      </c>
      <c r="I108" s="50">
        <f>VLOOKUP($A108,'Data shares'!$C:$FB,45)*100</f>
        <v>19.149999999999999</v>
      </c>
      <c r="J108" s="49">
        <f>VLOOKUP($A108,'Data shares'!$C:$FB,58)</f>
        <v>32057400</v>
      </c>
      <c r="K108" s="49">
        <f>VLOOKUP($A108,'Data shares'!$C:$FB,59)</f>
        <v>36787350</v>
      </c>
      <c r="L108" s="50">
        <f>VLOOKUP($A108,'Data shares'!$C:$FB,61)*100</f>
        <v>-12.86</v>
      </c>
      <c r="M108" s="49">
        <f>VLOOKUP($A108,'Data shares'!$C:$FB,62)</f>
        <v>10767450</v>
      </c>
      <c r="N108" s="49">
        <f>VLOOKUP($A108,'Data shares'!$C:$FB,63)</f>
        <v>12502800</v>
      </c>
      <c r="O108" s="140">
        <f>VLOOKUP($A108,'Data shares'!$C:$FB,65)*100</f>
        <v>-13.88</v>
      </c>
    </row>
    <row r="109" spans="1:15" x14ac:dyDescent="0.25">
      <c r="A109" s="101" t="str">
        <f>'Data shares'!C104</f>
        <v>IRFC</v>
      </c>
      <c r="B109" s="50">
        <f>VLOOKUP($A109,'Data shares'!$C:$FB,7)</f>
        <v>123.45</v>
      </c>
      <c r="C109" s="50">
        <f>VLOOKUP($A109,'Data shares'!$C:$FB,10)*100</f>
        <v>-0.22999999999999998</v>
      </c>
      <c r="D109" s="49">
        <f>VLOOKUP($A109,'Data shares'!$C:$FB,66)</f>
        <v>56567500</v>
      </c>
      <c r="E109" s="49">
        <f>VLOOKUP($A109,'Data shares'!$C:$FB,67)</f>
        <v>58284500</v>
      </c>
      <c r="F109" s="50">
        <f>VLOOKUP($A109,'Data shares'!$C:$FB,69)*100</f>
        <v>-2.9499999999999997</v>
      </c>
      <c r="G109" s="49">
        <f>VLOOKUP($A109,'Data shares'!$C:$FB,42)</f>
        <v>30056000</v>
      </c>
      <c r="H109" s="49">
        <f>VLOOKUP($A109,'Data shares'!$C:$FB,43)</f>
        <v>31930250</v>
      </c>
      <c r="I109" s="50">
        <f>VLOOKUP($A109,'Data shares'!$C:$FB,45)*100</f>
        <v>-5.87</v>
      </c>
      <c r="J109" s="49">
        <f>VLOOKUP($A109,'Data shares'!$C:$FB,58)</f>
        <v>16885250</v>
      </c>
      <c r="K109" s="49">
        <f>VLOOKUP($A109,'Data shares'!$C:$FB,59)</f>
        <v>18916750</v>
      </c>
      <c r="L109" s="50">
        <f>VLOOKUP($A109,'Data shares'!$C:$FB,61)*100</f>
        <v>-10.74</v>
      </c>
      <c r="M109" s="49">
        <f>VLOOKUP($A109,'Data shares'!$C:$FB,62)</f>
        <v>9626250</v>
      </c>
      <c r="N109" s="49">
        <f>VLOOKUP($A109,'Data shares'!$C:$FB,63)</f>
        <v>7437500</v>
      </c>
      <c r="O109" s="140">
        <f>VLOOKUP($A109,'Data shares'!$C:$FB,65)*100</f>
        <v>29.43</v>
      </c>
    </row>
    <row r="110" spans="1:15" x14ac:dyDescent="0.25">
      <c r="A110" s="101" t="str">
        <f>'Data shares'!C105</f>
        <v>ITC</v>
      </c>
      <c r="B110" s="50">
        <f>VLOOKUP($A110,'Data shares'!$C:$FB,7)</f>
        <v>420.65</v>
      </c>
      <c r="C110" s="50">
        <f>VLOOKUP($A110,'Data shares'!$C:$FB,10)*100</f>
        <v>0.91999999999999993</v>
      </c>
      <c r="D110" s="49">
        <f>VLOOKUP($A110,'Data shares'!$C:$FB,66)</f>
        <v>237641600</v>
      </c>
      <c r="E110" s="49">
        <f>VLOOKUP($A110,'Data shares'!$C:$FB,67)</f>
        <v>185897600</v>
      </c>
      <c r="F110" s="50">
        <f>VLOOKUP($A110,'Data shares'!$C:$FB,69)*100</f>
        <v>27.83</v>
      </c>
      <c r="G110" s="49">
        <f>VLOOKUP($A110,'Data shares'!$C:$FB,42)</f>
        <v>105486400</v>
      </c>
      <c r="H110" s="49">
        <f>VLOOKUP($A110,'Data shares'!$C:$FB,43)</f>
        <v>95449600</v>
      </c>
      <c r="I110" s="50">
        <f>VLOOKUP($A110,'Data shares'!$C:$FB,45)*100</f>
        <v>10.52</v>
      </c>
      <c r="J110" s="49">
        <f>VLOOKUP($A110,'Data shares'!$C:$FB,58)</f>
        <v>78638400</v>
      </c>
      <c r="K110" s="49">
        <f>VLOOKUP($A110,'Data shares'!$C:$FB,59)</f>
        <v>54022400</v>
      </c>
      <c r="L110" s="50">
        <f>VLOOKUP($A110,'Data shares'!$C:$FB,61)*100</f>
        <v>45.57</v>
      </c>
      <c r="M110" s="49">
        <f>VLOOKUP($A110,'Data shares'!$C:$FB,62)</f>
        <v>53516800</v>
      </c>
      <c r="N110" s="49">
        <f>VLOOKUP($A110,'Data shares'!$C:$FB,63)</f>
        <v>36425600</v>
      </c>
      <c r="O110" s="140">
        <f>VLOOKUP($A110,'Data shares'!$C:$FB,65)*100</f>
        <v>46.92</v>
      </c>
    </row>
    <row r="111" spans="1:15" x14ac:dyDescent="0.25">
      <c r="A111" s="101" t="str">
        <f>'Data shares'!C106</f>
        <v>JINDALSTEL</v>
      </c>
      <c r="B111" s="50">
        <f>VLOOKUP($A111,'Data shares'!$C:$FB,7)</f>
        <v>1034.3</v>
      </c>
      <c r="C111" s="50">
        <f>VLOOKUP($A111,'Data shares'!$C:$FB,10)*100</f>
        <v>2.59</v>
      </c>
      <c r="D111" s="49">
        <f>VLOOKUP($A111,'Data shares'!$C:$FB,66)</f>
        <v>28626875</v>
      </c>
      <c r="E111" s="49">
        <f>VLOOKUP($A111,'Data shares'!$C:$FB,67)</f>
        <v>26681250</v>
      </c>
      <c r="F111" s="50">
        <f>VLOOKUP($A111,'Data shares'!$C:$FB,69)*100</f>
        <v>7.2900000000000009</v>
      </c>
      <c r="G111" s="49">
        <f>VLOOKUP($A111,'Data shares'!$C:$FB,42)</f>
        <v>10311250</v>
      </c>
      <c r="H111" s="49">
        <f>VLOOKUP($A111,'Data shares'!$C:$FB,43)</f>
        <v>9641875</v>
      </c>
      <c r="I111" s="50">
        <f>VLOOKUP($A111,'Data shares'!$C:$FB,45)*100</f>
        <v>6.94</v>
      </c>
      <c r="J111" s="49">
        <f>VLOOKUP($A111,'Data shares'!$C:$FB,58)</f>
        <v>12435625</v>
      </c>
      <c r="K111" s="49">
        <f>VLOOKUP($A111,'Data shares'!$C:$FB,59)</f>
        <v>12640625</v>
      </c>
      <c r="L111" s="50">
        <f>VLOOKUP($A111,'Data shares'!$C:$FB,61)*100</f>
        <v>-1.6199999999999999</v>
      </c>
      <c r="M111" s="49">
        <f>VLOOKUP($A111,'Data shares'!$C:$FB,62)</f>
        <v>5880000</v>
      </c>
      <c r="N111" s="49">
        <f>VLOOKUP($A111,'Data shares'!$C:$FB,63)</f>
        <v>4398750</v>
      </c>
      <c r="O111" s="140">
        <f>VLOOKUP($A111,'Data shares'!$C:$FB,65)*100</f>
        <v>33.67</v>
      </c>
    </row>
    <row r="112" spans="1:15" x14ac:dyDescent="0.25">
      <c r="A112" s="101" t="str">
        <f>'Data shares'!C107</f>
        <v>JIOFIN</v>
      </c>
      <c r="B112" s="50">
        <f>VLOOKUP($A112,'Data shares'!$C:$FB,7)</f>
        <v>305.55</v>
      </c>
      <c r="C112" s="50">
        <f>VLOOKUP($A112,'Data shares'!$C:$FB,10)*100</f>
        <v>-0.13</v>
      </c>
      <c r="D112" s="49">
        <f>VLOOKUP($A112,'Data shares'!$C:$FB,66)</f>
        <v>164986450</v>
      </c>
      <c r="E112" s="49">
        <f>VLOOKUP($A112,'Data shares'!$C:$FB,67)</f>
        <v>180129850</v>
      </c>
      <c r="F112" s="50">
        <f>VLOOKUP($A112,'Data shares'!$C:$FB,69)*100</f>
        <v>-8.41</v>
      </c>
      <c r="G112" s="49">
        <f>VLOOKUP($A112,'Data shares'!$C:$FB,42)</f>
        <v>79190300</v>
      </c>
      <c r="H112" s="49">
        <f>VLOOKUP($A112,'Data shares'!$C:$FB,43)</f>
        <v>68782150</v>
      </c>
      <c r="I112" s="50">
        <f>VLOOKUP($A112,'Data shares'!$C:$FB,45)*100</f>
        <v>15.129999999999999</v>
      </c>
      <c r="J112" s="49">
        <f>VLOOKUP($A112,'Data shares'!$C:$FB,58)</f>
        <v>56486950</v>
      </c>
      <c r="K112" s="49">
        <f>VLOOKUP($A112,'Data shares'!$C:$FB,59)</f>
        <v>78520550</v>
      </c>
      <c r="L112" s="50">
        <f>VLOOKUP($A112,'Data shares'!$C:$FB,61)*100</f>
        <v>-28.060000000000002</v>
      </c>
      <c r="M112" s="49">
        <f>VLOOKUP($A112,'Data shares'!$C:$FB,62)</f>
        <v>29309200</v>
      </c>
      <c r="N112" s="49">
        <f>VLOOKUP($A112,'Data shares'!$C:$FB,63)</f>
        <v>32827150</v>
      </c>
      <c r="O112" s="140">
        <f>VLOOKUP($A112,'Data shares'!$C:$FB,65)*100</f>
        <v>-10.72</v>
      </c>
    </row>
    <row r="113" spans="1:15" x14ac:dyDescent="0.25">
      <c r="A113" s="101" t="str">
        <f>'Data shares'!C108</f>
        <v>JSWENERGY</v>
      </c>
      <c r="B113" s="50">
        <f>VLOOKUP($A113,'Data shares'!$C:$FB,7)</f>
        <v>529.35</v>
      </c>
      <c r="C113" s="50">
        <f>VLOOKUP($A113,'Data shares'!$C:$FB,10)*100</f>
        <v>-0.33999999999999997</v>
      </c>
      <c r="D113" s="49">
        <f>VLOOKUP($A113,'Data shares'!$C:$FB,66)</f>
        <v>45325000</v>
      </c>
      <c r="E113" s="49">
        <f>VLOOKUP($A113,'Data shares'!$C:$FB,67)</f>
        <v>61007000</v>
      </c>
      <c r="F113" s="50">
        <f>VLOOKUP($A113,'Data shares'!$C:$FB,69)*100</f>
        <v>-25.71</v>
      </c>
      <c r="G113" s="49">
        <f>VLOOKUP($A113,'Data shares'!$C:$FB,42)</f>
        <v>23291000</v>
      </c>
      <c r="H113" s="49">
        <f>VLOOKUP($A113,'Data shares'!$C:$FB,43)</f>
        <v>29884000</v>
      </c>
      <c r="I113" s="50">
        <f>VLOOKUP($A113,'Data shares'!$C:$FB,45)*100</f>
        <v>-22.06</v>
      </c>
      <c r="J113" s="49">
        <f>VLOOKUP($A113,'Data shares'!$C:$FB,58)</f>
        <v>15584000</v>
      </c>
      <c r="K113" s="49">
        <f>VLOOKUP($A113,'Data shares'!$C:$FB,59)</f>
        <v>23795000</v>
      </c>
      <c r="L113" s="50">
        <f>VLOOKUP($A113,'Data shares'!$C:$FB,61)*100</f>
        <v>-34.510000000000005</v>
      </c>
      <c r="M113" s="49">
        <f>VLOOKUP($A113,'Data shares'!$C:$FB,62)</f>
        <v>6450000</v>
      </c>
      <c r="N113" s="49">
        <f>VLOOKUP($A113,'Data shares'!$C:$FB,63)</f>
        <v>7328000</v>
      </c>
      <c r="O113" s="140">
        <f>VLOOKUP($A113,'Data shares'!$C:$FB,65)*100</f>
        <v>-11.98</v>
      </c>
    </row>
    <row r="114" spans="1:15" x14ac:dyDescent="0.25">
      <c r="A114" s="101" t="str">
        <f>'Data shares'!C109</f>
        <v>JSWSTEEL</v>
      </c>
      <c r="B114" s="50">
        <f>VLOOKUP($A114,'Data shares'!$C:$FB,7)</f>
        <v>1150.5999999999999</v>
      </c>
      <c r="C114" s="50">
        <f>VLOOKUP($A114,'Data shares'!$C:$FB,10)*100</f>
        <v>0.80999999999999994</v>
      </c>
      <c r="D114" s="49">
        <f>VLOOKUP($A114,'Data shares'!$C:$FB,66)</f>
        <v>38535075</v>
      </c>
      <c r="E114" s="49">
        <f>VLOOKUP($A114,'Data shares'!$C:$FB,67)</f>
        <v>47673900</v>
      </c>
      <c r="F114" s="50">
        <f>VLOOKUP($A114,'Data shares'!$C:$FB,69)*100</f>
        <v>-19.170000000000002</v>
      </c>
      <c r="G114" s="49">
        <f>VLOOKUP($A114,'Data shares'!$C:$FB,42)</f>
        <v>20933775</v>
      </c>
      <c r="H114" s="49">
        <f>VLOOKUP($A114,'Data shares'!$C:$FB,43)</f>
        <v>28001700</v>
      </c>
      <c r="I114" s="50">
        <f>VLOOKUP($A114,'Data shares'!$C:$FB,45)*100</f>
        <v>-25.240000000000002</v>
      </c>
      <c r="J114" s="49">
        <f>VLOOKUP($A114,'Data shares'!$C:$FB,58)</f>
        <v>11554650</v>
      </c>
      <c r="K114" s="49">
        <f>VLOOKUP($A114,'Data shares'!$C:$FB,59)</f>
        <v>13057875</v>
      </c>
      <c r="L114" s="50">
        <f>VLOOKUP($A114,'Data shares'!$C:$FB,61)*100</f>
        <v>-11.51</v>
      </c>
      <c r="M114" s="49">
        <f>VLOOKUP($A114,'Data shares'!$C:$FB,62)</f>
        <v>6046650</v>
      </c>
      <c r="N114" s="49">
        <f>VLOOKUP($A114,'Data shares'!$C:$FB,63)</f>
        <v>6614325</v>
      </c>
      <c r="O114" s="140">
        <f>VLOOKUP($A114,'Data shares'!$C:$FB,65)*100</f>
        <v>-8.58</v>
      </c>
    </row>
    <row r="115" spans="1:15" x14ac:dyDescent="0.25">
      <c r="A115" s="101" t="str">
        <f>'Data shares'!C110</f>
        <v>JUBLFOOD</v>
      </c>
      <c r="B115" s="50">
        <f>VLOOKUP($A115,'Data shares'!$C:$FB,7)</f>
        <v>595.70000000000005</v>
      </c>
      <c r="C115" s="50">
        <f>VLOOKUP($A115,'Data shares'!$C:$FB,10)*100</f>
        <v>0.86999999999999988</v>
      </c>
      <c r="D115" s="49">
        <f>VLOOKUP($A115,'Data shares'!$C:$FB,66)</f>
        <v>29695000</v>
      </c>
      <c r="E115" s="49">
        <f>VLOOKUP($A115,'Data shares'!$C:$FB,67)</f>
        <v>29577500</v>
      </c>
      <c r="F115" s="50">
        <f>VLOOKUP($A115,'Data shares'!$C:$FB,69)*100</f>
        <v>0.4</v>
      </c>
      <c r="G115" s="49">
        <f>VLOOKUP($A115,'Data shares'!$C:$FB,42)</f>
        <v>18852500</v>
      </c>
      <c r="H115" s="49">
        <f>VLOOKUP($A115,'Data shares'!$C:$FB,43)</f>
        <v>17041250</v>
      </c>
      <c r="I115" s="50">
        <f>VLOOKUP($A115,'Data shares'!$C:$FB,45)*100</f>
        <v>10.63</v>
      </c>
      <c r="J115" s="49">
        <f>VLOOKUP($A115,'Data shares'!$C:$FB,58)</f>
        <v>7526250</v>
      </c>
      <c r="K115" s="49">
        <f>VLOOKUP($A115,'Data shares'!$C:$FB,59)</f>
        <v>8378750</v>
      </c>
      <c r="L115" s="50">
        <f>VLOOKUP($A115,'Data shares'!$C:$FB,61)*100</f>
        <v>-10.17</v>
      </c>
      <c r="M115" s="49">
        <f>VLOOKUP($A115,'Data shares'!$C:$FB,62)</f>
        <v>3316250</v>
      </c>
      <c r="N115" s="49">
        <f>VLOOKUP($A115,'Data shares'!$C:$FB,63)</f>
        <v>4157500</v>
      </c>
      <c r="O115" s="140">
        <f>VLOOKUP($A115,'Data shares'!$C:$FB,65)*100</f>
        <v>-20.23</v>
      </c>
    </row>
    <row r="116" spans="1:15" x14ac:dyDescent="0.25">
      <c r="A116" s="101" t="str">
        <f>'Data shares'!C111</f>
        <v>KALYANKJIL</v>
      </c>
      <c r="B116" s="50">
        <f>VLOOKUP($A116,'Data shares'!$C:$FB,7)</f>
        <v>505.85</v>
      </c>
      <c r="C116" s="50">
        <f>VLOOKUP($A116,'Data shares'!$C:$FB,10)*100</f>
        <v>2.13</v>
      </c>
      <c r="D116" s="49">
        <f>VLOOKUP($A116,'Data shares'!$C:$FB,66)</f>
        <v>54572875</v>
      </c>
      <c r="E116" s="49">
        <f>VLOOKUP($A116,'Data shares'!$C:$FB,67)</f>
        <v>38851375</v>
      </c>
      <c r="F116" s="50">
        <f>VLOOKUP($A116,'Data shares'!$C:$FB,69)*100</f>
        <v>40.47</v>
      </c>
      <c r="G116" s="49">
        <f>VLOOKUP($A116,'Data shares'!$C:$FB,42)</f>
        <v>25878200</v>
      </c>
      <c r="H116" s="49">
        <f>VLOOKUP($A116,'Data shares'!$C:$FB,43)</f>
        <v>20107775</v>
      </c>
      <c r="I116" s="50">
        <f>VLOOKUP($A116,'Data shares'!$C:$FB,45)*100</f>
        <v>28.7</v>
      </c>
      <c r="J116" s="49">
        <f>VLOOKUP($A116,'Data shares'!$C:$FB,58)</f>
        <v>20043150</v>
      </c>
      <c r="K116" s="49">
        <f>VLOOKUP($A116,'Data shares'!$C:$FB,59)</f>
        <v>13615900</v>
      </c>
      <c r="L116" s="50">
        <f>VLOOKUP($A116,'Data shares'!$C:$FB,61)*100</f>
        <v>47.199999999999996</v>
      </c>
      <c r="M116" s="49">
        <f>VLOOKUP($A116,'Data shares'!$C:$FB,62)</f>
        <v>8651525</v>
      </c>
      <c r="N116" s="49">
        <f>VLOOKUP($A116,'Data shares'!$C:$FB,63)</f>
        <v>5127700</v>
      </c>
      <c r="O116" s="140">
        <f>VLOOKUP($A116,'Data shares'!$C:$FB,65)*100</f>
        <v>68.72</v>
      </c>
    </row>
    <row r="117" spans="1:15" x14ac:dyDescent="0.25">
      <c r="A117" s="101" t="str">
        <f>'Data shares'!C112</f>
        <v>KAYNES</v>
      </c>
      <c r="B117" s="50">
        <f>VLOOKUP($A117,'Data shares'!$C:$FB,7)</f>
        <v>6737.5</v>
      </c>
      <c r="C117" s="50">
        <f>VLOOKUP($A117,'Data shares'!$C:$FB,10)*100</f>
        <v>0.73</v>
      </c>
      <c r="D117" s="49">
        <f>VLOOKUP($A117,'Data shares'!$C:$FB,66)</f>
        <v>4020500</v>
      </c>
      <c r="E117" s="49">
        <f>VLOOKUP($A117,'Data shares'!$C:$FB,67)</f>
        <v>5673300</v>
      </c>
      <c r="F117" s="50">
        <f>VLOOKUP($A117,'Data shares'!$C:$FB,69)*100</f>
        <v>-29.13</v>
      </c>
      <c r="G117" s="49">
        <f>VLOOKUP($A117,'Data shares'!$C:$FB,42)</f>
        <v>1067200</v>
      </c>
      <c r="H117" s="49">
        <f>VLOOKUP($A117,'Data shares'!$C:$FB,43)</f>
        <v>1209200</v>
      </c>
      <c r="I117" s="50">
        <f>VLOOKUP($A117,'Data shares'!$C:$FB,45)*100</f>
        <v>-11.74</v>
      </c>
      <c r="J117" s="49">
        <f>VLOOKUP($A117,'Data shares'!$C:$FB,58)</f>
        <v>2206200</v>
      </c>
      <c r="K117" s="49">
        <f>VLOOKUP($A117,'Data shares'!$C:$FB,59)</f>
        <v>3292600</v>
      </c>
      <c r="L117" s="50">
        <f>VLOOKUP($A117,'Data shares'!$C:$FB,61)*100</f>
        <v>-33</v>
      </c>
      <c r="M117" s="49">
        <f>VLOOKUP($A117,'Data shares'!$C:$FB,62)</f>
        <v>747100</v>
      </c>
      <c r="N117" s="49">
        <f>VLOOKUP($A117,'Data shares'!$C:$FB,63)</f>
        <v>1171500</v>
      </c>
      <c r="O117" s="140">
        <f>VLOOKUP($A117,'Data shares'!$C:$FB,65)*100</f>
        <v>-36.230000000000004</v>
      </c>
    </row>
    <row r="118" spans="1:15" x14ac:dyDescent="0.25">
      <c r="A118" s="101" t="str">
        <f>'Data shares'!C113</f>
        <v>KEI</v>
      </c>
      <c r="B118" s="50">
        <f>VLOOKUP($A118,'Data shares'!$C:$FB,7)</f>
        <v>4084.8</v>
      </c>
      <c r="C118" s="50">
        <f>VLOOKUP($A118,'Data shares'!$C:$FB,10)*100</f>
        <v>-0.9900000000000001</v>
      </c>
      <c r="D118" s="49">
        <f>VLOOKUP($A118,'Data shares'!$C:$FB,66)</f>
        <v>3881850</v>
      </c>
      <c r="E118" s="49">
        <f>VLOOKUP($A118,'Data shares'!$C:$FB,67)</f>
        <v>4506425</v>
      </c>
      <c r="F118" s="50">
        <f>VLOOKUP($A118,'Data shares'!$C:$FB,69)*100</f>
        <v>-13.86</v>
      </c>
      <c r="G118" s="49">
        <f>VLOOKUP($A118,'Data shares'!$C:$FB,42)</f>
        <v>1228325</v>
      </c>
      <c r="H118" s="49">
        <f>VLOOKUP($A118,'Data shares'!$C:$FB,43)</f>
        <v>1664425</v>
      </c>
      <c r="I118" s="50">
        <f>VLOOKUP($A118,'Data shares'!$C:$FB,45)*100</f>
        <v>-26.200000000000003</v>
      </c>
      <c r="J118" s="49">
        <f>VLOOKUP($A118,'Data shares'!$C:$FB,58)</f>
        <v>2099125</v>
      </c>
      <c r="K118" s="49">
        <f>VLOOKUP($A118,'Data shares'!$C:$FB,59)</f>
        <v>1917300</v>
      </c>
      <c r="L118" s="50">
        <f>VLOOKUP($A118,'Data shares'!$C:$FB,61)*100</f>
        <v>9.48</v>
      </c>
      <c r="M118" s="49">
        <f>VLOOKUP($A118,'Data shares'!$C:$FB,62)</f>
        <v>554400</v>
      </c>
      <c r="N118" s="49">
        <f>VLOOKUP($A118,'Data shares'!$C:$FB,63)</f>
        <v>924700</v>
      </c>
      <c r="O118" s="140">
        <f>VLOOKUP($A118,'Data shares'!$C:$FB,65)*100</f>
        <v>-40.050000000000004</v>
      </c>
    </row>
    <row r="119" spans="1:15" x14ac:dyDescent="0.25">
      <c r="A119" s="101" t="str">
        <f>'Data shares'!C114</f>
        <v>KFINTECH</v>
      </c>
      <c r="B119" s="50">
        <f>VLOOKUP($A119,'Data shares'!$C:$FB,7)</f>
        <v>1168.9000000000001</v>
      </c>
      <c r="C119" s="50">
        <f>VLOOKUP($A119,'Data shares'!$C:$FB,10)*100</f>
        <v>1.7000000000000002</v>
      </c>
      <c r="D119" s="49">
        <f>VLOOKUP($A119,'Data shares'!$C:$FB,66)</f>
        <v>18743400</v>
      </c>
      <c r="E119" s="49">
        <f>VLOOKUP($A119,'Data shares'!$C:$FB,67)</f>
        <v>8805600</v>
      </c>
      <c r="F119" s="50">
        <f>VLOOKUP($A119,'Data shares'!$C:$FB,69)*100</f>
        <v>112.86</v>
      </c>
      <c r="G119" s="49">
        <f>VLOOKUP($A119,'Data shares'!$C:$FB,42)</f>
        <v>4284000</v>
      </c>
      <c r="H119" s="49">
        <f>VLOOKUP($A119,'Data shares'!$C:$FB,43)</f>
        <v>3406050</v>
      </c>
      <c r="I119" s="50">
        <f>VLOOKUP($A119,'Data shares'!$C:$FB,45)*100</f>
        <v>25.779999999999998</v>
      </c>
      <c r="J119" s="49">
        <f>VLOOKUP($A119,'Data shares'!$C:$FB,58)</f>
        <v>10521900</v>
      </c>
      <c r="K119" s="49">
        <f>VLOOKUP($A119,'Data shares'!$C:$FB,59)</f>
        <v>3921750</v>
      </c>
      <c r="L119" s="50">
        <f>VLOOKUP($A119,'Data shares'!$C:$FB,61)*100</f>
        <v>168.3</v>
      </c>
      <c r="M119" s="49">
        <f>VLOOKUP($A119,'Data shares'!$C:$FB,62)</f>
        <v>3937500</v>
      </c>
      <c r="N119" s="49">
        <f>VLOOKUP($A119,'Data shares'!$C:$FB,63)</f>
        <v>1477800</v>
      </c>
      <c r="O119" s="140">
        <f>VLOOKUP($A119,'Data shares'!$C:$FB,65)*100</f>
        <v>166.44</v>
      </c>
    </row>
    <row r="120" spans="1:15" x14ac:dyDescent="0.25">
      <c r="A120" s="101" t="str">
        <f>'Data shares'!C115</f>
        <v>KOTAKBANK</v>
      </c>
      <c r="B120" s="50">
        <f>VLOOKUP($A120,'Data shares'!$C:$FB,7)</f>
        <v>2148.6</v>
      </c>
      <c r="C120" s="50">
        <f>VLOOKUP($A120,'Data shares'!$C:$FB,10)*100</f>
        <v>-1.76</v>
      </c>
      <c r="D120" s="49">
        <f>VLOOKUP($A120,'Data shares'!$C:$FB,66)</f>
        <v>111008000</v>
      </c>
      <c r="E120" s="49">
        <f>VLOOKUP($A120,'Data shares'!$C:$FB,67)</f>
        <v>88624800</v>
      </c>
      <c r="F120" s="50">
        <f>VLOOKUP($A120,'Data shares'!$C:$FB,69)*100</f>
        <v>25.259999999999998</v>
      </c>
      <c r="G120" s="49">
        <f>VLOOKUP($A120,'Data shares'!$C:$FB,42)</f>
        <v>27262000</v>
      </c>
      <c r="H120" s="49">
        <f>VLOOKUP($A120,'Data shares'!$C:$FB,43)</f>
        <v>23331600</v>
      </c>
      <c r="I120" s="50">
        <f>VLOOKUP($A120,'Data shares'!$C:$FB,45)*100</f>
        <v>16.850000000000001</v>
      </c>
      <c r="J120" s="49">
        <f>VLOOKUP($A120,'Data shares'!$C:$FB,58)</f>
        <v>49322800</v>
      </c>
      <c r="K120" s="49">
        <f>VLOOKUP($A120,'Data shares'!$C:$FB,59)</f>
        <v>37512000</v>
      </c>
      <c r="L120" s="50">
        <f>VLOOKUP($A120,'Data shares'!$C:$FB,61)*100</f>
        <v>31.490000000000002</v>
      </c>
      <c r="M120" s="49">
        <f>VLOOKUP($A120,'Data shares'!$C:$FB,62)</f>
        <v>34423200</v>
      </c>
      <c r="N120" s="49">
        <f>VLOOKUP($A120,'Data shares'!$C:$FB,63)</f>
        <v>27781200</v>
      </c>
      <c r="O120" s="140">
        <f>VLOOKUP($A120,'Data shares'!$C:$FB,65)*100</f>
        <v>23.91</v>
      </c>
    </row>
    <row r="121" spans="1:15" x14ac:dyDescent="0.25">
      <c r="A121" s="101" t="str">
        <f>'Data shares'!C116</f>
        <v>KPITTECH</v>
      </c>
      <c r="B121" s="50">
        <f>VLOOKUP($A121,'Data shares'!$C:$FB,7)</f>
        <v>1207</v>
      </c>
      <c r="C121" s="50">
        <f>VLOOKUP($A121,'Data shares'!$C:$FB,10)*100</f>
        <v>2.4</v>
      </c>
      <c r="D121" s="49">
        <f>VLOOKUP($A121,'Data shares'!$C:$FB,66)</f>
        <v>15799200</v>
      </c>
      <c r="E121" s="49">
        <f>VLOOKUP($A121,'Data shares'!$C:$FB,67)</f>
        <v>11565200</v>
      </c>
      <c r="F121" s="50">
        <f>VLOOKUP($A121,'Data shares'!$C:$FB,69)*100</f>
        <v>36.61</v>
      </c>
      <c r="G121" s="49">
        <f>VLOOKUP($A121,'Data shares'!$C:$FB,42)</f>
        <v>4277600</v>
      </c>
      <c r="H121" s="49">
        <f>VLOOKUP($A121,'Data shares'!$C:$FB,43)</f>
        <v>4869200</v>
      </c>
      <c r="I121" s="50">
        <f>VLOOKUP($A121,'Data shares'!$C:$FB,45)*100</f>
        <v>-12.15</v>
      </c>
      <c r="J121" s="49">
        <f>VLOOKUP($A121,'Data shares'!$C:$FB,58)</f>
        <v>8540000</v>
      </c>
      <c r="K121" s="49">
        <f>VLOOKUP($A121,'Data shares'!$C:$FB,59)</f>
        <v>4572800</v>
      </c>
      <c r="L121" s="50">
        <f>VLOOKUP($A121,'Data shares'!$C:$FB,61)*100</f>
        <v>86.76</v>
      </c>
      <c r="M121" s="49">
        <f>VLOOKUP($A121,'Data shares'!$C:$FB,62)</f>
        <v>2981600</v>
      </c>
      <c r="N121" s="49">
        <f>VLOOKUP($A121,'Data shares'!$C:$FB,63)</f>
        <v>2123200</v>
      </c>
      <c r="O121" s="140">
        <f>VLOOKUP($A121,'Data shares'!$C:$FB,65)*100</f>
        <v>40.43</v>
      </c>
    </row>
    <row r="122" spans="1:15" x14ac:dyDescent="0.25">
      <c r="A122" s="101" t="str">
        <f>'Data shares'!C117</f>
        <v>LAURUSLABS</v>
      </c>
      <c r="B122" s="50">
        <f>VLOOKUP($A122,'Data shares'!$C:$FB,7)</f>
        <v>940.15</v>
      </c>
      <c r="C122" s="50">
        <f>VLOOKUP($A122,'Data shares'!$C:$FB,10)*100</f>
        <v>1.48</v>
      </c>
      <c r="D122" s="49">
        <f>VLOOKUP($A122,'Data shares'!$C:$FB,66)</f>
        <v>158851400</v>
      </c>
      <c r="E122" s="49">
        <f>VLOOKUP($A122,'Data shares'!$C:$FB,67)</f>
        <v>311270000</v>
      </c>
      <c r="F122" s="50">
        <f>VLOOKUP($A122,'Data shares'!$C:$FB,69)*100</f>
        <v>-48.97</v>
      </c>
      <c r="G122" s="49">
        <f>VLOOKUP($A122,'Data shares'!$C:$FB,42)</f>
        <v>24687400</v>
      </c>
      <c r="H122" s="49">
        <f>VLOOKUP($A122,'Data shares'!$C:$FB,43)</f>
        <v>34005100</v>
      </c>
      <c r="I122" s="50">
        <f>VLOOKUP($A122,'Data shares'!$C:$FB,45)*100</f>
        <v>-27.400000000000002</v>
      </c>
      <c r="J122" s="49">
        <f>VLOOKUP($A122,'Data shares'!$C:$FB,58)</f>
        <v>96435900</v>
      </c>
      <c r="K122" s="49">
        <f>VLOOKUP($A122,'Data shares'!$C:$FB,59)</f>
        <v>189538100</v>
      </c>
      <c r="L122" s="50">
        <f>VLOOKUP($A122,'Data shares'!$C:$FB,61)*100</f>
        <v>-49.120000000000005</v>
      </c>
      <c r="M122" s="49">
        <f>VLOOKUP($A122,'Data shares'!$C:$FB,62)</f>
        <v>37728100</v>
      </c>
      <c r="N122" s="49">
        <f>VLOOKUP($A122,'Data shares'!$C:$FB,63)</f>
        <v>87726800</v>
      </c>
      <c r="O122" s="140">
        <f>VLOOKUP($A122,'Data shares'!$C:$FB,65)*100</f>
        <v>-56.989999999999995</v>
      </c>
    </row>
    <row r="123" spans="1:15" x14ac:dyDescent="0.25">
      <c r="A123" s="101" t="str">
        <f>'Data shares'!C118</f>
        <v>LICHSGFIN</v>
      </c>
      <c r="B123" s="50">
        <f>VLOOKUP($A123,'Data shares'!$C:$FB,7)</f>
        <v>584.35</v>
      </c>
      <c r="C123" s="50">
        <f>VLOOKUP($A123,'Data shares'!$C:$FB,10)*100</f>
        <v>0.84</v>
      </c>
      <c r="D123" s="49">
        <f>VLOOKUP($A123,'Data shares'!$C:$FB,66)</f>
        <v>44575000</v>
      </c>
      <c r="E123" s="49">
        <f>VLOOKUP($A123,'Data shares'!$C:$FB,67)</f>
        <v>31470000</v>
      </c>
      <c r="F123" s="50">
        <f>VLOOKUP($A123,'Data shares'!$C:$FB,69)*100</f>
        <v>41.64</v>
      </c>
      <c r="G123" s="49">
        <f>VLOOKUP($A123,'Data shares'!$C:$FB,42)</f>
        <v>28048000</v>
      </c>
      <c r="H123" s="49">
        <f>VLOOKUP($A123,'Data shares'!$C:$FB,43)</f>
        <v>13828000</v>
      </c>
      <c r="I123" s="50">
        <f>VLOOKUP($A123,'Data shares'!$C:$FB,45)*100</f>
        <v>102.83</v>
      </c>
      <c r="J123" s="49">
        <f>VLOOKUP($A123,'Data shares'!$C:$FB,58)</f>
        <v>10597000</v>
      </c>
      <c r="K123" s="49">
        <f>VLOOKUP($A123,'Data shares'!$C:$FB,59)</f>
        <v>12735000</v>
      </c>
      <c r="L123" s="50">
        <f>VLOOKUP($A123,'Data shares'!$C:$FB,61)*100</f>
        <v>-16.79</v>
      </c>
      <c r="M123" s="49">
        <f>VLOOKUP($A123,'Data shares'!$C:$FB,62)</f>
        <v>5930000</v>
      </c>
      <c r="N123" s="49">
        <f>VLOOKUP($A123,'Data shares'!$C:$FB,63)</f>
        <v>4907000</v>
      </c>
      <c r="O123" s="140">
        <f>VLOOKUP($A123,'Data shares'!$C:$FB,65)*100</f>
        <v>20.849999999999998</v>
      </c>
    </row>
    <row r="124" spans="1:15" x14ac:dyDescent="0.25">
      <c r="A124" s="101" t="str">
        <f>'Data shares'!C119</f>
        <v>LICI</v>
      </c>
      <c r="B124" s="50">
        <f>VLOOKUP($A124,'Data shares'!$C:$FB,7)</f>
        <v>897.65</v>
      </c>
      <c r="C124" s="50">
        <f>VLOOKUP($A124,'Data shares'!$C:$FB,10)*100</f>
        <v>0.89999999999999991</v>
      </c>
      <c r="D124" s="49">
        <f>VLOOKUP($A124,'Data shares'!$C:$FB,66)</f>
        <v>14116900</v>
      </c>
      <c r="E124" s="49">
        <f>VLOOKUP($A124,'Data shares'!$C:$FB,67)</f>
        <v>13690600</v>
      </c>
      <c r="F124" s="50">
        <f>VLOOKUP($A124,'Data shares'!$C:$FB,69)*100</f>
        <v>3.11</v>
      </c>
      <c r="G124" s="49">
        <f>VLOOKUP($A124,'Data shares'!$C:$FB,42)</f>
        <v>6329400</v>
      </c>
      <c r="H124" s="49">
        <f>VLOOKUP($A124,'Data shares'!$C:$FB,43)</f>
        <v>6738900</v>
      </c>
      <c r="I124" s="50">
        <f>VLOOKUP($A124,'Data shares'!$C:$FB,45)*100</f>
        <v>-6.08</v>
      </c>
      <c r="J124" s="49">
        <f>VLOOKUP($A124,'Data shares'!$C:$FB,58)</f>
        <v>4354700</v>
      </c>
      <c r="K124" s="49">
        <f>VLOOKUP($A124,'Data shares'!$C:$FB,59)</f>
        <v>4506600</v>
      </c>
      <c r="L124" s="50">
        <f>VLOOKUP($A124,'Data shares'!$C:$FB,61)*100</f>
        <v>-3.37</v>
      </c>
      <c r="M124" s="49">
        <f>VLOOKUP($A124,'Data shares'!$C:$FB,62)</f>
        <v>3432800</v>
      </c>
      <c r="N124" s="49">
        <f>VLOOKUP($A124,'Data shares'!$C:$FB,63)</f>
        <v>2445100</v>
      </c>
      <c r="O124" s="140">
        <f>VLOOKUP($A124,'Data shares'!$C:$FB,65)*100</f>
        <v>40.400000000000006</v>
      </c>
    </row>
    <row r="125" spans="1:15" x14ac:dyDescent="0.25">
      <c r="A125" s="101" t="str">
        <f>'Data shares'!C120</f>
        <v>LODHA</v>
      </c>
      <c r="B125" s="50">
        <f>VLOOKUP($A125,'Data shares'!$C:$FB,7)</f>
        <v>1177</v>
      </c>
      <c r="C125" s="50">
        <f>VLOOKUP($A125,'Data shares'!$C:$FB,10)*100</f>
        <v>0.35000000000000003</v>
      </c>
      <c r="D125" s="49">
        <f>VLOOKUP($A125,'Data shares'!$C:$FB,66)</f>
        <v>17414550</v>
      </c>
      <c r="E125" s="49">
        <f>VLOOKUP($A125,'Data shares'!$C:$FB,67)</f>
        <v>13793850</v>
      </c>
      <c r="F125" s="50">
        <f>VLOOKUP($A125,'Data shares'!$C:$FB,69)*100</f>
        <v>26.25</v>
      </c>
      <c r="G125" s="49">
        <f>VLOOKUP($A125,'Data shares'!$C:$FB,42)</f>
        <v>7922250</v>
      </c>
      <c r="H125" s="49">
        <f>VLOOKUP($A125,'Data shares'!$C:$FB,43)</f>
        <v>6908400</v>
      </c>
      <c r="I125" s="50">
        <f>VLOOKUP($A125,'Data shares'!$C:$FB,45)*100</f>
        <v>14.680000000000001</v>
      </c>
      <c r="J125" s="49">
        <f>VLOOKUP($A125,'Data shares'!$C:$FB,58)</f>
        <v>5391450</v>
      </c>
      <c r="K125" s="49">
        <f>VLOOKUP($A125,'Data shares'!$C:$FB,59)</f>
        <v>5120100</v>
      </c>
      <c r="L125" s="50">
        <f>VLOOKUP($A125,'Data shares'!$C:$FB,61)*100</f>
        <v>5.3</v>
      </c>
      <c r="M125" s="49">
        <f>VLOOKUP($A125,'Data shares'!$C:$FB,62)</f>
        <v>4100850</v>
      </c>
      <c r="N125" s="49">
        <f>VLOOKUP($A125,'Data shares'!$C:$FB,63)</f>
        <v>1765350</v>
      </c>
      <c r="O125" s="140">
        <f>VLOOKUP($A125,'Data shares'!$C:$FB,65)*100</f>
        <v>132.29999999999998</v>
      </c>
    </row>
    <row r="126" spans="1:15" x14ac:dyDescent="0.25">
      <c r="A126" s="101" t="str">
        <f>'Data shares'!C121</f>
        <v>LT</v>
      </c>
      <c r="B126" s="50">
        <f>VLOOKUP($A126,'Data shares'!$C:$FB,7)</f>
        <v>3923.8</v>
      </c>
      <c r="C126" s="50">
        <f>VLOOKUP($A126,'Data shares'!$C:$FB,10)*100</f>
        <v>0.48</v>
      </c>
      <c r="D126" s="49">
        <f>VLOOKUP($A126,'Data shares'!$C:$FB,66)</f>
        <v>20199725</v>
      </c>
      <c r="E126" s="49">
        <f>VLOOKUP($A126,'Data shares'!$C:$FB,67)</f>
        <v>22292900</v>
      </c>
      <c r="F126" s="50">
        <f>VLOOKUP($A126,'Data shares'!$C:$FB,69)*100</f>
        <v>-9.39</v>
      </c>
      <c r="G126" s="49">
        <f>VLOOKUP($A126,'Data shares'!$C:$FB,42)</f>
        <v>9539600</v>
      </c>
      <c r="H126" s="49">
        <f>VLOOKUP($A126,'Data shares'!$C:$FB,43)</f>
        <v>9432500</v>
      </c>
      <c r="I126" s="50">
        <f>VLOOKUP($A126,'Data shares'!$C:$FB,45)*100</f>
        <v>1.1400000000000001</v>
      </c>
      <c r="J126" s="49">
        <f>VLOOKUP($A126,'Data shares'!$C:$FB,58)</f>
        <v>6606250</v>
      </c>
      <c r="K126" s="49">
        <f>VLOOKUP($A126,'Data shares'!$C:$FB,59)</f>
        <v>7716275</v>
      </c>
      <c r="L126" s="50">
        <f>VLOOKUP($A126,'Data shares'!$C:$FB,61)*100</f>
        <v>-14.39</v>
      </c>
      <c r="M126" s="49">
        <f>VLOOKUP($A126,'Data shares'!$C:$FB,62)</f>
        <v>4053875</v>
      </c>
      <c r="N126" s="49">
        <f>VLOOKUP($A126,'Data shares'!$C:$FB,63)</f>
        <v>5144125</v>
      </c>
      <c r="O126" s="140">
        <f>VLOOKUP($A126,'Data shares'!$C:$FB,65)*100</f>
        <v>-21.19</v>
      </c>
    </row>
    <row r="127" spans="1:15" x14ac:dyDescent="0.25">
      <c r="A127" s="101" t="str">
        <f>'Data shares'!C122</f>
        <v>LTF</v>
      </c>
      <c r="B127" s="50">
        <f>VLOOKUP($A127,'Data shares'!$C:$FB,7)</f>
        <v>267.14999999999998</v>
      </c>
      <c r="C127" s="50">
        <f>VLOOKUP($A127,'Data shares'!$C:$FB,10)*100</f>
        <v>0.06</v>
      </c>
      <c r="D127" s="49">
        <f>VLOOKUP($A127,'Data shares'!$C:$FB,66)</f>
        <v>93465514</v>
      </c>
      <c r="E127" s="49">
        <f>VLOOKUP($A127,'Data shares'!$C:$FB,67)</f>
        <v>106989836</v>
      </c>
      <c r="F127" s="50">
        <f>VLOOKUP($A127,'Data shares'!$C:$FB,69)*100</f>
        <v>-12.64</v>
      </c>
      <c r="G127" s="49">
        <f>VLOOKUP($A127,'Data shares'!$C:$FB,42)</f>
        <v>38507060</v>
      </c>
      <c r="H127" s="49">
        <f>VLOOKUP($A127,'Data shares'!$C:$FB,43)</f>
        <v>64011852</v>
      </c>
      <c r="I127" s="50">
        <f>VLOOKUP($A127,'Data shares'!$C:$FB,45)*100</f>
        <v>-39.839999999999996</v>
      </c>
      <c r="J127" s="49">
        <f>VLOOKUP($A127,'Data shares'!$C:$FB,58)</f>
        <v>30529004</v>
      </c>
      <c r="K127" s="49">
        <f>VLOOKUP($A127,'Data shares'!$C:$FB,59)</f>
        <v>28083828</v>
      </c>
      <c r="L127" s="50">
        <f>VLOOKUP($A127,'Data shares'!$C:$FB,61)*100</f>
        <v>8.7099999999999991</v>
      </c>
      <c r="M127" s="49">
        <f>VLOOKUP($A127,'Data shares'!$C:$FB,62)</f>
        <v>24429450</v>
      </c>
      <c r="N127" s="49">
        <f>VLOOKUP($A127,'Data shares'!$C:$FB,63)</f>
        <v>14894156</v>
      </c>
      <c r="O127" s="140">
        <f>VLOOKUP($A127,'Data shares'!$C:$FB,65)*100</f>
        <v>64.02</v>
      </c>
    </row>
    <row r="128" spans="1:15" x14ac:dyDescent="0.25">
      <c r="A128" s="101" t="str">
        <f>'Data shares'!C123</f>
        <v>LTIM</v>
      </c>
      <c r="B128" s="50">
        <f>VLOOKUP($A128,'Data shares'!$C:$FB,7)</f>
        <v>5640</v>
      </c>
      <c r="C128" s="50">
        <f>VLOOKUP($A128,'Data shares'!$C:$FB,10)*100</f>
        <v>1.69</v>
      </c>
      <c r="D128" s="49">
        <f>VLOOKUP($A128,'Data shares'!$C:$FB,66)</f>
        <v>5385750</v>
      </c>
      <c r="E128" s="49">
        <f>VLOOKUP($A128,'Data shares'!$C:$FB,67)</f>
        <v>7712550</v>
      </c>
      <c r="F128" s="50">
        <f>VLOOKUP($A128,'Data shares'!$C:$FB,69)*100</f>
        <v>-30.17</v>
      </c>
      <c r="G128" s="49">
        <f>VLOOKUP($A128,'Data shares'!$C:$FB,42)</f>
        <v>1692150</v>
      </c>
      <c r="H128" s="49">
        <f>VLOOKUP($A128,'Data shares'!$C:$FB,43)</f>
        <v>2731200</v>
      </c>
      <c r="I128" s="50">
        <f>VLOOKUP($A128,'Data shares'!$C:$FB,45)*100</f>
        <v>-38.04</v>
      </c>
      <c r="J128" s="49">
        <f>VLOOKUP($A128,'Data shares'!$C:$FB,58)</f>
        <v>2247750</v>
      </c>
      <c r="K128" s="49">
        <f>VLOOKUP($A128,'Data shares'!$C:$FB,59)</f>
        <v>3234750</v>
      </c>
      <c r="L128" s="50">
        <f>VLOOKUP($A128,'Data shares'!$C:$FB,61)*100</f>
        <v>-30.509999999999998</v>
      </c>
      <c r="M128" s="49">
        <f>VLOOKUP($A128,'Data shares'!$C:$FB,62)</f>
        <v>1445850</v>
      </c>
      <c r="N128" s="49">
        <f>VLOOKUP($A128,'Data shares'!$C:$FB,63)</f>
        <v>1746600</v>
      </c>
      <c r="O128" s="140">
        <f>VLOOKUP($A128,'Data shares'!$C:$FB,65)*100</f>
        <v>-17.22</v>
      </c>
    </row>
    <row r="129" spans="1:15" x14ac:dyDescent="0.25">
      <c r="A129" s="101" t="str">
        <f>'Data shares'!C124</f>
        <v>LUPIN</v>
      </c>
      <c r="B129" s="50">
        <f>VLOOKUP($A129,'Data shares'!$C:$FB,7)</f>
        <v>1922.9</v>
      </c>
      <c r="C129" s="50">
        <f>VLOOKUP($A129,'Data shares'!$C:$FB,10)*100</f>
        <v>-0.43</v>
      </c>
      <c r="D129" s="49">
        <f>VLOOKUP($A129,'Data shares'!$C:$FB,66)</f>
        <v>10845575</v>
      </c>
      <c r="E129" s="49">
        <f>VLOOKUP($A129,'Data shares'!$C:$FB,67)</f>
        <v>16333175</v>
      </c>
      <c r="F129" s="50">
        <f>VLOOKUP($A129,'Data shares'!$C:$FB,69)*100</f>
        <v>-33.6</v>
      </c>
      <c r="G129" s="49">
        <f>VLOOKUP($A129,'Data shares'!$C:$FB,42)</f>
        <v>5562825</v>
      </c>
      <c r="H129" s="49">
        <f>VLOOKUP($A129,'Data shares'!$C:$FB,43)</f>
        <v>10987950</v>
      </c>
      <c r="I129" s="50">
        <f>VLOOKUP($A129,'Data shares'!$C:$FB,45)*100</f>
        <v>-49.370000000000005</v>
      </c>
      <c r="J129" s="49">
        <f>VLOOKUP($A129,'Data shares'!$C:$FB,58)</f>
        <v>3419975</v>
      </c>
      <c r="K129" s="49">
        <f>VLOOKUP($A129,'Data shares'!$C:$FB,59)</f>
        <v>3706000</v>
      </c>
      <c r="L129" s="50">
        <f>VLOOKUP($A129,'Data shares'!$C:$FB,61)*100</f>
        <v>-7.7200000000000006</v>
      </c>
      <c r="M129" s="49">
        <f>VLOOKUP($A129,'Data shares'!$C:$FB,62)</f>
        <v>1862775</v>
      </c>
      <c r="N129" s="49">
        <f>VLOOKUP($A129,'Data shares'!$C:$FB,63)</f>
        <v>1639225</v>
      </c>
      <c r="O129" s="140">
        <f>VLOOKUP($A129,'Data shares'!$C:$FB,65)*100</f>
        <v>13.639999999999999</v>
      </c>
    </row>
    <row r="130" spans="1:15" x14ac:dyDescent="0.25">
      <c r="A130" s="101" t="str">
        <f>'Data shares'!C125</f>
        <v>M&amp;M</v>
      </c>
      <c r="B130" s="50">
        <f>VLOOKUP($A130,'Data shares'!$C:$FB,7)</f>
        <v>3611.6</v>
      </c>
      <c r="C130" s="50">
        <f>VLOOKUP($A130,'Data shares'!$C:$FB,10)*100</f>
        <v>-0.37</v>
      </c>
      <c r="D130" s="49">
        <f>VLOOKUP($A130,'Data shares'!$C:$FB,66)</f>
        <v>20325000</v>
      </c>
      <c r="E130" s="49">
        <f>VLOOKUP($A130,'Data shares'!$C:$FB,67)</f>
        <v>21923600</v>
      </c>
      <c r="F130" s="50">
        <f>VLOOKUP($A130,'Data shares'!$C:$FB,69)*100</f>
        <v>-7.2900000000000009</v>
      </c>
      <c r="G130" s="49">
        <f>VLOOKUP($A130,'Data shares'!$C:$FB,42)</f>
        <v>10601400</v>
      </c>
      <c r="H130" s="49">
        <f>VLOOKUP($A130,'Data shares'!$C:$FB,43)</f>
        <v>11181400</v>
      </c>
      <c r="I130" s="50">
        <f>VLOOKUP($A130,'Data shares'!$C:$FB,45)*100</f>
        <v>-5.19</v>
      </c>
      <c r="J130" s="49">
        <f>VLOOKUP($A130,'Data shares'!$C:$FB,58)</f>
        <v>5422800</v>
      </c>
      <c r="K130" s="49">
        <f>VLOOKUP($A130,'Data shares'!$C:$FB,59)</f>
        <v>6463000</v>
      </c>
      <c r="L130" s="50">
        <f>VLOOKUP($A130,'Data shares'!$C:$FB,61)*100</f>
        <v>-16.09</v>
      </c>
      <c r="M130" s="49">
        <f>VLOOKUP($A130,'Data shares'!$C:$FB,62)</f>
        <v>4300800</v>
      </c>
      <c r="N130" s="49">
        <f>VLOOKUP($A130,'Data shares'!$C:$FB,63)</f>
        <v>4279200</v>
      </c>
      <c r="O130" s="140">
        <f>VLOOKUP($A130,'Data shares'!$C:$FB,65)*100</f>
        <v>0.5</v>
      </c>
    </row>
    <row r="131" spans="1:15" x14ac:dyDescent="0.25">
      <c r="A131" s="101" t="str">
        <f>'Data shares'!C126</f>
        <v>MANAPPURAM</v>
      </c>
      <c r="B131" s="50">
        <f>VLOOKUP($A131,'Data shares'!$C:$FB,7)</f>
        <v>276.39999999999998</v>
      </c>
      <c r="C131" s="50">
        <f>VLOOKUP($A131,'Data shares'!$C:$FB,10)*100</f>
        <v>-1.27</v>
      </c>
      <c r="D131" s="49">
        <f>VLOOKUP($A131,'Data shares'!$C:$FB,66)</f>
        <v>44292000</v>
      </c>
      <c r="E131" s="49">
        <f>VLOOKUP($A131,'Data shares'!$C:$FB,67)</f>
        <v>50943000</v>
      </c>
      <c r="F131" s="50">
        <f>VLOOKUP($A131,'Data shares'!$C:$FB,69)*100</f>
        <v>-13.059999999999999</v>
      </c>
      <c r="G131" s="49">
        <f>VLOOKUP($A131,'Data shares'!$C:$FB,42)</f>
        <v>19620000</v>
      </c>
      <c r="H131" s="49">
        <f>VLOOKUP($A131,'Data shares'!$C:$FB,43)</f>
        <v>27204000</v>
      </c>
      <c r="I131" s="50">
        <f>VLOOKUP($A131,'Data shares'!$C:$FB,45)*100</f>
        <v>-27.88</v>
      </c>
      <c r="J131" s="49">
        <f>VLOOKUP($A131,'Data shares'!$C:$FB,58)</f>
        <v>14610000</v>
      </c>
      <c r="K131" s="49">
        <f>VLOOKUP($A131,'Data shares'!$C:$FB,59)</f>
        <v>14244000</v>
      </c>
      <c r="L131" s="50">
        <f>VLOOKUP($A131,'Data shares'!$C:$FB,61)*100</f>
        <v>2.5700000000000003</v>
      </c>
      <c r="M131" s="49">
        <f>VLOOKUP($A131,'Data shares'!$C:$FB,62)</f>
        <v>10062000</v>
      </c>
      <c r="N131" s="49">
        <f>VLOOKUP($A131,'Data shares'!$C:$FB,63)</f>
        <v>9495000</v>
      </c>
      <c r="O131" s="140">
        <f>VLOOKUP($A131,'Data shares'!$C:$FB,65)*100</f>
        <v>5.9700000000000006</v>
      </c>
    </row>
    <row r="132" spans="1:15" x14ac:dyDescent="0.25">
      <c r="A132" s="101" t="str">
        <f>'Data shares'!C127</f>
        <v>MANKIND</v>
      </c>
      <c r="B132" s="50">
        <f>VLOOKUP($A132,'Data shares'!$C:$FB,7)</f>
        <v>2416.6999999999998</v>
      </c>
      <c r="C132" s="50">
        <f>VLOOKUP($A132,'Data shares'!$C:$FB,10)*100</f>
        <v>-0.65</v>
      </c>
      <c r="D132" s="49">
        <f>VLOOKUP($A132,'Data shares'!$C:$FB,66)</f>
        <v>2191500</v>
      </c>
      <c r="E132" s="49">
        <f>VLOOKUP($A132,'Data shares'!$C:$FB,67)</f>
        <v>2994750</v>
      </c>
      <c r="F132" s="50">
        <f>VLOOKUP($A132,'Data shares'!$C:$FB,69)*100</f>
        <v>-26.82</v>
      </c>
      <c r="G132" s="49">
        <f>VLOOKUP($A132,'Data shares'!$C:$FB,42)</f>
        <v>1309950</v>
      </c>
      <c r="H132" s="49">
        <f>VLOOKUP($A132,'Data shares'!$C:$FB,43)</f>
        <v>1829475</v>
      </c>
      <c r="I132" s="50">
        <f>VLOOKUP($A132,'Data shares'!$C:$FB,45)*100</f>
        <v>-28.4</v>
      </c>
      <c r="J132" s="49">
        <f>VLOOKUP($A132,'Data shares'!$C:$FB,58)</f>
        <v>699075</v>
      </c>
      <c r="K132" s="49">
        <f>VLOOKUP($A132,'Data shares'!$C:$FB,59)</f>
        <v>824625</v>
      </c>
      <c r="L132" s="50">
        <f>VLOOKUP($A132,'Data shares'!$C:$FB,61)*100</f>
        <v>-15.229999999999999</v>
      </c>
      <c r="M132" s="49">
        <f>VLOOKUP($A132,'Data shares'!$C:$FB,62)</f>
        <v>182475</v>
      </c>
      <c r="N132" s="49">
        <f>VLOOKUP($A132,'Data shares'!$C:$FB,63)</f>
        <v>340650</v>
      </c>
      <c r="O132" s="140">
        <f>VLOOKUP($A132,'Data shares'!$C:$FB,65)*100</f>
        <v>-46.43</v>
      </c>
    </row>
    <row r="133" spans="1:15" x14ac:dyDescent="0.25">
      <c r="A133" s="101" t="str">
        <f>'Data shares'!C128</f>
        <v>MARICO</v>
      </c>
      <c r="B133" s="50">
        <f>VLOOKUP($A133,'Data shares'!$C:$FB,7)</f>
        <v>723.6</v>
      </c>
      <c r="C133" s="50">
        <f>VLOOKUP($A133,'Data shares'!$C:$FB,10)*100</f>
        <v>-0.31</v>
      </c>
      <c r="D133" s="49">
        <f>VLOOKUP($A133,'Data shares'!$C:$FB,66)</f>
        <v>20095200</v>
      </c>
      <c r="E133" s="49">
        <f>VLOOKUP($A133,'Data shares'!$C:$FB,67)</f>
        <v>36786000</v>
      </c>
      <c r="F133" s="50">
        <f>VLOOKUP($A133,'Data shares'!$C:$FB,69)*100</f>
        <v>-45.37</v>
      </c>
      <c r="G133" s="49">
        <f>VLOOKUP($A133,'Data shares'!$C:$FB,42)</f>
        <v>13933200</v>
      </c>
      <c r="H133" s="49">
        <f>VLOOKUP($A133,'Data shares'!$C:$FB,43)</f>
        <v>26713200</v>
      </c>
      <c r="I133" s="50">
        <f>VLOOKUP($A133,'Data shares'!$C:$FB,45)*100</f>
        <v>-47.839999999999996</v>
      </c>
      <c r="J133" s="49">
        <f>VLOOKUP($A133,'Data shares'!$C:$FB,58)</f>
        <v>3910800</v>
      </c>
      <c r="K133" s="49">
        <f>VLOOKUP($A133,'Data shares'!$C:$FB,59)</f>
        <v>5360400</v>
      </c>
      <c r="L133" s="50">
        <f>VLOOKUP($A133,'Data shares'!$C:$FB,61)*100</f>
        <v>-27.04</v>
      </c>
      <c r="M133" s="49">
        <f>VLOOKUP($A133,'Data shares'!$C:$FB,62)</f>
        <v>2251200</v>
      </c>
      <c r="N133" s="49">
        <f>VLOOKUP($A133,'Data shares'!$C:$FB,63)</f>
        <v>4712400</v>
      </c>
      <c r="O133" s="140">
        <f>VLOOKUP($A133,'Data shares'!$C:$FB,65)*100</f>
        <v>-52.23</v>
      </c>
    </row>
    <row r="134" spans="1:15" x14ac:dyDescent="0.25">
      <c r="A134" s="101" t="str">
        <f>'Data shares'!C129</f>
        <v>MARUTI</v>
      </c>
      <c r="B134" s="50">
        <f>VLOOKUP($A134,'Data shares'!$C:$FB,7)</f>
        <v>16388</v>
      </c>
      <c r="C134" s="50">
        <f>VLOOKUP($A134,'Data shares'!$C:$FB,10)*100</f>
        <v>0.70000000000000007</v>
      </c>
      <c r="D134" s="49">
        <f>VLOOKUP($A134,'Data shares'!$C:$FB,66)</f>
        <v>9608550</v>
      </c>
      <c r="E134" s="49">
        <f>VLOOKUP($A134,'Data shares'!$C:$FB,67)</f>
        <v>9156550</v>
      </c>
      <c r="F134" s="50">
        <f>VLOOKUP($A134,'Data shares'!$C:$FB,69)*100</f>
        <v>4.9399999999999995</v>
      </c>
      <c r="G134" s="49">
        <f>VLOOKUP($A134,'Data shares'!$C:$FB,42)</f>
        <v>2073100</v>
      </c>
      <c r="H134" s="49">
        <f>VLOOKUP($A134,'Data shares'!$C:$FB,43)</f>
        <v>1818650</v>
      </c>
      <c r="I134" s="50">
        <f>VLOOKUP($A134,'Data shares'!$C:$FB,45)*100</f>
        <v>13.99</v>
      </c>
      <c r="J134" s="49">
        <f>VLOOKUP($A134,'Data shares'!$C:$FB,58)</f>
        <v>4910400</v>
      </c>
      <c r="K134" s="49">
        <f>VLOOKUP($A134,'Data shares'!$C:$FB,59)</f>
        <v>4576050</v>
      </c>
      <c r="L134" s="50">
        <f>VLOOKUP($A134,'Data shares'!$C:$FB,61)*100</f>
        <v>7.31</v>
      </c>
      <c r="M134" s="49">
        <f>VLOOKUP($A134,'Data shares'!$C:$FB,62)</f>
        <v>2625050</v>
      </c>
      <c r="N134" s="49">
        <f>VLOOKUP($A134,'Data shares'!$C:$FB,63)</f>
        <v>2761850</v>
      </c>
      <c r="O134" s="140">
        <f>VLOOKUP($A134,'Data shares'!$C:$FB,65)*100</f>
        <v>-4.95</v>
      </c>
    </row>
    <row r="135" spans="1:15" x14ac:dyDescent="0.25">
      <c r="A135" s="101" t="str">
        <f>'Data shares'!C130</f>
        <v>MAXHEALTH</v>
      </c>
      <c r="B135" s="50">
        <f>VLOOKUP($A135,'Data shares'!$C:$FB,7)</f>
        <v>1186.4000000000001</v>
      </c>
      <c r="C135" s="50">
        <f>VLOOKUP($A135,'Data shares'!$C:$FB,10)*100</f>
        <v>0.19</v>
      </c>
      <c r="D135" s="49">
        <f>VLOOKUP($A135,'Data shares'!$C:$FB,66)</f>
        <v>15586200</v>
      </c>
      <c r="E135" s="49">
        <f>VLOOKUP($A135,'Data shares'!$C:$FB,67)</f>
        <v>22744050</v>
      </c>
      <c r="F135" s="50">
        <f>VLOOKUP($A135,'Data shares'!$C:$FB,69)*100</f>
        <v>-31.47</v>
      </c>
      <c r="G135" s="49">
        <f>VLOOKUP($A135,'Data shares'!$C:$FB,42)</f>
        <v>9940350</v>
      </c>
      <c r="H135" s="49">
        <f>VLOOKUP($A135,'Data shares'!$C:$FB,43)</f>
        <v>12763275</v>
      </c>
      <c r="I135" s="50">
        <f>VLOOKUP($A135,'Data shares'!$C:$FB,45)*100</f>
        <v>-22.12</v>
      </c>
      <c r="J135" s="49">
        <f>VLOOKUP($A135,'Data shares'!$C:$FB,58)</f>
        <v>3200400</v>
      </c>
      <c r="K135" s="49">
        <f>VLOOKUP($A135,'Data shares'!$C:$FB,59)</f>
        <v>5024250</v>
      </c>
      <c r="L135" s="50">
        <f>VLOOKUP($A135,'Data shares'!$C:$FB,61)*100</f>
        <v>-36.299999999999997</v>
      </c>
      <c r="M135" s="49">
        <f>VLOOKUP($A135,'Data shares'!$C:$FB,62)</f>
        <v>2445450</v>
      </c>
      <c r="N135" s="49">
        <f>VLOOKUP($A135,'Data shares'!$C:$FB,63)</f>
        <v>4956525</v>
      </c>
      <c r="O135" s="140">
        <f>VLOOKUP($A135,'Data shares'!$C:$FB,65)*100</f>
        <v>-50.660000000000004</v>
      </c>
    </row>
    <row r="136" spans="1:15" x14ac:dyDescent="0.25">
      <c r="A136" s="101" t="str">
        <f>'Data shares'!C131</f>
        <v>MAZDOCK</v>
      </c>
      <c r="B136" s="50">
        <f>VLOOKUP($A136,'Data shares'!$C:$FB,7)</f>
        <v>2810.4</v>
      </c>
      <c r="C136" s="50">
        <f>VLOOKUP($A136,'Data shares'!$C:$FB,10)*100</f>
        <v>0.16999999999999998</v>
      </c>
      <c r="D136" s="49">
        <f>VLOOKUP($A136,'Data shares'!$C:$FB,66)</f>
        <v>11007675</v>
      </c>
      <c r="E136" s="49">
        <f>VLOOKUP($A136,'Data shares'!$C:$FB,67)</f>
        <v>10757600</v>
      </c>
      <c r="F136" s="50">
        <f>VLOOKUP($A136,'Data shares'!$C:$FB,69)*100</f>
        <v>2.3199999999999998</v>
      </c>
      <c r="G136" s="49">
        <f>VLOOKUP($A136,'Data shares'!$C:$FB,42)</f>
        <v>3203900</v>
      </c>
      <c r="H136" s="49">
        <f>VLOOKUP($A136,'Data shares'!$C:$FB,43)</f>
        <v>2938075</v>
      </c>
      <c r="I136" s="50">
        <f>VLOOKUP($A136,'Data shares'!$C:$FB,45)*100</f>
        <v>9.0499999999999989</v>
      </c>
      <c r="J136" s="49">
        <f>VLOOKUP($A136,'Data shares'!$C:$FB,58)</f>
        <v>5354125</v>
      </c>
      <c r="K136" s="49">
        <f>VLOOKUP($A136,'Data shares'!$C:$FB,59)</f>
        <v>5979925</v>
      </c>
      <c r="L136" s="50">
        <f>VLOOKUP($A136,'Data shares'!$C:$FB,61)*100</f>
        <v>-10.47</v>
      </c>
      <c r="M136" s="49">
        <f>VLOOKUP($A136,'Data shares'!$C:$FB,62)</f>
        <v>2449650</v>
      </c>
      <c r="N136" s="49">
        <f>VLOOKUP($A136,'Data shares'!$C:$FB,63)</f>
        <v>1839600</v>
      </c>
      <c r="O136" s="140">
        <f>VLOOKUP($A136,'Data shares'!$C:$FB,65)*100</f>
        <v>33.160000000000004</v>
      </c>
    </row>
    <row r="137" spans="1:15" x14ac:dyDescent="0.25">
      <c r="A137" s="101" t="str">
        <f>'Data shares'!C132</f>
        <v>MCX</v>
      </c>
      <c r="B137" s="50">
        <f>VLOOKUP($A137,'Data shares'!$C:$FB,7)</f>
        <v>9305.5</v>
      </c>
      <c r="C137" s="50">
        <f>VLOOKUP($A137,'Data shares'!$C:$FB,10)*100</f>
        <v>3.35</v>
      </c>
      <c r="D137" s="49">
        <f>VLOOKUP($A137,'Data shares'!$C:$FB,66)</f>
        <v>26485750</v>
      </c>
      <c r="E137" s="49">
        <f>VLOOKUP($A137,'Data shares'!$C:$FB,67)</f>
        <v>18658875</v>
      </c>
      <c r="F137" s="50">
        <f>VLOOKUP($A137,'Data shares'!$C:$FB,69)*100</f>
        <v>41.949999999999996</v>
      </c>
      <c r="G137" s="49">
        <f>VLOOKUP($A137,'Data shares'!$C:$FB,42)</f>
        <v>2514375</v>
      </c>
      <c r="H137" s="49">
        <f>VLOOKUP($A137,'Data shares'!$C:$FB,43)</f>
        <v>2591000</v>
      </c>
      <c r="I137" s="50">
        <f>VLOOKUP($A137,'Data shares'!$C:$FB,45)*100</f>
        <v>-2.96</v>
      </c>
      <c r="J137" s="49">
        <f>VLOOKUP($A137,'Data shares'!$C:$FB,58)</f>
        <v>17143500</v>
      </c>
      <c r="K137" s="49">
        <f>VLOOKUP($A137,'Data shares'!$C:$FB,59)</f>
        <v>9930625</v>
      </c>
      <c r="L137" s="50">
        <f>VLOOKUP($A137,'Data shares'!$C:$FB,61)*100</f>
        <v>72.63</v>
      </c>
      <c r="M137" s="49">
        <f>VLOOKUP($A137,'Data shares'!$C:$FB,62)</f>
        <v>6827875</v>
      </c>
      <c r="N137" s="49">
        <f>VLOOKUP($A137,'Data shares'!$C:$FB,63)</f>
        <v>6137250</v>
      </c>
      <c r="O137" s="140">
        <f>VLOOKUP($A137,'Data shares'!$C:$FB,65)*100</f>
        <v>11.25</v>
      </c>
    </row>
    <row r="138" spans="1:15" x14ac:dyDescent="0.25">
      <c r="A138" s="101" t="str">
        <f>'Data shares'!C133</f>
        <v>MFSL</v>
      </c>
      <c r="B138" s="50">
        <f>VLOOKUP($A138,'Data shares'!$C:$FB,7)</f>
        <v>1513.6</v>
      </c>
      <c r="C138" s="50">
        <f>VLOOKUP($A138,'Data shares'!$C:$FB,10)*100</f>
        <v>-0.28999999999999998</v>
      </c>
      <c r="D138" s="49">
        <f>VLOOKUP($A138,'Data shares'!$C:$FB,66)</f>
        <v>7854400</v>
      </c>
      <c r="E138" s="49">
        <f>VLOOKUP($A138,'Data shares'!$C:$FB,67)</f>
        <v>8483200</v>
      </c>
      <c r="F138" s="50">
        <f>VLOOKUP($A138,'Data shares'!$C:$FB,69)*100</f>
        <v>-7.41</v>
      </c>
      <c r="G138" s="49">
        <f>VLOOKUP($A138,'Data shares'!$C:$FB,42)</f>
        <v>4292000</v>
      </c>
      <c r="H138" s="49">
        <f>VLOOKUP($A138,'Data shares'!$C:$FB,43)</f>
        <v>4724800</v>
      </c>
      <c r="I138" s="50">
        <f>VLOOKUP($A138,'Data shares'!$C:$FB,45)*100</f>
        <v>-9.16</v>
      </c>
      <c r="J138" s="49">
        <f>VLOOKUP($A138,'Data shares'!$C:$FB,58)</f>
        <v>2455200</v>
      </c>
      <c r="K138" s="49">
        <f>VLOOKUP($A138,'Data shares'!$C:$FB,59)</f>
        <v>2563200</v>
      </c>
      <c r="L138" s="50">
        <f>VLOOKUP($A138,'Data shares'!$C:$FB,61)*100</f>
        <v>-4.21</v>
      </c>
      <c r="M138" s="49">
        <f>VLOOKUP($A138,'Data shares'!$C:$FB,62)</f>
        <v>1107200</v>
      </c>
      <c r="N138" s="49">
        <f>VLOOKUP($A138,'Data shares'!$C:$FB,63)</f>
        <v>1195200</v>
      </c>
      <c r="O138" s="140">
        <f>VLOOKUP($A138,'Data shares'!$C:$FB,65)*100</f>
        <v>-7.3599999999999994</v>
      </c>
    </row>
    <row r="139" spans="1:15" x14ac:dyDescent="0.25">
      <c r="A139" s="101" t="str">
        <f>'Data shares'!C134</f>
        <v>MIDCPNIFTY</v>
      </c>
      <c r="B139" s="50">
        <f>VLOOKUP($A139,'Data shares'!$C:$FB,7)</f>
        <v>13345.3</v>
      </c>
      <c r="C139" s="50">
        <f>VLOOKUP($A139,'Data shares'!$C:$FB,10)*100</f>
        <v>1.37</v>
      </c>
      <c r="D139" s="49">
        <f>VLOOKUP($A139,'Data shares'!$C:$FB,66)</f>
        <v>315279160</v>
      </c>
      <c r="E139" s="49">
        <f>VLOOKUP($A139,'Data shares'!$C:$FB,67)</f>
        <v>280954940</v>
      </c>
      <c r="F139" s="50">
        <f>VLOOKUP($A139,'Data shares'!$C:$FB,69)*100</f>
        <v>12.22</v>
      </c>
      <c r="G139" s="49">
        <f>VLOOKUP($A139,'Data shares'!$C:$FB,42)</f>
        <v>2056600</v>
      </c>
      <c r="H139" s="49">
        <f>VLOOKUP($A139,'Data shares'!$C:$FB,43)</f>
        <v>2798320</v>
      </c>
      <c r="I139" s="50">
        <f>VLOOKUP($A139,'Data shares'!$C:$FB,45)*100</f>
        <v>-26.51</v>
      </c>
      <c r="J139" s="49">
        <f>VLOOKUP($A139,'Data shares'!$C:$FB,58)</f>
        <v>169864520</v>
      </c>
      <c r="K139" s="49">
        <f>VLOOKUP($A139,'Data shares'!$C:$FB,59)</f>
        <v>138967220</v>
      </c>
      <c r="L139" s="50">
        <f>VLOOKUP($A139,'Data shares'!$C:$FB,61)*100</f>
        <v>22.23</v>
      </c>
      <c r="M139" s="49">
        <f>VLOOKUP($A139,'Data shares'!$C:$FB,62)</f>
        <v>143358040</v>
      </c>
      <c r="N139" s="49">
        <f>VLOOKUP($A139,'Data shares'!$C:$FB,63)</f>
        <v>139189400</v>
      </c>
      <c r="O139" s="140">
        <f>VLOOKUP($A139,'Data shares'!$C:$FB,65)*100</f>
        <v>2.9899999999999998</v>
      </c>
    </row>
    <row r="140" spans="1:15" x14ac:dyDescent="0.25">
      <c r="A140" s="101" t="str">
        <f>'Data shares'!C135</f>
        <v>MOTHERSON</v>
      </c>
      <c r="B140" s="50">
        <f>VLOOKUP($A140,'Data shares'!$C:$FB,7)</f>
        <v>106.93</v>
      </c>
      <c r="C140" s="50">
        <f>VLOOKUP($A140,'Data shares'!$C:$FB,10)*100</f>
        <v>0.64</v>
      </c>
      <c r="D140" s="49">
        <f>VLOOKUP($A140,'Data shares'!$C:$FB,66)</f>
        <v>176738700</v>
      </c>
      <c r="E140" s="49">
        <f>VLOOKUP($A140,'Data shares'!$C:$FB,67)</f>
        <v>216480000</v>
      </c>
      <c r="F140" s="50">
        <f>VLOOKUP($A140,'Data shares'!$C:$FB,69)*100</f>
        <v>-18.360000000000003</v>
      </c>
      <c r="G140" s="49">
        <f>VLOOKUP($A140,'Data shares'!$C:$FB,42)</f>
        <v>108713550</v>
      </c>
      <c r="H140" s="49">
        <f>VLOOKUP($A140,'Data shares'!$C:$FB,43)</f>
        <v>120829050</v>
      </c>
      <c r="I140" s="50">
        <f>VLOOKUP($A140,'Data shares'!$C:$FB,45)*100</f>
        <v>-10.029999999999999</v>
      </c>
      <c r="J140" s="49">
        <f>VLOOKUP($A140,'Data shares'!$C:$FB,58)</f>
        <v>43917150</v>
      </c>
      <c r="K140" s="49">
        <f>VLOOKUP($A140,'Data shares'!$C:$FB,59)</f>
        <v>67674600</v>
      </c>
      <c r="L140" s="50">
        <f>VLOOKUP($A140,'Data shares'!$C:$FB,61)*100</f>
        <v>-35.11</v>
      </c>
      <c r="M140" s="49">
        <f>VLOOKUP($A140,'Data shares'!$C:$FB,62)</f>
        <v>24108000</v>
      </c>
      <c r="N140" s="49">
        <f>VLOOKUP($A140,'Data shares'!$C:$FB,63)</f>
        <v>27976350</v>
      </c>
      <c r="O140" s="140">
        <f>VLOOKUP($A140,'Data shares'!$C:$FB,65)*100</f>
        <v>-13.83</v>
      </c>
    </row>
    <row r="141" spans="1:15" x14ac:dyDescent="0.25">
      <c r="A141" s="101" t="str">
        <f>'Data shares'!C136</f>
        <v>MPHASIS</v>
      </c>
      <c r="B141" s="50">
        <f>VLOOKUP($A141,'Data shares'!$C:$FB,7)</f>
        <v>2888.7</v>
      </c>
      <c r="C141" s="50">
        <f>VLOOKUP($A141,'Data shares'!$C:$FB,10)*100</f>
        <v>2.48</v>
      </c>
      <c r="D141" s="49">
        <f>VLOOKUP($A141,'Data shares'!$C:$FB,66)</f>
        <v>8586325</v>
      </c>
      <c r="E141" s="49">
        <f>VLOOKUP($A141,'Data shares'!$C:$FB,67)</f>
        <v>6865100</v>
      </c>
      <c r="F141" s="50">
        <f>VLOOKUP($A141,'Data shares'!$C:$FB,69)*100</f>
        <v>25.069999999999997</v>
      </c>
      <c r="G141" s="49">
        <f>VLOOKUP($A141,'Data shares'!$C:$FB,42)</f>
        <v>3534850</v>
      </c>
      <c r="H141" s="49">
        <f>VLOOKUP($A141,'Data shares'!$C:$FB,43)</f>
        <v>3604975</v>
      </c>
      <c r="I141" s="50">
        <f>VLOOKUP($A141,'Data shares'!$C:$FB,45)*100</f>
        <v>-1.95</v>
      </c>
      <c r="J141" s="49">
        <f>VLOOKUP($A141,'Data shares'!$C:$FB,58)</f>
        <v>3691050</v>
      </c>
      <c r="K141" s="49">
        <f>VLOOKUP($A141,'Data shares'!$C:$FB,59)</f>
        <v>2360600</v>
      </c>
      <c r="L141" s="50">
        <f>VLOOKUP($A141,'Data shares'!$C:$FB,61)*100</f>
        <v>56.36</v>
      </c>
      <c r="M141" s="49">
        <f>VLOOKUP($A141,'Data shares'!$C:$FB,62)</f>
        <v>1360425</v>
      </c>
      <c r="N141" s="49">
        <f>VLOOKUP($A141,'Data shares'!$C:$FB,63)</f>
        <v>899525</v>
      </c>
      <c r="O141" s="140">
        <f>VLOOKUP($A141,'Data shares'!$C:$FB,65)*100</f>
        <v>51.239999999999995</v>
      </c>
    </row>
    <row r="142" spans="1:15" x14ac:dyDescent="0.25">
      <c r="A142" s="101" t="str">
        <f>'Data shares'!C137</f>
        <v>MUTHOOTFIN</v>
      </c>
      <c r="B142" s="50">
        <f>VLOOKUP($A142,'Data shares'!$C:$FB,7)</f>
        <v>3145.9</v>
      </c>
      <c r="C142" s="50">
        <f>VLOOKUP($A142,'Data shares'!$C:$FB,10)*100</f>
        <v>-0.54</v>
      </c>
      <c r="D142" s="49">
        <f>VLOOKUP($A142,'Data shares'!$C:$FB,66)</f>
        <v>8708425</v>
      </c>
      <c r="E142" s="49">
        <f>VLOOKUP($A142,'Data shares'!$C:$FB,67)</f>
        <v>18735750</v>
      </c>
      <c r="F142" s="50">
        <f>VLOOKUP($A142,'Data shares'!$C:$FB,69)*100</f>
        <v>-53.52</v>
      </c>
      <c r="G142" s="49">
        <f>VLOOKUP($A142,'Data shares'!$C:$FB,42)</f>
        <v>2346575</v>
      </c>
      <c r="H142" s="49">
        <f>VLOOKUP($A142,'Data shares'!$C:$FB,43)</f>
        <v>3474350</v>
      </c>
      <c r="I142" s="50">
        <f>VLOOKUP($A142,'Data shares'!$C:$FB,45)*100</f>
        <v>-32.46</v>
      </c>
      <c r="J142" s="49">
        <f>VLOOKUP($A142,'Data shares'!$C:$FB,58)</f>
        <v>3588200</v>
      </c>
      <c r="K142" s="49">
        <f>VLOOKUP($A142,'Data shares'!$C:$FB,59)</f>
        <v>8699075</v>
      </c>
      <c r="L142" s="50">
        <f>VLOOKUP($A142,'Data shares'!$C:$FB,61)*100</f>
        <v>-58.75</v>
      </c>
      <c r="M142" s="49">
        <f>VLOOKUP($A142,'Data shares'!$C:$FB,62)</f>
        <v>2773650</v>
      </c>
      <c r="N142" s="49">
        <f>VLOOKUP($A142,'Data shares'!$C:$FB,63)</f>
        <v>6562325</v>
      </c>
      <c r="O142" s="140">
        <f>VLOOKUP($A142,'Data shares'!$C:$FB,65)*100</f>
        <v>-57.730000000000004</v>
      </c>
    </row>
    <row r="143" spans="1:15" x14ac:dyDescent="0.25">
      <c r="A143" s="101" t="str">
        <f>'Data shares'!C138</f>
        <v>NATIONALUM</v>
      </c>
      <c r="B143" s="50">
        <f>VLOOKUP($A143,'Data shares'!$C:$FB,7)</f>
        <v>237.87</v>
      </c>
      <c r="C143" s="50">
        <f>VLOOKUP($A143,'Data shares'!$C:$FB,10)*100</f>
        <v>0.75</v>
      </c>
      <c r="D143" s="49">
        <f>VLOOKUP($A143,'Data shares'!$C:$FB,66)</f>
        <v>166166250</v>
      </c>
      <c r="E143" s="49">
        <f>VLOOKUP($A143,'Data shares'!$C:$FB,67)</f>
        <v>383175000</v>
      </c>
      <c r="F143" s="50">
        <f>VLOOKUP($A143,'Data shares'!$C:$FB,69)*100</f>
        <v>-56.63</v>
      </c>
      <c r="G143" s="49">
        <f>VLOOKUP($A143,'Data shares'!$C:$FB,42)</f>
        <v>72881250</v>
      </c>
      <c r="H143" s="49">
        <f>VLOOKUP($A143,'Data shares'!$C:$FB,43)</f>
        <v>78776250</v>
      </c>
      <c r="I143" s="50">
        <f>VLOOKUP($A143,'Data shares'!$C:$FB,45)*100</f>
        <v>-7.48</v>
      </c>
      <c r="J143" s="49">
        <f>VLOOKUP($A143,'Data shares'!$C:$FB,58)</f>
        <v>61698750</v>
      </c>
      <c r="K143" s="49">
        <f>VLOOKUP($A143,'Data shares'!$C:$FB,59)</f>
        <v>207693750</v>
      </c>
      <c r="L143" s="50">
        <f>VLOOKUP($A143,'Data shares'!$C:$FB,61)*100</f>
        <v>-70.289999999999992</v>
      </c>
      <c r="M143" s="49">
        <f>VLOOKUP($A143,'Data shares'!$C:$FB,62)</f>
        <v>31586250</v>
      </c>
      <c r="N143" s="49">
        <f>VLOOKUP($A143,'Data shares'!$C:$FB,63)</f>
        <v>96705000</v>
      </c>
      <c r="O143" s="140">
        <f>VLOOKUP($A143,'Data shares'!$C:$FB,65)*100</f>
        <v>-67.34</v>
      </c>
    </row>
    <row r="144" spans="1:15" x14ac:dyDescent="0.25">
      <c r="A144" s="101" t="str">
        <f>'Data shares'!C139</f>
        <v>NAUKRI</v>
      </c>
      <c r="B144" s="50">
        <f>VLOOKUP($A144,'Data shares'!$C:$FB,7)</f>
        <v>1364.7</v>
      </c>
      <c r="C144" s="50">
        <f>VLOOKUP($A144,'Data shares'!$C:$FB,10)*100</f>
        <v>-0.95</v>
      </c>
      <c r="D144" s="49">
        <f>VLOOKUP($A144,'Data shares'!$C:$FB,66)</f>
        <v>11063625</v>
      </c>
      <c r="E144" s="49">
        <f>VLOOKUP($A144,'Data shares'!$C:$FB,67)</f>
        <v>35147250</v>
      </c>
      <c r="F144" s="50">
        <f>VLOOKUP($A144,'Data shares'!$C:$FB,69)*100</f>
        <v>-68.52000000000001</v>
      </c>
      <c r="G144" s="49">
        <f>VLOOKUP($A144,'Data shares'!$C:$FB,42)</f>
        <v>5739750</v>
      </c>
      <c r="H144" s="49">
        <f>VLOOKUP($A144,'Data shares'!$C:$FB,43)</f>
        <v>9525750</v>
      </c>
      <c r="I144" s="50">
        <f>VLOOKUP($A144,'Data shares'!$C:$FB,45)*100</f>
        <v>-39.739999999999995</v>
      </c>
      <c r="J144" s="49">
        <f>VLOOKUP($A144,'Data shares'!$C:$FB,58)</f>
        <v>3823500</v>
      </c>
      <c r="K144" s="49">
        <f>VLOOKUP($A144,'Data shares'!$C:$FB,59)</f>
        <v>20080875</v>
      </c>
      <c r="L144" s="50">
        <f>VLOOKUP($A144,'Data shares'!$C:$FB,61)*100</f>
        <v>-80.959999999999994</v>
      </c>
      <c r="M144" s="49">
        <f>VLOOKUP($A144,'Data shares'!$C:$FB,62)</f>
        <v>1500375</v>
      </c>
      <c r="N144" s="49">
        <f>VLOOKUP($A144,'Data shares'!$C:$FB,63)</f>
        <v>5540625</v>
      </c>
      <c r="O144" s="140">
        <f>VLOOKUP($A144,'Data shares'!$C:$FB,65)*100</f>
        <v>-72.92</v>
      </c>
    </row>
    <row r="145" spans="1:15" x14ac:dyDescent="0.25">
      <c r="A145" s="101" t="str">
        <f>'Data shares'!C140</f>
        <v>NBCC</v>
      </c>
      <c r="B145" s="50">
        <f>VLOOKUP($A145,'Data shares'!$C:$FB,7)</f>
        <v>111.5</v>
      </c>
      <c r="C145" s="50">
        <f>VLOOKUP($A145,'Data shares'!$C:$FB,10)*100</f>
        <v>-0.16999999999999998</v>
      </c>
      <c r="D145" s="49">
        <f>VLOOKUP($A145,'Data shares'!$C:$FB,66)</f>
        <v>57323500</v>
      </c>
      <c r="E145" s="49">
        <f>VLOOKUP($A145,'Data shares'!$C:$FB,67)</f>
        <v>66313000</v>
      </c>
      <c r="F145" s="50">
        <f>VLOOKUP($A145,'Data shares'!$C:$FB,69)*100</f>
        <v>-13.56</v>
      </c>
      <c r="G145" s="49">
        <f>VLOOKUP($A145,'Data shares'!$C:$FB,42)</f>
        <v>35990500</v>
      </c>
      <c r="H145" s="49">
        <f>VLOOKUP($A145,'Data shares'!$C:$FB,43)</f>
        <v>43017000</v>
      </c>
      <c r="I145" s="50">
        <f>VLOOKUP($A145,'Data shares'!$C:$FB,45)*100</f>
        <v>-16.329999999999998</v>
      </c>
      <c r="J145" s="49">
        <f>VLOOKUP($A145,'Data shares'!$C:$FB,58)</f>
        <v>14391000</v>
      </c>
      <c r="K145" s="49">
        <f>VLOOKUP($A145,'Data shares'!$C:$FB,59)</f>
        <v>16295500</v>
      </c>
      <c r="L145" s="50">
        <f>VLOOKUP($A145,'Data shares'!$C:$FB,61)*100</f>
        <v>-11.690000000000001</v>
      </c>
      <c r="M145" s="49">
        <f>VLOOKUP($A145,'Data shares'!$C:$FB,62)</f>
        <v>6942000</v>
      </c>
      <c r="N145" s="49">
        <f>VLOOKUP($A145,'Data shares'!$C:$FB,63)</f>
        <v>7000500</v>
      </c>
      <c r="O145" s="140">
        <f>VLOOKUP($A145,'Data shares'!$C:$FB,65)*100</f>
        <v>-0.84</v>
      </c>
    </row>
    <row r="146" spans="1:15" x14ac:dyDescent="0.25">
      <c r="A146" s="101" t="str">
        <f>'Data shares'!C141</f>
        <v>NCC</v>
      </c>
      <c r="B146" s="50">
        <f>VLOOKUP($A146,'Data shares'!$C:$FB,7)</f>
        <v>213.55</v>
      </c>
      <c r="C146" s="50">
        <f>VLOOKUP($A146,'Data shares'!$C:$FB,10)*100</f>
        <v>1.9</v>
      </c>
      <c r="D146" s="49">
        <f>VLOOKUP($A146,'Data shares'!$C:$FB,66)</f>
        <v>41733900</v>
      </c>
      <c r="E146" s="49">
        <f>VLOOKUP($A146,'Data shares'!$C:$FB,67)</f>
        <v>22056300</v>
      </c>
      <c r="F146" s="50">
        <f>VLOOKUP($A146,'Data shares'!$C:$FB,69)*100</f>
        <v>89.22</v>
      </c>
      <c r="G146" s="49">
        <f>VLOOKUP($A146,'Data shares'!$C:$FB,42)</f>
        <v>17509500</v>
      </c>
      <c r="H146" s="49">
        <f>VLOOKUP($A146,'Data shares'!$C:$FB,43)</f>
        <v>12085200</v>
      </c>
      <c r="I146" s="50">
        <f>VLOOKUP($A146,'Data shares'!$C:$FB,45)*100</f>
        <v>44.879999999999995</v>
      </c>
      <c r="J146" s="49">
        <f>VLOOKUP($A146,'Data shares'!$C:$FB,58)</f>
        <v>18235800</v>
      </c>
      <c r="K146" s="49">
        <f>VLOOKUP($A146,'Data shares'!$C:$FB,59)</f>
        <v>6747300</v>
      </c>
      <c r="L146" s="50">
        <f>VLOOKUP($A146,'Data shares'!$C:$FB,61)*100</f>
        <v>170.27</v>
      </c>
      <c r="M146" s="49">
        <f>VLOOKUP($A146,'Data shares'!$C:$FB,62)</f>
        <v>5988600</v>
      </c>
      <c r="N146" s="49">
        <f>VLOOKUP($A146,'Data shares'!$C:$FB,63)</f>
        <v>3223800</v>
      </c>
      <c r="O146" s="140">
        <f>VLOOKUP($A146,'Data shares'!$C:$FB,65)*100</f>
        <v>85.76</v>
      </c>
    </row>
    <row r="147" spans="1:15" x14ac:dyDescent="0.25">
      <c r="A147" s="101" t="str">
        <f>'Data shares'!C142</f>
        <v>NESTLEIND</v>
      </c>
      <c r="B147" s="50">
        <f>VLOOKUP($A147,'Data shares'!$C:$FB,7)</f>
        <v>1283</v>
      </c>
      <c r="C147" s="50">
        <f>VLOOKUP($A147,'Data shares'!$C:$FB,10)*100</f>
        <v>0.08</v>
      </c>
      <c r="D147" s="49">
        <f>VLOOKUP($A147,'Data shares'!$C:$FB,66)</f>
        <v>27215500</v>
      </c>
      <c r="E147" s="49">
        <f>VLOOKUP($A147,'Data shares'!$C:$FB,67)</f>
        <v>33563000</v>
      </c>
      <c r="F147" s="50">
        <f>VLOOKUP($A147,'Data shares'!$C:$FB,69)*100</f>
        <v>-18.91</v>
      </c>
      <c r="G147" s="49">
        <f>VLOOKUP($A147,'Data shares'!$C:$FB,42)</f>
        <v>11113000</v>
      </c>
      <c r="H147" s="49">
        <f>VLOOKUP($A147,'Data shares'!$C:$FB,43)</f>
        <v>12859500</v>
      </c>
      <c r="I147" s="50">
        <f>VLOOKUP($A147,'Data shares'!$C:$FB,45)*100</f>
        <v>-13.58</v>
      </c>
      <c r="J147" s="49">
        <f>VLOOKUP($A147,'Data shares'!$C:$FB,58)</f>
        <v>9657000</v>
      </c>
      <c r="K147" s="49">
        <f>VLOOKUP($A147,'Data shares'!$C:$FB,59)</f>
        <v>11246500</v>
      </c>
      <c r="L147" s="50">
        <f>VLOOKUP($A147,'Data shares'!$C:$FB,61)*100</f>
        <v>-14.13</v>
      </c>
      <c r="M147" s="49">
        <f>VLOOKUP($A147,'Data shares'!$C:$FB,62)</f>
        <v>6445500</v>
      </c>
      <c r="N147" s="49">
        <f>VLOOKUP($A147,'Data shares'!$C:$FB,63)</f>
        <v>9457000</v>
      </c>
      <c r="O147" s="140">
        <f>VLOOKUP($A147,'Data shares'!$C:$FB,65)*100</f>
        <v>-31.840000000000003</v>
      </c>
    </row>
    <row r="148" spans="1:15" x14ac:dyDescent="0.25">
      <c r="A148" s="101" t="str">
        <f>'Data shares'!C143</f>
        <v>NHPC</v>
      </c>
      <c r="B148" s="50">
        <f>VLOOKUP($A148,'Data shares'!$C:$FB,7)</f>
        <v>85.02</v>
      </c>
      <c r="C148" s="50">
        <f>VLOOKUP($A148,'Data shares'!$C:$FB,10)*100</f>
        <v>0.27</v>
      </c>
      <c r="D148" s="49">
        <f>VLOOKUP($A148,'Data shares'!$C:$FB,66)</f>
        <v>48243200</v>
      </c>
      <c r="E148" s="49">
        <f>VLOOKUP($A148,'Data shares'!$C:$FB,67)</f>
        <v>85971200</v>
      </c>
      <c r="F148" s="50">
        <f>VLOOKUP($A148,'Data shares'!$C:$FB,69)*100</f>
        <v>-43.88</v>
      </c>
      <c r="G148" s="49">
        <f>VLOOKUP($A148,'Data shares'!$C:$FB,42)</f>
        <v>35769600</v>
      </c>
      <c r="H148" s="49">
        <f>VLOOKUP($A148,'Data shares'!$C:$FB,43)</f>
        <v>53344000</v>
      </c>
      <c r="I148" s="50">
        <f>VLOOKUP($A148,'Data shares'!$C:$FB,45)*100</f>
        <v>-32.950000000000003</v>
      </c>
      <c r="J148" s="49">
        <f>VLOOKUP($A148,'Data shares'!$C:$FB,58)</f>
        <v>9094400</v>
      </c>
      <c r="K148" s="49">
        <f>VLOOKUP($A148,'Data shares'!$C:$FB,59)</f>
        <v>21766400</v>
      </c>
      <c r="L148" s="50">
        <f>VLOOKUP($A148,'Data shares'!$C:$FB,61)*100</f>
        <v>-58.220000000000006</v>
      </c>
      <c r="M148" s="49">
        <f>VLOOKUP($A148,'Data shares'!$C:$FB,62)</f>
        <v>3379200</v>
      </c>
      <c r="N148" s="49">
        <f>VLOOKUP($A148,'Data shares'!$C:$FB,63)</f>
        <v>10860800</v>
      </c>
      <c r="O148" s="140">
        <f>VLOOKUP($A148,'Data shares'!$C:$FB,65)*100</f>
        <v>-68.89</v>
      </c>
    </row>
    <row r="149" spans="1:15" x14ac:dyDescent="0.25">
      <c r="A149" s="101" t="str">
        <f>'Data shares'!C144</f>
        <v>NIFTY</v>
      </c>
      <c r="B149" s="50">
        <f>VLOOKUP($A149,'Data shares'!$C:$FB,7)</f>
        <v>25966.05</v>
      </c>
      <c r="C149" s="50">
        <f>VLOOKUP($A149,'Data shares'!$C:$FB,10)*100</f>
        <v>0.66</v>
      </c>
      <c r="D149" s="49">
        <f>VLOOKUP($A149,'Data shares'!$C:$FB,66)</f>
        <v>9833357025</v>
      </c>
      <c r="E149" s="49">
        <f>VLOOKUP($A149,'Data shares'!$C:$FB,67)</f>
        <v>9111358500</v>
      </c>
      <c r="F149" s="50">
        <f>VLOOKUP($A149,'Data shares'!$C:$FB,69)*100</f>
        <v>7.9200000000000008</v>
      </c>
      <c r="G149" s="49">
        <f>VLOOKUP($A149,'Data shares'!$C:$FB,42)</f>
        <v>15031200</v>
      </c>
      <c r="H149" s="49">
        <f>VLOOKUP($A149,'Data shares'!$C:$FB,43)</f>
        <v>10634700</v>
      </c>
      <c r="I149" s="50">
        <f>VLOOKUP($A149,'Data shares'!$C:$FB,45)*100</f>
        <v>41.339999999999996</v>
      </c>
      <c r="J149" s="49">
        <f>VLOOKUP($A149,'Data shares'!$C:$FB,58)</f>
        <v>5000254125</v>
      </c>
      <c r="K149" s="49">
        <f>VLOOKUP($A149,'Data shares'!$C:$FB,59)</f>
        <v>4366752375</v>
      </c>
      <c r="L149" s="50">
        <f>VLOOKUP($A149,'Data shares'!$C:$FB,61)*100</f>
        <v>14.510000000000002</v>
      </c>
      <c r="M149" s="49">
        <f>VLOOKUP($A149,'Data shares'!$C:$FB,62)</f>
        <v>4818071700</v>
      </c>
      <c r="N149" s="49">
        <f>VLOOKUP($A149,'Data shares'!$C:$FB,63)</f>
        <v>4733971425</v>
      </c>
      <c r="O149" s="140">
        <f>VLOOKUP($A149,'Data shares'!$C:$FB,65)*100</f>
        <v>1.78</v>
      </c>
    </row>
    <row r="150" spans="1:15" x14ac:dyDescent="0.25">
      <c r="A150" s="101" t="str">
        <f>'Data shares'!C145</f>
        <v>NIFTYNXT50</v>
      </c>
      <c r="B150" s="50">
        <f>VLOOKUP($A150,'Data shares'!$C:$FB,7)</f>
        <v>69612.2</v>
      </c>
      <c r="C150" s="50">
        <f>VLOOKUP($A150,'Data shares'!$C:$FB,10)*100</f>
        <v>0.37</v>
      </c>
      <c r="D150" s="49">
        <f>VLOOKUP($A150,'Data shares'!$C:$FB,66)</f>
        <v>80000</v>
      </c>
      <c r="E150" s="49">
        <f>VLOOKUP($A150,'Data shares'!$C:$FB,67)</f>
        <v>55950</v>
      </c>
      <c r="F150" s="50">
        <f>VLOOKUP($A150,'Data shares'!$C:$FB,69)*100</f>
        <v>42.980000000000004</v>
      </c>
      <c r="G150" s="49">
        <f>VLOOKUP($A150,'Data shares'!$C:$FB,42)</f>
        <v>17675</v>
      </c>
      <c r="H150" s="49">
        <f>VLOOKUP($A150,'Data shares'!$C:$FB,43)</f>
        <v>12950</v>
      </c>
      <c r="I150" s="50">
        <f>VLOOKUP($A150,'Data shares'!$C:$FB,45)*100</f>
        <v>36.49</v>
      </c>
      <c r="J150" s="49">
        <f>VLOOKUP($A150,'Data shares'!$C:$FB,58)</f>
        <v>37350</v>
      </c>
      <c r="K150" s="49">
        <f>VLOOKUP($A150,'Data shares'!$C:$FB,59)</f>
        <v>22625</v>
      </c>
      <c r="L150" s="50">
        <f>VLOOKUP($A150,'Data shares'!$C:$FB,61)*100</f>
        <v>65.08</v>
      </c>
      <c r="M150" s="49">
        <f>VLOOKUP($A150,'Data shares'!$C:$FB,62)</f>
        <v>24975</v>
      </c>
      <c r="N150" s="49">
        <f>VLOOKUP($A150,'Data shares'!$C:$FB,63)</f>
        <v>20375</v>
      </c>
      <c r="O150" s="140">
        <f>VLOOKUP($A150,'Data shares'!$C:$FB,65)*100</f>
        <v>22.58</v>
      </c>
    </row>
    <row r="151" spans="1:15" x14ac:dyDescent="0.25">
      <c r="A151" s="101" t="str">
        <f>'Data shares'!C146</f>
        <v>NMDC</v>
      </c>
      <c r="B151" s="50">
        <f>VLOOKUP($A151,'Data shares'!$C:$FB,7)</f>
        <v>74.37</v>
      </c>
      <c r="C151" s="50">
        <f>VLOOKUP($A151,'Data shares'!$C:$FB,10)*100</f>
        <v>0.24</v>
      </c>
      <c r="D151" s="49">
        <f>VLOOKUP($A151,'Data shares'!$C:$FB,66)</f>
        <v>336298500</v>
      </c>
      <c r="E151" s="49">
        <f>VLOOKUP($A151,'Data shares'!$C:$FB,67)</f>
        <v>286848000</v>
      </c>
      <c r="F151" s="50">
        <f>VLOOKUP($A151,'Data shares'!$C:$FB,69)*100</f>
        <v>17.239999999999998</v>
      </c>
      <c r="G151" s="49">
        <f>VLOOKUP($A151,'Data shares'!$C:$FB,42)</f>
        <v>240421500</v>
      </c>
      <c r="H151" s="49">
        <f>VLOOKUP($A151,'Data shares'!$C:$FB,43)</f>
        <v>155533500</v>
      </c>
      <c r="I151" s="50">
        <f>VLOOKUP($A151,'Data shares'!$C:$FB,45)*100</f>
        <v>54.58</v>
      </c>
      <c r="J151" s="49">
        <f>VLOOKUP($A151,'Data shares'!$C:$FB,58)</f>
        <v>54985500</v>
      </c>
      <c r="K151" s="49">
        <f>VLOOKUP($A151,'Data shares'!$C:$FB,59)</f>
        <v>86224500</v>
      </c>
      <c r="L151" s="50">
        <f>VLOOKUP($A151,'Data shares'!$C:$FB,61)*100</f>
        <v>-36.230000000000004</v>
      </c>
      <c r="M151" s="49">
        <f>VLOOKUP($A151,'Data shares'!$C:$FB,62)</f>
        <v>40891500</v>
      </c>
      <c r="N151" s="49">
        <f>VLOOKUP($A151,'Data shares'!$C:$FB,63)</f>
        <v>45090000</v>
      </c>
      <c r="O151" s="140">
        <f>VLOOKUP($A151,'Data shares'!$C:$FB,65)*100</f>
        <v>-9.31</v>
      </c>
    </row>
    <row r="152" spans="1:15" x14ac:dyDescent="0.25">
      <c r="A152" s="101" t="str">
        <f>'Data shares'!C147</f>
        <v>NTPC</v>
      </c>
      <c r="B152" s="50">
        <f>VLOOKUP($A152,'Data shares'!$C:$FB,7)</f>
        <v>341.75</v>
      </c>
      <c r="C152" s="50">
        <f>VLOOKUP($A152,'Data shares'!$C:$FB,10)*100</f>
        <v>0.63</v>
      </c>
      <c r="D152" s="49">
        <f>VLOOKUP($A152,'Data shares'!$C:$FB,66)</f>
        <v>131401500</v>
      </c>
      <c r="E152" s="49">
        <f>VLOOKUP($A152,'Data shares'!$C:$FB,67)</f>
        <v>133375500</v>
      </c>
      <c r="F152" s="50">
        <f>VLOOKUP($A152,'Data shares'!$C:$FB,69)*100</f>
        <v>-1.48</v>
      </c>
      <c r="G152" s="49">
        <f>VLOOKUP($A152,'Data shares'!$C:$FB,42)</f>
        <v>72105000</v>
      </c>
      <c r="H152" s="49">
        <f>VLOOKUP($A152,'Data shares'!$C:$FB,43)</f>
        <v>59380500</v>
      </c>
      <c r="I152" s="50">
        <f>VLOOKUP($A152,'Data shares'!$C:$FB,45)*100</f>
        <v>21.43</v>
      </c>
      <c r="J152" s="49">
        <f>VLOOKUP($A152,'Data shares'!$C:$FB,58)</f>
        <v>36811500</v>
      </c>
      <c r="K152" s="49">
        <f>VLOOKUP($A152,'Data shares'!$C:$FB,59)</f>
        <v>48915000</v>
      </c>
      <c r="L152" s="50">
        <f>VLOOKUP($A152,'Data shares'!$C:$FB,61)*100</f>
        <v>-24.740000000000002</v>
      </c>
      <c r="M152" s="49">
        <f>VLOOKUP($A152,'Data shares'!$C:$FB,62)</f>
        <v>22485000</v>
      </c>
      <c r="N152" s="49">
        <f>VLOOKUP($A152,'Data shares'!$C:$FB,63)</f>
        <v>25080000</v>
      </c>
      <c r="O152" s="140">
        <f>VLOOKUP($A152,'Data shares'!$C:$FB,65)*100</f>
        <v>-10.35</v>
      </c>
    </row>
    <row r="153" spans="1:15" x14ac:dyDescent="0.25">
      <c r="A153" s="101" t="str">
        <f>'Data shares'!C148</f>
        <v>NUVAMA</v>
      </c>
      <c r="B153" s="50">
        <f>VLOOKUP($A153,'Data shares'!$C:$FB,7)</f>
        <v>7420.5</v>
      </c>
      <c r="C153" s="50">
        <f>VLOOKUP($A153,'Data shares'!$C:$FB,10)*100</f>
        <v>3.4099999999999997</v>
      </c>
      <c r="D153" s="49">
        <f>VLOOKUP($A153,'Data shares'!$C:$FB,66)</f>
        <v>3753450</v>
      </c>
      <c r="E153" s="49">
        <f>VLOOKUP($A153,'Data shares'!$C:$FB,67)</f>
        <v>2599275</v>
      </c>
      <c r="F153" s="50">
        <f>VLOOKUP($A153,'Data shares'!$C:$FB,69)*100</f>
        <v>44.4</v>
      </c>
      <c r="G153" s="49">
        <f>VLOOKUP($A153,'Data shares'!$C:$FB,42)</f>
        <v>487200</v>
      </c>
      <c r="H153" s="49">
        <f>VLOOKUP($A153,'Data shares'!$C:$FB,43)</f>
        <v>366450</v>
      </c>
      <c r="I153" s="50">
        <f>VLOOKUP($A153,'Data shares'!$C:$FB,45)*100</f>
        <v>32.950000000000003</v>
      </c>
      <c r="J153" s="49">
        <f>VLOOKUP($A153,'Data shares'!$C:$FB,58)</f>
        <v>2239800</v>
      </c>
      <c r="K153" s="49">
        <f>VLOOKUP($A153,'Data shares'!$C:$FB,59)</f>
        <v>1682550</v>
      </c>
      <c r="L153" s="50">
        <f>VLOOKUP($A153,'Data shares'!$C:$FB,61)*100</f>
        <v>33.119999999999997</v>
      </c>
      <c r="M153" s="49">
        <f>VLOOKUP($A153,'Data shares'!$C:$FB,62)</f>
        <v>1026450</v>
      </c>
      <c r="N153" s="49">
        <f>VLOOKUP($A153,'Data shares'!$C:$FB,63)</f>
        <v>550275</v>
      </c>
      <c r="O153" s="140">
        <f>VLOOKUP($A153,'Data shares'!$C:$FB,65)*100</f>
        <v>86.53</v>
      </c>
    </row>
    <row r="154" spans="1:15" x14ac:dyDescent="0.25">
      <c r="A154" s="101" t="str">
        <f>'Data shares'!C149</f>
        <v>NYKAA</v>
      </c>
      <c r="B154" s="50">
        <f>VLOOKUP($A154,'Data shares'!$C:$FB,7)</f>
        <v>255.14</v>
      </c>
      <c r="C154" s="50">
        <f>VLOOKUP($A154,'Data shares'!$C:$FB,10)*100</f>
        <v>1.82</v>
      </c>
      <c r="D154" s="49">
        <f>VLOOKUP($A154,'Data shares'!$C:$FB,66)</f>
        <v>78521875</v>
      </c>
      <c r="E154" s="49">
        <f>VLOOKUP($A154,'Data shares'!$C:$FB,67)</f>
        <v>82984375</v>
      </c>
      <c r="F154" s="50">
        <f>VLOOKUP($A154,'Data shares'!$C:$FB,69)*100</f>
        <v>-5.38</v>
      </c>
      <c r="G154" s="49">
        <f>VLOOKUP($A154,'Data shares'!$C:$FB,42)</f>
        <v>51406250</v>
      </c>
      <c r="H154" s="49">
        <f>VLOOKUP($A154,'Data shares'!$C:$FB,43)</f>
        <v>50950000</v>
      </c>
      <c r="I154" s="50">
        <f>VLOOKUP($A154,'Data shares'!$C:$FB,45)*100</f>
        <v>0.89999999999999991</v>
      </c>
      <c r="J154" s="49">
        <f>VLOOKUP($A154,'Data shares'!$C:$FB,58)</f>
        <v>15431250</v>
      </c>
      <c r="K154" s="49">
        <f>VLOOKUP($A154,'Data shares'!$C:$FB,59)</f>
        <v>16331250</v>
      </c>
      <c r="L154" s="50">
        <f>VLOOKUP($A154,'Data shares'!$C:$FB,61)*100</f>
        <v>-5.5100000000000007</v>
      </c>
      <c r="M154" s="49">
        <f>VLOOKUP($A154,'Data shares'!$C:$FB,62)</f>
        <v>11684375</v>
      </c>
      <c r="N154" s="49">
        <f>VLOOKUP($A154,'Data shares'!$C:$FB,63)</f>
        <v>15703125</v>
      </c>
      <c r="O154" s="140">
        <f>VLOOKUP($A154,'Data shares'!$C:$FB,65)*100</f>
        <v>-25.590000000000003</v>
      </c>
    </row>
    <row r="155" spans="1:15" x14ac:dyDescent="0.25">
      <c r="A155" s="101" t="str">
        <f>'Data shares'!C150</f>
        <v>OBEROIRLTY</v>
      </c>
      <c r="B155" s="50">
        <f>VLOOKUP($A155,'Data shares'!$C:$FB,7)</f>
        <v>1736</v>
      </c>
      <c r="C155" s="50">
        <f>VLOOKUP($A155,'Data shares'!$C:$FB,10)*100</f>
        <v>2.12</v>
      </c>
      <c r="D155" s="49">
        <f>VLOOKUP($A155,'Data shares'!$C:$FB,66)</f>
        <v>15643950</v>
      </c>
      <c r="E155" s="49">
        <f>VLOOKUP($A155,'Data shares'!$C:$FB,67)</f>
        <v>9430400</v>
      </c>
      <c r="F155" s="50">
        <f>VLOOKUP($A155,'Data shares'!$C:$FB,69)*100</f>
        <v>65.89</v>
      </c>
      <c r="G155" s="49">
        <f>VLOOKUP($A155,'Data shares'!$C:$FB,42)</f>
        <v>4179700</v>
      </c>
      <c r="H155" s="49">
        <f>VLOOKUP($A155,'Data shares'!$C:$FB,43)</f>
        <v>3650500</v>
      </c>
      <c r="I155" s="50">
        <f>VLOOKUP($A155,'Data shares'!$C:$FB,45)*100</f>
        <v>14.499999999999998</v>
      </c>
      <c r="J155" s="49">
        <f>VLOOKUP($A155,'Data shares'!$C:$FB,58)</f>
        <v>8639750</v>
      </c>
      <c r="K155" s="49">
        <f>VLOOKUP($A155,'Data shares'!$C:$FB,59)</f>
        <v>4280150</v>
      </c>
      <c r="L155" s="50">
        <f>VLOOKUP($A155,'Data shares'!$C:$FB,61)*100</f>
        <v>101.86</v>
      </c>
      <c r="M155" s="49">
        <f>VLOOKUP($A155,'Data shares'!$C:$FB,62)</f>
        <v>2824500</v>
      </c>
      <c r="N155" s="49">
        <f>VLOOKUP($A155,'Data shares'!$C:$FB,63)</f>
        <v>1499750</v>
      </c>
      <c r="O155" s="140">
        <f>VLOOKUP($A155,'Data shares'!$C:$FB,65)*100</f>
        <v>88.33</v>
      </c>
    </row>
    <row r="156" spans="1:15" x14ac:dyDescent="0.25">
      <c r="A156" s="101" t="str">
        <f>'Data shares'!C151</f>
        <v>OFSS</v>
      </c>
      <c r="B156" s="50">
        <f>VLOOKUP($A156,'Data shares'!$C:$FB,7)</f>
        <v>8695.5</v>
      </c>
      <c r="C156" s="50">
        <f>VLOOKUP($A156,'Data shares'!$C:$FB,10)*100</f>
        <v>1.52</v>
      </c>
      <c r="D156" s="49">
        <f>VLOOKUP($A156,'Data shares'!$C:$FB,66)</f>
        <v>3850200</v>
      </c>
      <c r="E156" s="49">
        <f>VLOOKUP($A156,'Data shares'!$C:$FB,67)</f>
        <v>2938875</v>
      </c>
      <c r="F156" s="50">
        <f>VLOOKUP($A156,'Data shares'!$C:$FB,69)*100</f>
        <v>31.009999999999998</v>
      </c>
      <c r="G156" s="49">
        <f>VLOOKUP($A156,'Data shares'!$C:$FB,42)</f>
        <v>1253775</v>
      </c>
      <c r="H156" s="49">
        <f>VLOOKUP($A156,'Data shares'!$C:$FB,43)</f>
        <v>855375</v>
      </c>
      <c r="I156" s="50">
        <f>VLOOKUP($A156,'Data shares'!$C:$FB,45)*100</f>
        <v>46.58</v>
      </c>
      <c r="J156" s="49">
        <f>VLOOKUP($A156,'Data shares'!$C:$FB,58)</f>
        <v>1903500</v>
      </c>
      <c r="K156" s="49">
        <f>VLOOKUP($A156,'Data shares'!$C:$FB,59)</f>
        <v>1458975</v>
      </c>
      <c r="L156" s="50">
        <f>VLOOKUP($A156,'Data shares'!$C:$FB,61)*100</f>
        <v>30.470000000000002</v>
      </c>
      <c r="M156" s="49">
        <f>VLOOKUP($A156,'Data shares'!$C:$FB,62)</f>
        <v>692925</v>
      </c>
      <c r="N156" s="49">
        <f>VLOOKUP($A156,'Data shares'!$C:$FB,63)</f>
        <v>624525</v>
      </c>
      <c r="O156" s="140">
        <f>VLOOKUP($A156,'Data shares'!$C:$FB,65)*100</f>
        <v>10.95</v>
      </c>
    </row>
    <row r="157" spans="1:15" x14ac:dyDescent="0.25">
      <c r="A157" s="101" t="str">
        <f>'Data shares'!C152</f>
        <v>OIL</v>
      </c>
      <c r="B157" s="50">
        <f>VLOOKUP($A157,'Data shares'!$C:$FB,7)</f>
        <v>422.35</v>
      </c>
      <c r="C157" s="50">
        <f>VLOOKUP($A157,'Data shares'!$C:$FB,10)*100</f>
        <v>0.67999999999999994</v>
      </c>
      <c r="D157" s="49">
        <f>VLOOKUP($A157,'Data shares'!$C:$FB,66)</f>
        <v>18734800</v>
      </c>
      <c r="E157" s="49">
        <f>VLOOKUP($A157,'Data shares'!$C:$FB,67)</f>
        <v>31981600</v>
      </c>
      <c r="F157" s="50">
        <f>VLOOKUP($A157,'Data shares'!$C:$FB,69)*100</f>
        <v>-41.42</v>
      </c>
      <c r="G157" s="49">
        <f>VLOOKUP($A157,'Data shares'!$C:$FB,42)</f>
        <v>8225000</v>
      </c>
      <c r="H157" s="49">
        <f>VLOOKUP($A157,'Data shares'!$C:$FB,43)</f>
        <v>11366600</v>
      </c>
      <c r="I157" s="50">
        <f>VLOOKUP($A157,'Data shares'!$C:$FB,45)*100</f>
        <v>-27.639999999999997</v>
      </c>
      <c r="J157" s="49">
        <f>VLOOKUP($A157,'Data shares'!$C:$FB,58)</f>
        <v>8103200</v>
      </c>
      <c r="K157" s="49">
        <f>VLOOKUP($A157,'Data shares'!$C:$FB,59)</f>
        <v>16522800</v>
      </c>
      <c r="L157" s="50">
        <f>VLOOKUP($A157,'Data shares'!$C:$FB,61)*100</f>
        <v>-50.960000000000008</v>
      </c>
      <c r="M157" s="49">
        <f>VLOOKUP($A157,'Data shares'!$C:$FB,62)</f>
        <v>2406600</v>
      </c>
      <c r="N157" s="49">
        <f>VLOOKUP($A157,'Data shares'!$C:$FB,63)</f>
        <v>4092200</v>
      </c>
      <c r="O157" s="140">
        <f>VLOOKUP($A157,'Data shares'!$C:$FB,65)*100</f>
        <v>-41.19</v>
      </c>
    </row>
    <row r="158" spans="1:15" x14ac:dyDescent="0.25">
      <c r="A158" s="101" t="str">
        <f>'Data shares'!C153</f>
        <v>ONGC</v>
      </c>
      <c r="B158" s="50">
        <f>VLOOKUP($A158,'Data shares'!$C:$FB,7)</f>
        <v>253.27</v>
      </c>
      <c r="C158" s="50">
        <f>VLOOKUP($A158,'Data shares'!$C:$FB,10)*100</f>
        <v>-0.66</v>
      </c>
      <c r="D158" s="49">
        <f>VLOOKUP($A158,'Data shares'!$C:$FB,66)</f>
        <v>174303000</v>
      </c>
      <c r="E158" s="49">
        <f>VLOOKUP($A158,'Data shares'!$C:$FB,67)</f>
        <v>246939750</v>
      </c>
      <c r="F158" s="50">
        <f>VLOOKUP($A158,'Data shares'!$C:$FB,69)*100</f>
        <v>-29.409999999999997</v>
      </c>
      <c r="G158" s="49">
        <f>VLOOKUP($A158,'Data shares'!$C:$FB,42)</f>
        <v>76401000</v>
      </c>
      <c r="H158" s="49">
        <f>VLOOKUP($A158,'Data shares'!$C:$FB,43)</f>
        <v>62127000</v>
      </c>
      <c r="I158" s="50">
        <f>VLOOKUP($A158,'Data shares'!$C:$FB,45)*100</f>
        <v>22.98</v>
      </c>
      <c r="J158" s="49">
        <f>VLOOKUP($A158,'Data shares'!$C:$FB,58)</f>
        <v>62221500</v>
      </c>
      <c r="K158" s="49">
        <f>VLOOKUP($A158,'Data shares'!$C:$FB,59)</f>
        <v>122994000</v>
      </c>
      <c r="L158" s="50">
        <f>VLOOKUP($A158,'Data shares'!$C:$FB,61)*100</f>
        <v>-49.41</v>
      </c>
      <c r="M158" s="49">
        <f>VLOOKUP($A158,'Data shares'!$C:$FB,62)</f>
        <v>35680500</v>
      </c>
      <c r="N158" s="49">
        <f>VLOOKUP($A158,'Data shares'!$C:$FB,63)</f>
        <v>61818750</v>
      </c>
      <c r="O158" s="140">
        <f>VLOOKUP($A158,'Data shares'!$C:$FB,65)*100</f>
        <v>-42.28</v>
      </c>
    </row>
    <row r="159" spans="1:15" x14ac:dyDescent="0.25">
      <c r="A159" s="101" t="str">
        <f>'Data shares'!C154</f>
        <v>PAGEIND</v>
      </c>
      <c r="B159" s="50">
        <f>VLOOKUP($A159,'Data shares'!$C:$FB,7)</f>
        <v>40985</v>
      </c>
      <c r="C159" s="50">
        <f>VLOOKUP($A159,'Data shares'!$C:$FB,10)*100</f>
        <v>-0.1</v>
      </c>
      <c r="D159" s="49">
        <f>VLOOKUP($A159,'Data shares'!$C:$FB,66)</f>
        <v>422865</v>
      </c>
      <c r="E159" s="49">
        <f>VLOOKUP($A159,'Data shares'!$C:$FB,67)</f>
        <v>473700</v>
      </c>
      <c r="F159" s="50">
        <f>VLOOKUP($A159,'Data shares'!$C:$FB,69)*100</f>
        <v>-10.73</v>
      </c>
      <c r="G159" s="49">
        <f>VLOOKUP($A159,'Data shares'!$C:$FB,42)</f>
        <v>169680</v>
      </c>
      <c r="H159" s="49">
        <f>VLOOKUP($A159,'Data shares'!$C:$FB,43)</f>
        <v>194580</v>
      </c>
      <c r="I159" s="50">
        <f>VLOOKUP($A159,'Data shares'!$C:$FB,45)*100</f>
        <v>-12.8</v>
      </c>
      <c r="J159" s="49">
        <f>VLOOKUP($A159,'Data shares'!$C:$FB,58)</f>
        <v>144555</v>
      </c>
      <c r="K159" s="49">
        <f>VLOOKUP($A159,'Data shares'!$C:$FB,59)</f>
        <v>161385</v>
      </c>
      <c r="L159" s="50">
        <f>VLOOKUP($A159,'Data shares'!$C:$FB,61)*100</f>
        <v>-10.43</v>
      </c>
      <c r="M159" s="49">
        <f>VLOOKUP($A159,'Data shares'!$C:$FB,62)</f>
        <v>108630</v>
      </c>
      <c r="N159" s="49">
        <f>VLOOKUP($A159,'Data shares'!$C:$FB,63)</f>
        <v>117735</v>
      </c>
      <c r="O159" s="140">
        <f>VLOOKUP($A159,'Data shares'!$C:$FB,65)*100</f>
        <v>-7.7299999999999995</v>
      </c>
    </row>
    <row r="160" spans="1:15" x14ac:dyDescent="0.25">
      <c r="A160" s="101" t="str">
        <f>'Data shares'!C155</f>
        <v>PATANJALI</v>
      </c>
      <c r="B160" s="50">
        <f>VLOOKUP($A160,'Data shares'!$C:$FB,7)</f>
        <v>590.5</v>
      </c>
      <c r="C160" s="50">
        <f>VLOOKUP($A160,'Data shares'!$C:$FB,10)*100</f>
        <v>1.6400000000000001</v>
      </c>
      <c r="D160" s="49">
        <f>VLOOKUP($A160,'Data shares'!$C:$FB,66)</f>
        <v>36004500</v>
      </c>
      <c r="E160" s="49">
        <f>VLOOKUP($A160,'Data shares'!$C:$FB,67)</f>
        <v>23911200</v>
      </c>
      <c r="F160" s="50">
        <f>VLOOKUP($A160,'Data shares'!$C:$FB,69)*100</f>
        <v>50.580000000000005</v>
      </c>
      <c r="G160" s="49">
        <f>VLOOKUP($A160,'Data shares'!$C:$FB,42)</f>
        <v>27475200</v>
      </c>
      <c r="H160" s="49">
        <f>VLOOKUP($A160,'Data shares'!$C:$FB,43)</f>
        <v>16662600</v>
      </c>
      <c r="I160" s="50">
        <f>VLOOKUP($A160,'Data shares'!$C:$FB,45)*100</f>
        <v>64.89</v>
      </c>
      <c r="J160" s="49">
        <f>VLOOKUP($A160,'Data shares'!$C:$FB,58)</f>
        <v>5449500</v>
      </c>
      <c r="K160" s="49">
        <f>VLOOKUP($A160,'Data shares'!$C:$FB,59)</f>
        <v>5003100</v>
      </c>
      <c r="L160" s="50">
        <f>VLOOKUP($A160,'Data shares'!$C:$FB,61)*100</f>
        <v>8.92</v>
      </c>
      <c r="M160" s="49">
        <f>VLOOKUP($A160,'Data shares'!$C:$FB,62)</f>
        <v>3079800</v>
      </c>
      <c r="N160" s="49">
        <f>VLOOKUP($A160,'Data shares'!$C:$FB,63)</f>
        <v>2245500</v>
      </c>
      <c r="O160" s="140">
        <f>VLOOKUP($A160,'Data shares'!$C:$FB,65)*100</f>
        <v>37.15</v>
      </c>
    </row>
    <row r="161" spans="1:15" x14ac:dyDescent="0.25">
      <c r="A161" s="101" t="str">
        <f>'Data shares'!C156</f>
        <v>PAYTM</v>
      </c>
      <c r="B161" s="50">
        <f>VLOOKUP($A161,'Data shares'!$C:$FB,7)</f>
        <v>1306.2</v>
      </c>
      <c r="C161" s="50">
        <f>VLOOKUP($A161,'Data shares'!$C:$FB,10)*100</f>
        <v>1.49</v>
      </c>
      <c r="D161" s="49">
        <f>VLOOKUP($A161,'Data shares'!$C:$FB,66)</f>
        <v>36044825</v>
      </c>
      <c r="E161" s="49">
        <f>VLOOKUP($A161,'Data shares'!$C:$FB,67)</f>
        <v>30454350</v>
      </c>
      <c r="F161" s="50">
        <f>VLOOKUP($A161,'Data shares'!$C:$FB,69)*100</f>
        <v>18.360000000000003</v>
      </c>
      <c r="G161" s="49">
        <f>VLOOKUP($A161,'Data shares'!$C:$FB,42)</f>
        <v>16704725</v>
      </c>
      <c r="H161" s="49">
        <f>VLOOKUP($A161,'Data shares'!$C:$FB,43)</f>
        <v>15130025</v>
      </c>
      <c r="I161" s="50">
        <f>VLOOKUP($A161,'Data shares'!$C:$FB,45)*100</f>
        <v>10.41</v>
      </c>
      <c r="J161" s="49">
        <f>VLOOKUP($A161,'Data shares'!$C:$FB,58)</f>
        <v>11776900</v>
      </c>
      <c r="K161" s="49">
        <f>VLOOKUP($A161,'Data shares'!$C:$FB,59)</f>
        <v>9400350</v>
      </c>
      <c r="L161" s="50">
        <f>VLOOKUP($A161,'Data shares'!$C:$FB,61)*100</f>
        <v>25.28</v>
      </c>
      <c r="M161" s="49">
        <f>VLOOKUP($A161,'Data shares'!$C:$FB,62)</f>
        <v>7563200</v>
      </c>
      <c r="N161" s="49">
        <f>VLOOKUP($A161,'Data shares'!$C:$FB,63)</f>
        <v>5923975</v>
      </c>
      <c r="O161" s="140">
        <f>VLOOKUP($A161,'Data shares'!$C:$FB,65)*100</f>
        <v>27.67</v>
      </c>
    </row>
    <row r="162" spans="1:15" x14ac:dyDescent="0.25">
      <c r="A162" s="101" t="str">
        <f>'Data shares'!C157</f>
        <v>PERSISTENT</v>
      </c>
      <c r="B162" s="50">
        <f>VLOOKUP($A162,'Data shares'!$C:$FB,7)</f>
        <v>5878.1</v>
      </c>
      <c r="C162" s="50">
        <f>VLOOKUP($A162,'Data shares'!$C:$FB,10)*100</f>
        <v>0.89</v>
      </c>
      <c r="D162" s="49">
        <f>VLOOKUP($A162,'Data shares'!$C:$FB,66)</f>
        <v>6238000</v>
      </c>
      <c r="E162" s="49">
        <f>VLOOKUP($A162,'Data shares'!$C:$FB,67)</f>
        <v>8168000</v>
      </c>
      <c r="F162" s="50">
        <f>VLOOKUP($A162,'Data shares'!$C:$FB,69)*100</f>
        <v>-23.630000000000003</v>
      </c>
      <c r="G162" s="49">
        <f>VLOOKUP($A162,'Data shares'!$C:$FB,42)</f>
        <v>1914600</v>
      </c>
      <c r="H162" s="49">
        <f>VLOOKUP($A162,'Data shares'!$C:$FB,43)</f>
        <v>2446100</v>
      </c>
      <c r="I162" s="50">
        <f>VLOOKUP($A162,'Data shares'!$C:$FB,45)*100</f>
        <v>-21.73</v>
      </c>
      <c r="J162" s="49">
        <f>VLOOKUP($A162,'Data shares'!$C:$FB,58)</f>
        <v>2283000</v>
      </c>
      <c r="K162" s="49">
        <f>VLOOKUP($A162,'Data shares'!$C:$FB,59)</f>
        <v>3500300</v>
      </c>
      <c r="L162" s="50">
        <f>VLOOKUP($A162,'Data shares'!$C:$FB,61)*100</f>
        <v>-34.78</v>
      </c>
      <c r="M162" s="49">
        <f>VLOOKUP($A162,'Data shares'!$C:$FB,62)</f>
        <v>2040400</v>
      </c>
      <c r="N162" s="49">
        <f>VLOOKUP($A162,'Data shares'!$C:$FB,63)</f>
        <v>2221600</v>
      </c>
      <c r="O162" s="140">
        <f>VLOOKUP($A162,'Data shares'!$C:$FB,65)*100</f>
        <v>-8.16</v>
      </c>
    </row>
    <row r="163" spans="1:15" x14ac:dyDescent="0.25">
      <c r="A163" s="101" t="str">
        <f>'Data shares'!C158</f>
        <v>PETRONET</v>
      </c>
      <c r="B163" s="50">
        <f>VLOOKUP($A163,'Data shares'!$C:$FB,7)</f>
        <v>280.10000000000002</v>
      </c>
      <c r="C163" s="50">
        <f>VLOOKUP($A163,'Data shares'!$C:$FB,10)*100</f>
        <v>-0.33999999999999997</v>
      </c>
      <c r="D163" s="49">
        <f>VLOOKUP($A163,'Data shares'!$C:$FB,66)</f>
        <v>46787400</v>
      </c>
      <c r="E163" s="49">
        <f>VLOOKUP($A163,'Data shares'!$C:$FB,67)</f>
        <v>55139400</v>
      </c>
      <c r="F163" s="50">
        <f>VLOOKUP($A163,'Data shares'!$C:$FB,69)*100</f>
        <v>-15.15</v>
      </c>
      <c r="G163" s="49">
        <f>VLOOKUP($A163,'Data shares'!$C:$FB,42)</f>
        <v>26031600</v>
      </c>
      <c r="H163" s="49">
        <f>VLOOKUP($A163,'Data shares'!$C:$FB,43)</f>
        <v>30641400</v>
      </c>
      <c r="I163" s="50">
        <f>VLOOKUP($A163,'Data shares'!$C:$FB,45)*100</f>
        <v>-15.040000000000001</v>
      </c>
      <c r="J163" s="49">
        <f>VLOOKUP($A163,'Data shares'!$C:$FB,58)</f>
        <v>11619000</v>
      </c>
      <c r="K163" s="49">
        <f>VLOOKUP($A163,'Data shares'!$C:$FB,59)</f>
        <v>16534800</v>
      </c>
      <c r="L163" s="50">
        <f>VLOOKUP($A163,'Data shares'!$C:$FB,61)*100</f>
        <v>-29.73</v>
      </c>
      <c r="M163" s="49">
        <f>VLOOKUP($A163,'Data shares'!$C:$FB,62)</f>
        <v>9136800</v>
      </c>
      <c r="N163" s="49">
        <f>VLOOKUP($A163,'Data shares'!$C:$FB,63)</f>
        <v>7963200</v>
      </c>
      <c r="O163" s="140">
        <f>VLOOKUP($A163,'Data shares'!$C:$FB,65)*100</f>
        <v>14.74</v>
      </c>
    </row>
    <row r="164" spans="1:15" x14ac:dyDescent="0.25">
      <c r="A164" s="101" t="str">
        <f>'Data shares'!C159</f>
        <v>PFC</v>
      </c>
      <c r="B164" s="50">
        <f>VLOOKUP($A164,'Data shares'!$C:$FB,7)</f>
        <v>396.9</v>
      </c>
      <c r="C164" s="50">
        <f>VLOOKUP($A164,'Data shares'!$C:$FB,10)*100</f>
        <v>0.84</v>
      </c>
      <c r="D164" s="49">
        <f>VLOOKUP($A164,'Data shares'!$C:$FB,66)</f>
        <v>76833900</v>
      </c>
      <c r="E164" s="49">
        <f>VLOOKUP($A164,'Data shares'!$C:$FB,67)</f>
        <v>64529400</v>
      </c>
      <c r="F164" s="50">
        <f>VLOOKUP($A164,'Data shares'!$C:$FB,69)*100</f>
        <v>19.07</v>
      </c>
      <c r="G164" s="49">
        <f>VLOOKUP($A164,'Data shares'!$C:$FB,42)</f>
        <v>35594000</v>
      </c>
      <c r="H164" s="49">
        <f>VLOOKUP($A164,'Data shares'!$C:$FB,43)</f>
        <v>27076400</v>
      </c>
      <c r="I164" s="50">
        <f>VLOOKUP($A164,'Data shares'!$C:$FB,45)*100</f>
        <v>31.46</v>
      </c>
      <c r="J164" s="49">
        <f>VLOOKUP($A164,'Data shares'!$C:$FB,58)</f>
        <v>24485500</v>
      </c>
      <c r="K164" s="49">
        <f>VLOOKUP($A164,'Data shares'!$C:$FB,59)</f>
        <v>23457200</v>
      </c>
      <c r="L164" s="50">
        <f>VLOOKUP($A164,'Data shares'!$C:$FB,61)*100</f>
        <v>4.38</v>
      </c>
      <c r="M164" s="49">
        <f>VLOOKUP($A164,'Data shares'!$C:$FB,62)</f>
        <v>16754400</v>
      </c>
      <c r="N164" s="49">
        <f>VLOOKUP($A164,'Data shares'!$C:$FB,63)</f>
        <v>13995800</v>
      </c>
      <c r="O164" s="140">
        <f>VLOOKUP($A164,'Data shares'!$C:$FB,65)*100</f>
        <v>19.71</v>
      </c>
    </row>
    <row r="165" spans="1:15" x14ac:dyDescent="0.25">
      <c r="A165" s="101" t="str">
        <f>'Data shares'!C160</f>
        <v>PGEL</v>
      </c>
      <c r="B165" s="50">
        <f>VLOOKUP($A165,'Data shares'!$C:$FB,7)</f>
        <v>571.95000000000005</v>
      </c>
      <c r="C165" s="50">
        <f>VLOOKUP($A165,'Data shares'!$C:$FB,10)*100</f>
        <v>-0.69</v>
      </c>
      <c r="D165" s="49">
        <f>VLOOKUP($A165,'Data shares'!$C:$FB,66)</f>
        <v>13372800</v>
      </c>
      <c r="E165" s="49">
        <f>VLOOKUP($A165,'Data shares'!$C:$FB,67)</f>
        <v>14213500</v>
      </c>
      <c r="F165" s="50">
        <f>VLOOKUP($A165,'Data shares'!$C:$FB,69)*100</f>
        <v>-5.91</v>
      </c>
      <c r="G165" s="49">
        <f>VLOOKUP($A165,'Data shares'!$C:$FB,42)</f>
        <v>7110600</v>
      </c>
      <c r="H165" s="49">
        <f>VLOOKUP($A165,'Data shares'!$C:$FB,43)</f>
        <v>5980800</v>
      </c>
      <c r="I165" s="50">
        <f>VLOOKUP($A165,'Data shares'!$C:$FB,45)*100</f>
        <v>18.89</v>
      </c>
      <c r="J165" s="49">
        <f>VLOOKUP($A165,'Data shares'!$C:$FB,58)</f>
        <v>4053700</v>
      </c>
      <c r="K165" s="49">
        <f>VLOOKUP($A165,'Data shares'!$C:$FB,59)</f>
        <v>5077100</v>
      </c>
      <c r="L165" s="50">
        <f>VLOOKUP($A165,'Data shares'!$C:$FB,61)*100</f>
        <v>-20.16</v>
      </c>
      <c r="M165" s="49">
        <f>VLOOKUP($A165,'Data shares'!$C:$FB,62)</f>
        <v>2208500</v>
      </c>
      <c r="N165" s="49">
        <f>VLOOKUP($A165,'Data shares'!$C:$FB,63)</f>
        <v>3155600</v>
      </c>
      <c r="O165" s="140">
        <f>VLOOKUP($A165,'Data shares'!$C:$FB,65)*100</f>
        <v>-30.009999999999998</v>
      </c>
    </row>
    <row r="166" spans="1:15" x14ac:dyDescent="0.25">
      <c r="A166" s="101" t="str">
        <f>'Data shares'!C161</f>
        <v>PHOENIXLTD</v>
      </c>
      <c r="B166" s="50">
        <f>VLOOKUP($A166,'Data shares'!$C:$FB,7)</f>
        <v>1711.1</v>
      </c>
      <c r="C166" s="50">
        <f>VLOOKUP($A166,'Data shares'!$C:$FB,10)*100</f>
        <v>1.81</v>
      </c>
      <c r="D166" s="49">
        <f>VLOOKUP($A166,'Data shares'!$C:$FB,66)</f>
        <v>7098350</v>
      </c>
      <c r="E166" s="49">
        <f>VLOOKUP($A166,'Data shares'!$C:$FB,67)</f>
        <v>4734800</v>
      </c>
      <c r="F166" s="50">
        <f>VLOOKUP($A166,'Data shares'!$C:$FB,69)*100</f>
        <v>49.919999999999995</v>
      </c>
      <c r="G166" s="49">
        <f>VLOOKUP($A166,'Data shares'!$C:$FB,42)</f>
        <v>4099550</v>
      </c>
      <c r="H166" s="49">
        <f>VLOOKUP($A166,'Data shares'!$C:$FB,43)</f>
        <v>2933350</v>
      </c>
      <c r="I166" s="50">
        <f>VLOOKUP($A166,'Data shares'!$C:$FB,45)*100</f>
        <v>39.76</v>
      </c>
      <c r="J166" s="49">
        <f>VLOOKUP($A166,'Data shares'!$C:$FB,58)</f>
        <v>2366350</v>
      </c>
      <c r="K166" s="49">
        <f>VLOOKUP($A166,'Data shares'!$C:$FB,59)</f>
        <v>1195600</v>
      </c>
      <c r="L166" s="50">
        <f>VLOOKUP($A166,'Data shares'!$C:$FB,61)*100</f>
        <v>97.92</v>
      </c>
      <c r="M166" s="49">
        <f>VLOOKUP($A166,'Data shares'!$C:$FB,62)</f>
        <v>632450</v>
      </c>
      <c r="N166" s="49">
        <f>VLOOKUP($A166,'Data shares'!$C:$FB,63)</f>
        <v>605850</v>
      </c>
      <c r="O166" s="140">
        <f>VLOOKUP($A166,'Data shares'!$C:$FB,65)*100</f>
        <v>4.3900000000000006</v>
      </c>
    </row>
    <row r="167" spans="1:15" x14ac:dyDescent="0.25">
      <c r="A167" s="101" t="str">
        <f>'Data shares'!C162</f>
        <v>PIDILITIND</v>
      </c>
      <c r="B167" s="50">
        <f>VLOOKUP($A167,'Data shares'!$C:$FB,7)</f>
        <v>1504.4</v>
      </c>
      <c r="C167" s="50">
        <f>VLOOKUP($A167,'Data shares'!$C:$FB,10)*100</f>
        <v>-0.18</v>
      </c>
      <c r="D167" s="49">
        <f>VLOOKUP($A167,'Data shares'!$C:$FB,66)</f>
        <v>11492500</v>
      </c>
      <c r="E167" s="49">
        <f>VLOOKUP($A167,'Data shares'!$C:$FB,67)</f>
        <v>12339500</v>
      </c>
      <c r="F167" s="50">
        <f>VLOOKUP($A167,'Data shares'!$C:$FB,69)*100</f>
        <v>-6.8599999999999994</v>
      </c>
      <c r="G167" s="49">
        <f>VLOOKUP($A167,'Data shares'!$C:$FB,42)</f>
        <v>7579000</v>
      </c>
      <c r="H167" s="49">
        <f>VLOOKUP($A167,'Data shares'!$C:$FB,43)</f>
        <v>8248500</v>
      </c>
      <c r="I167" s="50">
        <f>VLOOKUP($A167,'Data shares'!$C:$FB,45)*100</f>
        <v>-8.1199999999999992</v>
      </c>
      <c r="J167" s="49">
        <f>VLOOKUP($A167,'Data shares'!$C:$FB,58)</f>
        <v>2136000</v>
      </c>
      <c r="K167" s="49">
        <f>VLOOKUP($A167,'Data shares'!$C:$FB,59)</f>
        <v>2121000</v>
      </c>
      <c r="L167" s="50">
        <f>VLOOKUP($A167,'Data shares'!$C:$FB,61)*100</f>
        <v>0.71000000000000008</v>
      </c>
      <c r="M167" s="49">
        <f>VLOOKUP($A167,'Data shares'!$C:$FB,62)</f>
        <v>1777500</v>
      </c>
      <c r="N167" s="49">
        <f>VLOOKUP($A167,'Data shares'!$C:$FB,63)</f>
        <v>1970000</v>
      </c>
      <c r="O167" s="140">
        <f>VLOOKUP($A167,'Data shares'!$C:$FB,65)*100</f>
        <v>-9.77</v>
      </c>
    </row>
    <row r="168" spans="1:15" x14ac:dyDescent="0.25">
      <c r="A168" s="101" t="str">
        <f>'Data shares'!C163</f>
        <v>PIIND</v>
      </c>
      <c r="B168" s="50">
        <f>VLOOKUP($A168,'Data shares'!$C:$FB,7)</f>
        <v>3610</v>
      </c>
      <c r="C168" s="50">
        <f>VLOOKUP($A168,'Data shares'!$C:$FB,10)*100</f>
        <v>0.75</v>
      </c>
      <c r="D168" s="49">
        <f>VLOOKUP($A168,'Data shares'!$C:$FB,66)</f>
        <v>3724350</v>
      </c>
      <c r="E168" s="49">
        <f>VLOOKUP($A168,'Data shares'!$C:$FB,67)</f>
        <v>3169425</v>
      </c>
      <c r="F168" s="50">
        <f>VLOOKUP($A168,'Data shares'!$C:$FB,69)*100</f>
        <v>17.510000000000002</v>
      </c>
      <c r="G168" s="49">
        <f>VLOOKUP($A168,'Data shares'!$C:$FB,42)</f>
        <v>1406125</v>
      </c>
      <c r="H168" s="49">
        <f>VLOOKUP($A168,'Data shares'!$C:$FB,43)</f>
        <v>1799875</v>
      </c>
      <c r="I168" s="50">
        <f>VLOOKUP($A168,'Data shares'!$C:$FB,45)*100</f>
        <v>-21.88</v>
      </c>
      <c r="J168" s="49">
        <f>VLOOKUP($A168,'Data shares'!$C:$FB,58)</f>
        <v>1824025</v>
      </c>
      <c r="K168" s="49">
        <f>VLOOKUP($A168,'Data shares'!$C:$FB,59)</f>
        <v>879900</v>
      </c>
      <c r="L168" s="50">
        <f>VLOOKUP($A168,'Data shares'!$C:$FB,61)*100</f>
        <v>107.3</v>
      </c>
      <c r="M168" s="49">
        <f>VLOOKUP($A168,'Data shares'!$C:$FB,62)</f>
        <v>494200</v>
      </c>
      <c r="N168" s="49">
        <f>VLOOKUP($A168,'Data shares'!$C:$FB,63)</f>
        <v>489650</v>
      </c>
      <c r="O168" s="140">
        <f>VLOOKUP($A168,'Data shares'!$C:$FB,65)*100</f>
        <v>0.92999999999999994</v>
      </c>
    </row>
    <row r="169" spans="1:15" x14ac:dyDescent="0.25">
      <c r="A169" s="101" t="str">
        <f>'Data shares'!C164</f>
        <v>PNB</v>
      </c>
      <c r="B169" s="50">
        <f>VLOOKUP($A169,'Data shares'!$C:$FB,7)</f>
        <v>119.63</v>
      </c>
      <c r="C169" s="50">
        <f>VLOOKUP($A169,'Data shares'!$C:$FB,10)*100</f>
        <v>2.2999999999999998</v>
      </c>
      <c r="D169" s="49">
        <f>VLOOKUP($A169,'Data shares'!$C:$FB,66)</f>
        <v>579568000</v>
      </c>
      <c r="E169" s="49">
        <f>VLOOKUP($A169,'Data shares'!$C:$FB,67)</f>
        <v>472528000</v>
      </c>
      <c r="F169" s="50">
        <f>VLOOKUP($A169,'Data shares'!$C:$FB,69)*100</f>
        <v>22.650000000000002</v>
      </c>
      <c r="G169" s="49">
        <f>VLOOKUP($A169,'Data shares'!$C:$FB,42)</f>
        <v>226560000</v>
      </c>
      <c r="H169" s="49">
        <f>VLOOKUP($A169,'Data shares'!$C:$FB,43)</f>
        <v>148008000</v>
      </c>
      <c r="I169" s="50">
        <f>VLOOKUP($A169,'Data shares'!$C:$FB,45)*100</f>
        <v>53.069999999999993</v>
      </c>
      <c r="J169" s="49">
        <f>VLOOKUP($A169,'Data shares'!$C:$FB,58)</f>
        <v>236216000</v>
      </c>
      <c r="K169" s="49">
        <f>VLOOKUP($A169,'Data shares'!$C:$FB,59)</f>
        <v>198312000</v>
      </c>
      <c r="L169" s="50">
        <f>VLOOKUP($A169,'Data shares'!$C:$FB,61)*100</f>
        <v>19.11</v>
      </c>
      <c r="M169" s="49">
        <f>VLOOKUP($A169,'Data shares'!$C:$FB,62)</f>
        <v>116792000</v>
      </c>
      <c r="N169" s="49">
        <f>VLOOKUP($A169,'Data shares'!$C:$FB,63)</f>
        <v>126208000</v>
      </c>
      <c r="O169" s="140">
        <f>VLOOKUP($A169,'Data shares'!$C:$FB,65)*100</f>
        <v>-7.46</v>
      </c>
    </row>
    <row r="170" spans="1:15" x14ac:dyDescent="0.25">
      <c r="A170" s="101" t="str">
        <f>'Data shares'!C165</f>
        <v>PNBHOUSING</v>
      </c>
      <c r="B170" s="50">
        <f>VLOOKUP($A170,'Data shares'!$C:$FB,7)</f>
        <v>927.6</v>
      </c>
      <c r="C170" s="50">
        <f>VLOOKUP($A170,'Data shares'!$C:$FB,10)*100</f>
        <v>2.2399999999999998</v>
      </c>
      <c r="D170" s="49">
        <f>VLOOKUP($A170,'Data shares'!$C:$FB,66)</f>
        <v>43537650</v>
      </c>
      <c r="E170" s="49">
        <f>VLOOKUP($A170,'Data shares'!$C:$FB,67)</f>
        <v>40289600</v>
      </c>
      <c r="F170" s="50">
        <f>VLOOKUP($A170,'Data shares'!$C:$FB,69)*100</f>
        <v>8.06</v>
      </c>
      <c r="G170" s="49">
        <f>VLOOKUP($A170,'Data shares'!$C:$FB,42)</f>
        <v>14307150</v>
      </c>
      <c r="H170" s="49">
        <f>VLOOKUP($A170,'Data shares'!$C:$FB,43)</f>
        <v>13928200</v>
      </c>
      <c r="I170" s="50">
        <f>VLOOKUP($A170,'Data shares'!$C:$FB,45)*100</f>
        <v>2.7199999999999998</v>
      </c>
      <c r="J170" s="49">
        <f>VLOOKUP($A170,'Data shares'!$C:$FB,58)</f>
        <v>19918600</v>
      </c>
      <c r="K170" s="49">
        <f>VLOOKUP($A170,'Data shares'!$C:$FB,59)</f>
        <v>17752150</v>
      </c>
      <c r="L170" s="50">
        <f>VLOOKUP($A170,'Data shares'!$C:$FB,61)*100</f>
        <v>12.2</v>
      </c>
      <c r="M170" s="49">
        <f>VLOOKUP($A170,'Data shares'!$C:$FB,62)</f>
        <v>9311900</v>
      </c>
      <c r="N170" s="49">
        <f>VLOOKUP($A170,'Data shares'!$C:$FB,63)</f>
        <v>8609250</v>
      </c>
      <c r="O170" s="140">
        <f>VLOOKUP($A170,'Data shares'!$C:$FB,65)*100</f>
        <v>8.16</v>
      </c>
    </row>
    <row r="171" spans="1:15" x14ac:dyDescent="0.25">
      <c r="A171" s="101" t="str">
        <f>'Data shares'!C166</f>
        <v>POLICYBZR</v>
      </c>
      <c r="B171" s="50">
        <f>VLOOKUP($A171,'Data shares'!$C:$FB,7)</f>
        <v>1749.4</v>
      </c>
      <c r="C171" s="50">
        <f>VLOOKUP($A171,'Data shares'!$C:$FB,10)*100</f>
        <v>3.7800000000000002</v>
      </c>
      <c r="D171" s="49">
        <f>VLOOKUP($A171,'Data shares'!$C:$FB,66)</f>
        <v>18348050</v>
      </c>
      <c r="E171" s="49">
        <f>VLOOKUP($A171,'Data shares'!$C:$FB,67)</f>
        <v>12828550</v>
      </c>
      <c r="F171" s="50">
        <f>VLOOKUP($A171,'Data shares'!$C:$FB,69)*100</f>
        <v>43.03</v>
      </c>
      <c r="G171" s="49">
        <f>VLOOKUP($A171,'Data shares'!$C:$FB,42)</f>
        <v>9077600</v>
      </c>
      <c r="H171" s="49">
        <f>VLOOKUP($A171,'Data shares'!$C:$FB,43)</f>
        <v>7285250</v>
      </c>
      <c r="I171" s="50">
        <f>VLOOKUP($A171,'Data shares'!$C:$FB,45)*100</f>
        <v>24.6</v>
      </c>
      <c r="J171" s="49">
        <f>VLOOKUP($A171,'Data shares'!$C:$FB,58)</f>
        <v>7329350</v>
      </c>
      <c r="K171" s="49">
        <f>VLOOKUP($A171,'Data shares'!$C:$FB,59)</f>
        <v>4015200</v>
      </c>
      <c r="L171" s="50">
        <f>VLOOKUP($A171,'Data shares'!$C:$FB,61)*100</f>
        <v>82.54</v>
      </c>
      <c r="M171" s="49">
        <f>VLOOKUP($A171,'Data shares'!$C:$FB,62)</f>
        <v>1941100</v>
      </c>
      <c r="N171" s="49">
        <f>VLOOKUP($A171,'Data shares'!$C:$FB,63)</f>
        <v>1528100</v>
      </c>
      <c r="O171" s="140">
        <f>VLOOKUP($A171,'Data shares'!$C:$FB,65)*100</f>
        <v>27.029999999999998</v>
      </c>
    </row>
    <row r="172" spans="1:15" x14ac:dyDescent="0.25">
      <c r="A172" s="101" t="str">
        <f>'Data shares'!C167</f>
        <v>POLYCAB</v>
      </c>
      <c r="B172" s="50">
        <f>VLOOKUP($A172,'Data shares'!$C:$FB,7)</f>
        <v>7666.5</v>
      </c>
      <c r="C172" s="50">
        <f>VLOOKUP($A172,'Data shares'!$C:$FB,10)*100</f>
        <v>2.04</v>
      </c>
      <c r="D172" s="49">
        <f>VLOOKUP($A172,'Data shares'!$C:$FB,66)</f>
        <v>5283500</v>
      </c>
      <c r="E172" s="49">
        <f>VLOOKUP($A172,'Data shares'!$C:$FB,67)</f>
        <v>6726250</v>
      </c>
      <c r="F172" s="50">
        <f>VLOOKUP($A172,'Data shares'!$C:$FB,69)*100</f>
        <v>-21.45</v>
      </c>
      <c r="G172" s="49">
        <f>VLOOKUP($A172,'Data shares'!$C:$FB,42)</f>
        <v>1266500</v>
      </c>
      <c r="H172" s="49">
        <f>VLOOKUP($A172,'Data shares'!$C:$FB,43)</f>
        <v>1777625</v>
      </c>
      <c r="I172" s="50">
        <f>VLOOKUP($A172,'Data shares'!$C:$FB,45)*100</f>
        <v>-28.749999999999996</v>
      </c>
      <c r="J172" s="49">
        <f>VLOOKUP($A172,'Data shares'!$C:$FB,58)</f>
        <v>2439000</v>
      </c>
      <c r="K172" s="49">
        <f>VLOOKUP($A172,'Data shares'!$C:$FB,59)</f>
        <v>2838250</v>
      </c>
      <c r="L172" s="50">
        <f>VLOOKUP($A172,'Data shares'!$C:$FB,61)*100</f>
        <v>-14.069999999999999</v>
      </c>
      <c r="M172" s="49">
        <f>VLOOKUP($A172,'Data shares'!$C:$FB,62)</f>
        <v>1578000</v>
      </c>
      <c r="N172" s="49">
        <f>VLOOKUP($A172,'Data shares'!$C:$FB,63)</f>
        <v>2110375</v>
      </c>
      <c r="O172" s="140">
        <f>VLOOKUP($A172,'Data shares'!$C:$FB,65)*100</f>
        <v>-25.230000000000004</v>
      </c>
    </row>
    <row r="173" spans="1:15" x14ac:dyDescent="0.25">
      <c r="A173" s="101" t="str">
        <f>'Data shares'!C168</f>
        <v>POWERGRID</v>
      </c>
      <c r="B173" s="50">
        <f>VLOOKUP($A173,'Data shares'!$C:$FB,7)</f>
        <v>291.05</v>
      </c>
      <c r="C173" s="50">
        <f>VLOOKUP($A173,'Data shares'!$C:$FB,10)*100</f>
        <v>0.88</v>
      </c>
      <c r="D173" s="49">
        <f>VLOOKUP($A173,'Data shares'!$C:$FB,66)</f>
        <v>96261600</v>
      </c>
      <c r="E173" s="49">
        <f>VLOOKUP($A173,'Data shares'!$C:$FB,67)</f>
        <v>86385400</v>
      </c>
      <c r="F173" s="50">
        <f>VLOOKUP($A173,'Data shares'!$C:$FB,69)*100</f>
        <v>11.43</v>
      </c>
      <c r="G173" s="49">
        <f>VLOOKUP($A173,'Data shares'!$C:$FB,42)</f>
        <v>54110100</v>
      </c>
      <c r="H173" s="49">
        <f>VLOOKUP($A173,'Data shares'!$C:$FB,43)</f>
        <v>44467600</v>
      </c>
      <c r="I173" s="50">
        <f>VLOOKUP($A173,'Data shares'!$C:$FB,45)*100</f>
        <v>21.68</v>
      </c>
      <c r="J173" s="49">
        <f>VLOOKUP($A173,'Data shares'!$C:$FB,58)</f>
        <v>27964200</v>
      </c>
      <c r="K173" s="49">
        <f>VLOOKUP($A173,'Data shares'!$C:$FB,59)</f>
        <v>27918600</v>
      </c>
      <c r="L173" s="50">
        <f>VLOOKUP($A173,'Data shares'!$C:$FB,61)*100</f>
        <v>0.16</v>
      </c>
      <c r="M173" s="49">
        <f>VLOOKUP($A173,'Data shares'!$C:$FB,62)</f>
        <v>14187300</v>
      </c>
      <c r="N173" s="49">
        <f>VLOOKUP($A173,'Data shares'!$C:$FB,63)</f>
        <v>13999200</v>
      </c>
      <c r="O173" s="140">
        <f>VLOOKUP($A173,'Data shares'!$C:$FB,65)*100</f>
        <v>1.34</v>
      </c>
    </row>
    <row r="174" spans="1:15" x14ac:dyDescent="0.25">
      <c r="A174" s="101" t="str">
        <f>'Data shares'!C169</f>
        <v>POWERINDIA</v>
      </c>
      <c r="B174" s="50">
        <f>VLOOKUP($A174,'Data shares'!$C:$FB,7)</f>
        <v>16655</v>
      </c>
      <c r="C174" s="50">
        <f>VLOOKUP($A174,'Data shares'!$C:$FB,10)*100</f>
        <v>-0.67</v>
      </c>
      <c r="D174" s="49">
        <f>VLOOKUP($A174,'Data shares'!$C:$FB,66)</f>
        <v>505450</v>
      </c>
      <c r="E174" s="49">
        <f>VLOOKUP($A174,'Data shares'!$C:$FB,67)</f>
        <v>283700</v>
      </c>
      <c r="F174" s="50">
        <f>VLOOKUP($A174,'Data shares'!$C:$FB,69)*100</f>
        <v>78.16</v>
      </c>
      <c r="G174" s="49">
        <f>VLOOKUP($A174,'Data shares'!$C:$FB,42)</f>
        <v>145400</v>
      </c>
      <c r="H174" s="49">
        <f>VLOOKUP($A174,'Data shares'!$C:$FB,43)</f>
        <v>140800</v>
      </c>
      <c r="I174" s="50">
        <f>VLOOKUP($A174,'Data shares'!$C:$FB,45)*100</f>
        <v>3.27</v>
      </c>
      <c r="J174" s="49">
        <f>VLOOKUP($A174,'Data shares'!$C:$FB,58)</f>
        <v>177750</v>
      </c>
      <c r="K174" s="49">
        <f>VLOOKUP($A174,'Data shares'!$C:$FB,59)</f>
        <v>120900</v>
      </c>
      <c r="L174" s="50">
        <f>VLOOKUP($A174,'Data shares'!$C:$FB,61)*100</f>
        <v>47.02</v>
      </c>
      <c r="M174" s="49">
        <f>VLOOKUP($A174,'Data shares'!$C:$FB,62)</f>
        <v>182300</v>
      </c>
      <c r="N174" s="49">
        <f>VLOOKUP($A174,'Data shares'!$C:$FB,63)</f>
        <v>22000</v>
      </c>
      <c r="O174" s="140">
        <f>VLOOKUP($A174,'Data shares'!$C:$FB,65)*100</f>
        <v>728.6400000000001</v>
      </c>
    </row>
    <row r="175" spans="1:15" x14ac:dyDescent="0.25">
      <c r="A175" s="101" t="str">
        <f>'Data shares'!C170</f>
        <v>PPLPHARMA</v>
      </c>
      <c r="B175" s="50">
        <f>VLOOKUP($A175,'Data shares'!$C:$FB,7)</f>
        <v>203.14</v>
      </c>
      <c r="C175" s="50">
        <f>VLOOKUP($A175,'Data shares'!$C:$FB,10)*100</f>
        <v>0.38</v>
      </c>
      <c r="D175" s="49">
        <f>VLOOKUP($A175,'Data shares'!$C:$FB,66)</f>
        <v>36505000</v>
      </c>
      <c r="E175" s="49">
        <f>VLOOKUP($A175,'Data shares'!$C:$FB,67)</f>
        <v>55900000</v>
      </c>
      <c r="F175" s="50">
        <f>VLOOKUP($A175,'Data shares'!$C:$FB,69)*100</f>
        <v>-34.699999999999996</v>
      </c>
      <c r="G175" s="49">
        <f>VLOOKUP($A175,'Data shares'!$C:$FB,42)</f>
        <v>18332500</v>
      </c>
      <c r="H175" s="49">
        <f>VLOOKUP($A175,'Data shares'!$C:$FB,43)</f>
        <v>22115000</v>
      </c>
      <c r="I175" s="50">
        <f>VLOOKUP($A175,'Data shares'!$C:$FB,45)*100</f>
        <v>-17.100000000000001</v>
      </c>
      <c r="J175" s="49">
        <f>VLOOKUP($A175,'Data shares'!$C:$FB,58)</f>
        <v>11637500</v>
      </c>
      <c r="K175" s="49">
        <f>VLOOKUP($A175,'Data shares'!$C:$FB,59)</f>
        <v>22962500</v>
      </c>
      <c r="L175" s="50">
        <f>VLOOKUP($A175,'Data shares'!$C:$FB,61)*100</f>
        <v>-49.32</v>
      </c>
      <c r="M175" s="49">
        <f>VLOOKUP($A175,'Data shares'!$C:$FB,62)</f>
        <v>6535000</v>
      </c>
      <c r="N175" s="49">
        <f>VLOOKUP($A175,'Data shares'!$C:$FB,63)</f>
        <v>10822500</v>
      </c>
      <c r="O175" s="140">
        <f>VLOOKUP($A175,'Data shares'!$C:$FB,65)*100</f>
        <v>-39.619999999999997</v>
      </c>
    </row>
    <row r="176" spans="1:15" x14ac:dyDescent="0.25">
      <c r="A176" s="101" t="str">
        <f>'Data shares'!C171</f>
        <v>PRESTIGE</v>
      </c>
      <c r="B176" s="50">
        <f>VLOOKUP($A176,'Data shares'!$C:$FB,7)</f>
        <v>1784.8</v>
      </c>
      <c r="C176" s="50">
        <f>VLOOKUP($A176,'Data shares'!$C:$FB,10)*100</f>
        <v>1.7500000000000002</v>
      </c>
      <c r="D176" s="49">
        <f>VLOOKUP($A176,'Data shares'!$C:$FB,66)</f>
        <v>11803050</v>
      </c>
      <c r="E176" s="49">
        <f>VLOOKUP($A176,'Data shares'!$C:$FB,67)</f>
        <v>9191700</v>
      </c>
      <c r="F176" s="50">
        <f>VLOOKUP($A176,'Data shares'!$C:$FB,69)*100</f>
        <v>28.410000000000004</v>
      </c>
      <c r="G176" s="49">
        <f>VLOOKUP($A176,'Data shares'!$C:$FB,42)</f>
        <v>3842100</v>
      </c>
      <c r="H176" s="49">
        <f>VLOOKUP($A176,'Data shares'!$C:$FB,43)</f>
        <v>3402450</v>
      </c>
      <c r="I176" s="50">
        <f>VLOOKUP($A176,'Data shares'!$C:$FB,45)*100</f>
        <v>12.920000000000002</v>
      </c>
      <c r="J176" s="49">
        <f>VLOOKUP($A176,'Data shares'!$C:$FB,58)</f>
        <v>6241050</v>
      </c>
      <c r="K176" s="49">
        <f>VLOOKUP($A176,'Data shares'!$C:$FB,59)</f>
        <v>4229100</v>
      </c>
      <c r="L176" s="50">
        <f>VLOOKUP($A176,'Data shares'!$C:$FB,61)*100</f>
        <v>47.57</v>
      </c>
      <c r="M176" s="49">
        <f>VLOOKUP($A176,'Data shares'!$C:$FB,62)</f>
        <v>1719900</v>
      </c>
      <c r="N176" s="49">
        <f>VLOOKUP($A176,'Data shares'!$C:$FB,63)</f>
        <v>1560150</v>
      </c>
      <c r="O176" s="140">
        <f>VLOOKUP($A176,'Data shares'!$C:$FB,65)*100</f>
        <v>10.24</v>
      </c>
    </row>
    <row r="177" spans="1:15" x14ac:dyDescent="0.25">
      <c r="A177" s="101" t="str">
        <f>'Data shares'!C172</f>
        <v>RBLBANK</v>
      </c>
      <c r="B177" s="50">
        <f>VLOOKUP($A177,'Data shares'!$C:$FB,7)</f>
        <v>322.05</v>
      </c>
      <c r="C177" s="50">
        <f>VLOOKUP($A177,'Data shares'!$C:$FB,10)*100</f>
        <v>1.9300000000000002</v>
      </c>
      <c r="D177" s="49">
        <f>VLOOKUP($A177,'Data shares'!$C:$FB,66)</f>
        <v>121269125</v>
      </c>
      <c r="E177" s="49">
        <f>VLOOKUP($A177,'Data shares'!$C:$FB,67)</f>
        <v>77371575</v>
      </c>
      <c r="F177" s="50">
        <f>VLOOKUP($A177,'Data shares'!$C:$FB,69)*100</f>
        <v>56.74</v>
      </c>
      <c r="G177" s="49">
        <f>VLOOKUP($A177,'Data shares'!$C:$FB,42)</f>
        <v>42332275</v>
      </c>
      <c r="H177" s="49">
        <f>VLOOKUP($A177,'Data shares'!$C:$FB,43)</f>
        <v>40001825</v>
      </c>
      <c r="I177" s="50">
        <f>VLOOKUP($A177,'Data shares'!$C:$FB,45)*100</f>
        <v>5.83</v>
      </c>
      <c r="J177" s="49">
        <f>VLOOKUP($A177,'Data shares'!$C:$FB,58)</f>
        <v>58473975</v>
      </c>
      <c r="K177" s="49">
        <f>VLOOKUP($A177,'Data shares'!$C:$FB,59)</f>
        <v>23618825</v>
      </c>
      <c r="L177" s="50">
        <f>VLOOKUP($A177,'Data shares'!$C:$FB,61)*100</f>
        <v>147.57</v>
      </c>
      <c r="M177" s="49">
        <f>VLOOKUP($A177,'Data shares'!$C:$FB,62)</f>
        <v>20462875</v>
      </c>
      <c r="N177" s="49">
        <f>VLOOKUP($A177,'Data shares'!$C:$FB,63)</f>
        <v>13750925</v>
      </c>
      <c r="O177" s="140">
        <f>VLOOKUP($A177,'Data shares'!$C:$FB,65)*100</f>
        <v>48.809999999999995</v>
      </c>
    </row>
    <row r="178" spans="1:15" x14ac:dyDescent="0.25">
      <c r="A178" s="101" t="str">
        <f>'Data shares'!C173</f>
        <v>RECLTD</v>
      </c>
      <c r="B178" s="50">
        <f>VLOOKUP($A178,'Data shares'!$C:$FB,7)</f>
        <v>373.7</v>
      </c>
      <c r="C178" s="50">
        <f>VLOOKUP($A178,'Data shares'!$C:$FB,10)*100</f>
        <v>0.3</v>
      </c>
      <c r="D178" s="49">
        <f>VLOOKUP($A178,'Data shares'!$C:$FB,66)</f>
        <v>124650375</v>
      </c>
      <c r="E178" s="49">
        <f>VLOOKUP($A178,'Data shares'!$C:$FB,67)</f>
        <v>98122725</v>
      </c>
      <c r="F178" s="50">
        <f>VLOOKUP($A178,'Data shares'!$C:$FB,69)*100</f>
        <v>27.04</v>
      </c>
      <c r="G178" s="49">
        <f>VLOOKUP($A178,'Data shares'!$C:$FB,42)</f>
        <v>56289975</v>
      </c>
      <c r="H178" s="49">
        <f>VLOOKUP($A178,'Data shares'!$C:$FB,43)</f>
        <v>40741350</v>
      </c>
      <c r="I178" s="50">
        <f>VLOOKUP($A178,'Data shares'!$C:$FB,45)*100</f>
        <v>38.159999999999997</v>
      </c>
      <c r="J178" s="49">
        <f>VLOOKUP($A178,'Data shares'!$C:$FB,58)</f>
        <v>39198600</v>
      </c>
      <c r="K178" s="49">
        <f>VLOOKUP($A178,'Data shares'!$C:$FB,59)</f>
        <v>36109275</v>
      </c>
      <c r="L178" s="50">
        <f>VLOOKUP($A178,'Data shares'!$C:$FB,61)*100</f>
        <v>8.5599999999999987</v>
      </c>
      <c r="M178" s="49">
        <f>VLOOKUP($A178,'Data shares'!$C:$FB,62)</f>
        <v>29161800</v>
      </c>
      <c r="N178" s="49">
        <f>VLOOKUP($A178,'Data shares'!$C:$FB,63)</f>
        <v>21272100</v>
      </c>
      <c r="O178" s="140">
        <f>VLOOKUP($A178,'Data shares'!$C:$FB,65)*100</f>
        <v>37.090000000000003</v>
      </c>
    </row>
    <row r="179" spans="1:15" x14ac:dyDescent="0.25">
      <c r="A179" s="101" t="str">
        <f>'Data shares'!C174</f>
        <v>RELIANCE</v>
      </c>
      <c r="B179" s="50">
        <f>VLOOKUP($A179,'Data shares'!$C:$FB,7)</f>
        <v>1484.1</v>
      </c>
      <c r="C179" s="50">
        <f>VLOOKUP($A179,'Data shares'!$C:$FB,10)*100</f>
        <v>2.2399999999999998</v>
      </c>
      <c r="D179" s="49">
        <f>VLOOKUP($A179,'Data shares'!$C:$FB,66)</f>
        <v>328920500</v>
      </c>
      <c r="E179" s="49">
        <f>VLOOKUP($A179,'Data shares'!$C:$FB,67)</f>
        <v>262568000</v>
      </c>
      <c r="F179" s="50">
        <f>VLOOKUP($A179,'Data shares'!$C:$FB,69)*100</f>
        <v>25.27</v>
      </c>
      <c r="G179" s="49">
        <f>VLOOKUP($A179,'Data shares'!$C:$FB,42)</f>
        <v>74255000</v>
      </c>
      <c r="H179" s="49">
        <f>VLOOKUP($A179,'Data shares'!$C:$FB,43)</f>
        <v>65463000</v>
      </c>
      <c r="I179" s="50">
        <f>VLOOKUP($A179,'Data shares'!$C:$FB,45)*100</f>
        <v>13.43</v>
      </c>
      <c r="J179" s="49">
        <f>VLOOKUP($A179,'Data shares'!$C:$FB,58)</f>
        <v>162972000</v>
      </c>
      <c r="K179" s="49">
        <f>VLOOKUP($A179,'Data shares'!$C:$FB,59)</f>
        <v>117767500</v>
      </c>
      <c r="L179" s="50">
        <f>VLOOKUP($A179,'Data shares'!$C:$FB,61)*100</f>
        <v>38.379999999999995</v>
      </c>
      <c r="M179" s="49">
        <f>VLOOKUP($A179,'Data shares'!$C:$FB,62)</f>
        <v>91693500</v>
      </c>
      <c r="N179" s="49">
        <f>VLOOKUP($A179,'Data shares'!$C:$FB,63)</f>
        <v>79337500</v>
      </c>
      <c r="O179" s="140">
        <f>VLOOKUP($A179,'Data shares'!$C:$FB,65)*100</f>
        <v>15.57</v>
      </c>
    </row>
    <row r="180" spans="1:15" x14ac:dyDescent="0.25">
      <c r="A180" s="101" t="str">
        <f>'Data shares'!C175</f>
        <v>RVNL</v>
      </c>
      <c r="B180" s="50">
        <f>VLOOKUP($A180,'Data shares'!$C:$FB,7)</f>
        <v>330</v>
      </c>
      <c r="C180" s="50">
        <f>VLOOKUP($A180,'Data shares'!$C:$FB,10)*100</f>
        <v>0.16999999999999998</v>
      </c>
      <c r="D180" s="49">
        <f>VLOOKUP($A180,'Data shares'!$C:$FB,66)</f>
        <v>44540375</v>
      </c>
      <c r="E180" s="49">
        <f>VLOOKUP($A180,'Data shares'!$C:$FB,67)</f>
        <v>46398000</v>
      </c>
      <c r="F180" s="50">
        <f>VLOOKUP($A180,'Data shares'!$C:$FB,69)*100</f>
        <v>-4</v>
      </c>
      <c r="G180" s="49">
        <f>VLOOKUP($A180,'Data shares'!$C:$FB,42)</f>
        <v>24301750</v>
      </c>
      <c r="H180" s="49">
        <f>VLOOKUP($A180,'Data shares'!$C:$FB,43)</f>
        <v>27948250</v>
      </c>
      <c r="I180" s="50">
        <f>VLOOKUP($A180,'Data shares'!$C:$FB,45)*100</f>
        <v>-13.05</v>
      </c>
      <c r="J180" s="49">
        <f>VLOOKUP($A180,'Data shares'!$C:$FB,58)</f>
        <v>15775375</v>
      </c>
      <c r="K180" s="49">
        <f>VLOOKUP($A180,'Data shares'!$C:$FB,59)</f>
        <v>14181750</v>
      </c>
      <c r="L180" s="50">
        <f>VLOOKUP($A180,'Data shares'!$C:$FB,61)*100</f>
        <v>11.24</v>
      </c>
      <c r="M180" s="49">
        <f>VLOOKUP($A180,'Data shares'!$C:$FB,62)</f>
        <v>4463250</v>
      </c>
      <c r="N180" s="49">
        <f>VLOOKUP($A180,'Data shares'!$C:$FB,63)</f>
        <v>4268000</v>
      </c>
      <c r="O180" s="140">
        <f>VLOOKUP($A180,'Data shares'!$C:$FB,65)*100</f>
        <v>4.5699999999999994</v>
      </c>
    </row>
    <row r="181" spans="1:15" x14ac:dyDescent="0.25">
      <c r="A181" s="101" t="str">
        <f>'Data shares'!C176</f>
        <v>SAIL</v>
      </c>
      <c r="B181" s="50">
        <f>VLOOKUP($A181,'Data shares'!$C:$FB,7)</f>
        <v>129.9</v>
      </c>
      <c r="C181" s="50">
        <f>VLOOKUP($A181,'Data shares'!$C:$FB,10)*100</f>
        <v>0.33999999999999997</v>
      </c>
      <c r="D181" s="49">
        <f>VLOOKUP($A181,'Data shares'!$C:$FB,66)</f>
        <v>35052600</v>
      </c>
      <c r="E181" s="49">
        <f>VLOOKUP($A181,'Data shares'!$C:$FB,67)</f>
        <v>290774900</v>
      </c>
      <c r="F181" s="50">
        <f>VLOOKUP($A181,'Data shares'!$C:$FB,69)*100</f>
        <v>-87.949999999999989</v>
      </c>
      <c r="G181" s="49">
        <f>VLOOKUP($A181,'Data shares'!$C:$FB,42)</f>
        <v>22137000</v>
      </c>
      <c r="H181" s="49">
        <f>VLOOKUP($A181,'Data shares'!$C:$FB,43)</f>
        <v>188122200</v>
      </c>
      <c r="I181" s="50">
        <f>VLOOKUP($A181,'Data shares'!$C:$FB,45)*100</f>
        <v>-88.23</v>
      </c>
      <c r="J181" s="49">
        <f>VLOOKUP($A181,'Data shares'!$C:$FB,58)</f>
        <v>10203700</v>
      </c>
      <c r="K181" s="49">
        <f>VLOOKUP($A181,'Data shares'!$C:$FB,59)</f>
        <v>66937400</v>
      </c>
      <c r="L181" s="50">
        <f>VLOOKUP($A181,'Data shares'!$C:$FB,61)*100</f>
        <v>-84.76</v>
      </c>
      <c r="M181" s="49">
        <f>VLOOKUP($A181,'Data shares'!$C:$FB,62)</f>
        <v>2711900</v>
      </c>
      <c r="N181" s="49">
        <f>VLOOKUP($A181,'Data shares'!$C:$FB,63)</f>
        <v>35715300</v>
      </c>
      <c r="O181" s="140">
        <f>VLOOKUP($A181,'Data shares'!$C:$FB,65)*100</f>
        <v>-92.41</v>
      </c>
    </row>
    <row r="182" spans="1:15" x14ac:dyDescent="0.25">
      <c r="A182" s="101" t="str">
        <f>'Data shares'!C177</f>
        <v>SAMMAANCAP</v>
      </c>
      <c r="B182" s="50">
        <f>VLOOKUP($A182,'Data shares'!$C:$FB,7)</f>
        <v>188.63</v>
      </c>
      <c r="C182" s="50">
        <f>VLOOKUP($A182,'Data shares'!$C:$FB,10)*100</f>
        <v>0.2</v>
      </c>
      <c r="D182" s="49">
        <f>VLOOKUP($A182,'Data shares'!$C:$FB,66)</f>
        <v>22605100</v>
      </c>
      <c r="E182" s="49">
        <f>VLOOKUP($A182,'Data shares'!$C:$FB,67)</f>
        <v>569195300</v>
      </c>
      <c r="F182" s="50">
        <f>VLOOKUP($A182,'Data shares'!$C:$FB,69)*100</f>
        <v>-96.03</v>
      </c>
      <c r="G182" s="49">
        <f>VLOOKUP($A182,'Data shares'!$C:$FB,42)</f>
        <v>10272700</v>
      </c>
      <c r="H182" s="49">
        <f>VLOOKUP($A182,'Data shares'!$C:$FB,43)</f>
        <v>234006000</v>
      </c>
      <c r="I182" s="50">
        <f>VLOOKUP($A182,'Data shares'!$C:$FB,45)*100</f>
        <v>-95.61</v>
      </c>
      <c r="J182" s="49">
        <f>VLOOKUP($A182,'Data shares'!$C:$FB,58)</f>
        <v>7138000</v>
      </c>
      <c r="K182" s="49">
        <f>VLOOKUP($A182,'Data shares'!$C:$FB,59)</f>
        <v>239264900</v>
      </c>
      <c r="L182" s="50">
        <f>VLOOKUP($A182,'Data shares'!$C:$FB,61)*100</f>
        <v>-97.02</v>
      </c>
      <c r="M182" s="49">
        <f>VLOOKUP($A182,'Data shares'!$C:$FB,62)</f>
        <v>5194400</v>
      </c>
      <c r="N182" s="49">
        <f>VLOOKUP($A182,'Data shares'!$C:$FB,63)</f>
        <v>95924400</v>
      </c>
      <c r="O182" s="140">
        <f>VLOOKUP($A182,'Data shares'!$C:$FB,65)*100</f>
        <v>-94.58</v>
      </c>
    </row>
    <row r="183" spans="1:15" x14ac:dyDescent="0.25">
      <c r="A183" s="101" t="str">
        <f>'Data shares'!C178</f>
        <v>SBICARD</v>
      </c>
      <c r="B183" s="50">
        <f>VLOOKUP($A183,'Data shares'!$C:$FB,7)</f>
        <v>900.8</v>
      </c>
      <c r="C183" s="50">
        <f>VLOOKUP($A183,'Data shares'!$C:$FB,10)*100</f>
        <v>-3.0300000000000002</v>
      </c>
      <c r="D183" s="49">
        <f>VLOOKUP($A183,'Data shares'!$C:$FB,66)</f>
        <v>99734400</v>
      </c>
      <c r="E183" s="49">
        <f>VLOOKUP($A183,'Data shares'!$C:$FB,67)</f>
        <v>97160000</v>
      </c>
      <c r="F183" s="50">
        <f>VLOOKUP($A183,'Data shares'!$C:$FB,69)*100</f>
        <v>2.65</v>
      </c>
      <c r="G183" s="49">
        <f>VLOOKUP($A183,'Data shares'!$C:$FB,42)</f>
        <v>26104800</v>
      </c>
      <c r="H183" s="49">
        <f>VLOOKUP($A183,'Data shares'!$C:$FB,43)</f>
        <v>27888800</v>
      </c>
      <c r="I183" s="50">
        <f>VLOOKUP($A183,'Data shares'!$C:$FB,45)*100</f>
        <v>-6.4</v>
      </c>
      <c r="J183" s="49">
        <f>VLOOKUP($A183,'Data shares'!$C:$FB,58)</f>
        <v>47384000</v>
      </c>
      <c r="K183" s="49">
        <f>VLOOKUP($A183,'Data shares'!$C:$FB,59)</f>
        <v>43593600</v>
      </c>
      <c r="L183" s="50">
        <f>VLOOKUP($A183,'Data shares'!$C:$FB,61)*100</f>
        <v>8.6900000000000013</v>
      </c>
      <c r="M183" s="49">
        <f>VLOOKUP($A183,'Data shares'!$C:$FB,62)</f>
        <v>26245600</v>
      </c>
      <c r="N183" s="49">
        <f>VLOOKUP($A183,'Data shares'!$C:$FB,63)</f>
        <v>25677600</v>
      </c>
      <c r="O183" s="140">
        <f>VLOOKUP($A183,'Data shares'!$C:$FB,65)*100</f>
        <v>2.21</v>
      </c>
    </row>
    <row r="184" spans="1:15" x14ac:dyDescent="0.25">
      <c r="A184" s="101" t="str">
        <f>'Data shares'!C179</f>
        <v>SBILIFE</v>
      </c>
      <c r="B184" s="50">
        <f>VLOOKUP($A184,'Data shares'!$C:$FB,7)</f>
        <v>1903.1</v>
      </c>
      <c r="C184" s="50">
        <f>VLOOKUP($A184,'Data shares'!$C:$FB,10)*100</f>
        <v>3.44</v>
      </c>
      <c r="D184" s="49">
        <f>VLOOKUP($A184,'Data shares'!$C:$FB,66)</f>
        <v>72963375</v>
      </c>
      <c r="E184" s="49">
        <f>VLOOKUP($A184,'Data shares'!$C:$FB,67)</f>
        <v>24755625</v>
      </c>
      <c r="F184" s="50">
        <f>VLOOKUP($A184,'Data shares'!$C:$FB,69)*100</f>
        <v>194.73</v>
      </c>
      <c r="G184" s="49">
        <f>VLOOKUP($A184,'Data shares'!$C:$FB,42)</f>
        <v>9081000</v>
      </c>
      <c r="H184" s="49">
        <f>VLOOKUP($A184,'Data shares'!$C:$FB,43)</f>
        <v>6957000</v>
      </c>
      <c r="I184" s="50">
        <f>VLOOKUP($A184,'Data shares'!$C:$FB,45)*100</f>
        <v>30.53</v>
      </c>
      <c r="J184" s="49">
        <f>VLOOKUP($A184,'Data shares'!$C:$FB,58)</f>
        <v>43192125</v>
      </c>
      <c r="K184" s="49">
        <f>VLOOKUP($A184,'Data shares'!$C:$FB,59)</f>
        <v>10271250</v>
      </c>
      <c r="L184" s="50">
        <f>VLOOKUP($A184,'Data shares'!$C:$FB,61)*100</f>
        <v>320.51</v>
      </c>
      <c r="M184" s="49">
        <f>VLOOKUP($A184,'Data shares'!$C:$FB,62)</f>
        <v>20690250</v>
      </c>
      <c r="N184" s="49">
        <f>VLOOKUP($A184,'Data shares'!$C:$FB,63)</f>
        <v>7527375</v>
      </c>
      <c r="O184" s="140">
        <f>VLOOKUP($A184,'Data shares'!$C:$FB,65)*100</f>
        <v>174.87</v>
      </c>
    </row>
    <row r="185" spans="1:15" x14ac:dyDescent="0.25">
      <c r="A185" s="101" t="str">
        <f>'Data shares'!C180</f>
        <v>SBIN</v>
      </c>
      <c r="B185" s="50">
        <f>VLOOKUP($A185,'Data shares'!$C:$FB,7)</f>
        <v>922.75</v>
      </c>
      <c r="C185" s="50">
        <f>VLOOKUP($A185,'Data shares'!$C:$FB,10)*100</f>
        <v>2.02</v>
      </c>
      <c r="D185" s="49">
        <f>VLOOKUP($A185,'Data shares'!$C:$FB,66)</f>
        <v>270525750</v>
      </c>
      <c r="E185" s="49">
        <f>VLOOKUP($A185,'Data shares'!$C:$FB,67)</f>
        <v>210891000</v>
      </c>
      <c r="F185" s="50">
        <f>VLOOKUP($A185,'Data shares'!$C:$FB,69)*100</f>
        <v>28.28</v>
      </c>
      <c r="G185" s="49">
        <f>VLOOKUP($A185,'Data shares'!$C:$FB,42)</f>
        <v>58330500</v>
      </c>
      <c r="H185" s="49">
        <f>VLOOKUP($A185,'Data shares'!$C:$FB,43)</f>
        <v>63541500</v>
      </c>
      <c r="I185" s="50">
        <f>VLOOKUP($A185,'Data shares'!$C:$FB,45)*100</f>
        <v>-8.2000000000000011</v>
      </c>
      <c r="J185" s="49">
        <f>VLOOKUP($A185,'Data shares'!$C:$FB,58)</f>
        <v>143250750</v>
      </c>
      <c r="K185" s="49">
        <f>VLOOKUP($A185,'Data shares'!$C:$FB,59)</f>
        <v>85410750</v>
      </c>
      <c r="L185" s="50">
        <f>VLOOKUP($A185,'Data shares'!$C:$FB,61)*100</f>
        <v>67.72</v>
      </c>
      <c r="M185" s="49">
        <f>VLOOKUP($A185,'Data shares'!$C:$FB,62)</f>
        <v>68944500</v>
      </c>
      <c r="N185" s="49">
        <f>VLOOKUP($A185,'Data shares'!$C:$FB,63)</f>
        <v>61938750</v>
      </c>
      <c r="O185" s="140">
        <f>VLOOKUP($A185,'Data shares'!$C:$FB,65)*100</f>
        <v>11.31</v>
      </c>
    </row>
    <row r="186" spans="1:15" x14ac:dyDescent="0.25">
      <c r="A186" s="101" t="str">
        <f>'Data shares'!C181</f>
        <v>SHREECEM</v>
      </c>
      <c r="B186" s="50">
        <f>VLOOKUP($A186,'Data shares'!$C:$FB,7)</f>
        <v>28590</v>
      </c>
      <c r="C186" s="50">
        <f>VLOOKUP($A186,'Data shares'!$C:$FB,10)*100</f>
        <v>-0.4</v>
      </c>
      <c r="D186" s="49">
        <f>VLOOKUP($A186,'Data shares'!$C:$FB,66)</f>
        <v>509700</v>
      </c>
      <c r="E186" s="49">
        <f>VLOOKUP($A186,'Data shares'!$C:$FB,67)</f>
        <v>333700</v>
      </c>
      <c r="F186" s="50">
        <f>VLOOKUP($A186,'Data shares'!$C:$FB,69)*100</f>
        <v>52.739999999999995</v>
      </c>
      <c r="G186" s="49">
        <f>VLOOKUP($A186,'Data shares'!$C:$FB,42)</f>
        <v>208625</v>
      </c>
      <c r="H186" s="49">
        <f>VLOOKUP($A186,'Data shares'!$C:$FB,43)</f>
        <v>208600</v>
      </c>
      <c r="I186" s="50">
        <f>VLOOKUP($A186,'Data shares'!$C:$FB,45)*100</f>
        <v>0.01</v>
      </c>
      <c r="J186" s="49">
        <f>VLOOKUP($A186,'Data shares'!$C:$FB,58)</f>
        <v>236325</v>
      </c>
      <c r="K186" s="49">
        <f>VLOOKUP($A186,'Data shares'!$C:$FB,59)</f>
        <v>107075</v>
      </c>
      <c r="L186" s="50">
        <f>VLOOKUP($A186,'Data shares'!$C:$FB,61)*100</f>
        <v>120.71000000000001</v>
      </c>
      <c r="M186" s="49">
        <f>VLOOKUP($A186,'Data shares'!$C:$FB,62)</f>
        <v>64750</v>
      </c>
      <c r="N186" s="49">
        <f>VLOOKUP($A186,'Data shares'!$C:$FB,63)</f>
        <v>18025</v>
      </c>
      <c r="O186" s="140">
        <f>VLOOKUP($A186,'Data shares'!$C:$FB,65)*100</f>
        <v>259.22000000000003</v>
      </c>
    </row>
    <row r="187" spans="1:15" x14ac:dyDescent="0.25">
      <c r="A187" s="101" t="str">
        <f>'Data shares'!C182</f>
        <v>SHRIRAMFIN</v>
      </c>
      <c r="B187" s="50">
        <f>VLOOKUP($A187,'Data shares'!$C:$FB,7)</f>
        <v>719.6</v>
      </c>
      <c r="C187" s="50">
        <f>VLOOKUP($A187,'Data shares'!$C:$FB,10)*100</f>
        <v>0.57999999999999996</v>
      </c>
      <c r="D187" s="49">
        <f>VLOOKUP($A187,'Data shares'!$C:$FB,66)</f>
        <v>70872450</v>
      </c>
      <c r="E187" s="49">
        <f>VLOOKUP($A187,'Data shares'!$C:$FB,67)</f>
        <v>85251375</v>
      </c>
      <c r="F187" s="50">
        <f>VLOOKUP($A187,'Data shares'!$C:$FB,69)*100</f>
        <v>-16.869999999999997</v>
      </c>
      <c r="G187" s="49">
        <f>VLOOKUP($A187,'Data shares'!$C:$FB,42)</f>
        <v>33131175</v>
      </c>
      <c r="H187" s="49">
        <f>VLOOKUP($A187,'Data shares'!$C:$FB,43)</f>
        <v>32623800</v>
      </c>
      <c r="I187" s="50">
        <f>VLOOKUP($A187,'Data shares'!$C:$FB,45)*100</f>
        <v>1.5599999999999998</v>
      </c>
      <c r="J187" s="49">
        <f>VLOOKUP($A187,'Data shares'!$C:$FB,58)</f>
        <v>23448150</v>
      </c>
      <c r="K187" s="49">
        <f>VLOOKUP($A187,'Data shares'!$C:$FB,59)</f>
        <v>36373425</v>
      </c>
      <c r="L187" s="50">
        <f>VLOOKUP($A187,'Data shares'!$C:$FB,61)*100</f>
        <v>-35.53</v>
      </c>
      <c r="M187" s="49">
        <f>VLOOKUP($A187,'Data shares'!$C:$FB,62)</f>
        <v>14293125</v>
      </c>
      <c r="N187" s="49">
        <f>VLOOKUP($A187,'Data shares'!$C:$FB,63)</f>
        <v>16254150</v>
      </c>
      <c r="O187" s="140">
        <f>VLOOKUP($A187,'Data shares'!$C:$FB,65)*100</f>
        <v>-12.06</v>
      </c>
    </row>
    <row r="188" spans="1:15" x14ac:dyDescent="0.25">
      <c r="A188" s="101" t="str">
        <f>'Data shares'!C183</f>
        <v>SIEMENS</v>
      </c>
      <c r="B188" s="50">
        <f>VLOOKUP($A188,'Data shares'!$C:$FB,7)</f>
        <v>3159.9</v>
      </c>
      <c r="C188" s="50">
        <f>VLOOKUP($A188,'Data shares'!$C:$FB,10)*100</f>
        <v>0.24</v>
      </c>
      <c r="D188" s="49">
        <f>VLOOKUP($A188,'Data shares'!$C:$FB,66)</f>
        <v>3923125</v>
      </c>
      <c r="E188" s="49">
        <f>VLOOKUP($A188,'Data shares'!$C:$FB,67)</f>
        <v>5259500</v>
      </c>
      <c r="F188" s="50">
        <f>VLOOKUP($A188,'Data shares'!$C:$FB,69)*100</f>
        <v>-25.41</v>
      </c>
      <c r="G188" s="49">
        <f>VLOOKUP($A188,'Data shares'!$C:$FB,42)</f>
        <v>1733000</v>
      </c>
      <c r="H188" s="49">
        <f>VLOOKUP($A188,'Data shares'!$C:$FB,43)</f>
        <v>2557750</v>
      </c>
      <c r="I188" s="50">
        <f>VLOOKUP($A188,'Data shares'!$C:$FB,45)*100</f>
        <v>-32.25</v>
      </c>
      <c r="J188" s="49">
        <f>VLOOKUP($A188,'Data shares'!$C:$FB,58)</f>
        <v>1611375</v>
      </c>
      <c r="K188" s="49">
        <f>VLOOKUP($A188,'Data shares'!$C:$FB,59)</f>
        <v>1944000</v>
      </c>
      <c r="L188" s="50">
        <f>VLOOKUP($A188,'Data shares'!$C:$FB,61)*100</f>
        <v>-17.11</v>
      </c>
      <c r="M188" s="49">
        <f>VLOOKUP($A188,'Data shares'!$C:$FB,62)</f>
        <v>578750</v>
      </c>
      <c r="N188" s="49">
        <f>VLOOKUP($A188,'Data shares'!$C:$FB,63)</f>
        <v>757750</v>
      </c>
      <c r="O188" s="140">
        <f>VLOOKUP($A188,'Data shares'!$C:$FB,65)*100</f>
        <v>-23.62</v>
      </c>
    </row>
    <row r="189" spans="1:15" x14ac:dyDescent="0.25">
      <c r="A189" s="101" t="str">
        <f>'Data shares'!C216</f>
        <v>ZYDUSLIFE</v>
      </c>
      <c r="B189" s="50">
        <f>VLOOKUP($A189,'Data shares'!$C:$FB,7)</f>
        <v>1013.85</v>
      </c>
      <c r="C189" s="50">
        <f>VLOOKUP($A189,'Data shares'!$C:$FB,10)*100</f>
        <v>0.89</v>
      </c>
      <c r="D189" s="49">
        <f>VLOOKUP($A189,'Data shares'!$C:$FB,66)</f>
        <v>9630900</v>
      </c>
      <c r="E189" s="49">
        <f>VLOOKUP($A189,'Data shares'!$C:$FB,67)</f>
        <v>12165300</v>
      </c>
      <c r="F189" s="50">
        <f>VLOOKUP($A189,'Data shares'!$C:$FB,69)*100</f>
        <v>-20.830000000000002</v>
      </c>
      <c r="G189" s="49">
        <f>VLOOKUP($A189,'Data shares'!$C:$FB,42)</f>
        <v>5535000</v>
      </c>
      <c r="H189" s="49">
        <f>VLOOKUP($A189,'Data shares'!$C:$FB,43)</f>
        <v>7264800</v>
      </c>
      <c r="I189" s="50">
        <f>VLOOKUP($A189,'Data shares'!$C:$FB,45)*100</f>
        <v>-23.810000000000002</v>
      </c>
      <c r="J189" s="49">
        <f>VLOOKUP($A189,'Data shares'!$C:$FB,58)</f>
        <v>2900700</v>
      </c>
      <c r="K189" s="49">
        <f>VLOOKUP($A189,'Data shares'!$C:$FB,59)</f>
        <v>3691800</v>
      </c>
      <c r="L189" s="50">
        <f>VLOOKUP($A189,'Data shares'!$C:$FB,61)*100</f>
        <v>-21.43</v>
      </c>
      <c r="M189" s="49">
        <f>VLOOKUP($A189,'Data shares'!$C:$FB,62)</f>
        <v>1195200</v>
      </c>
      <c r="N189" s="49">
        <f>VLOOKUP($A189,'Data shares'!$C:$FB,63)</f>
        <v>1208700</v>
      </c>
      <c r="O189" s="140">
        <f>VLOOKUP($A189,'Data shares'!$C:$FB,65)*100</f>
        <v>-1.1199999999999999</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31515178827</v>
      </c>
      <c r="E209" s="133">
        <f>SUM(E7:E172)</f>
        <v>25175142071</v>
      </c>
      <c r="F209" s="134">
        <f>(D209-E209)/E209</f>
        <v>0.25183717883774243</v>
      </c>
      <c r="G209" s="133">
        <f>SUM(G7:G172)</f>
        <v>9481723933</v>
      </c>
      <c r="H209" s="133">
        <f>SUM(H7:H172)</f>
        <v>7102854645</v>
      </c>
      <c r="I209" s="134">
        <f>(G209-H209)/H209</f>
        <v>0.33491735462650735</v>
      </c>
      <c r="J209" s="133">
        <f>SUM(J7:J172)</f>
        <v>13487330474</v>
      </c>
      <c r="K209" s="133">
        <f>SUM(K7:K172)</f>
        <v>10257121543</v>
      </c>
      <c r="L209" s="134">
        <f>(J209-K209)/K209</f>
        <v>0.31492353068629325</v>
      </c>
      <c r="M209" s="133">
        <f>SUM(M7:M172)</f>
        <v>8546124420</v>
      </c>
      <c r="N209" s="133">
        <f>SUM(N7:N172)</f>
        <v>7815165883</v>
      </c>
      <c r="O209" s="134">
        <f>(M209-N209)/N209</f>
        <v>9.3530776946145602E-2</v>
      </c>
    </row>
    <row r="210" spans="1:15" x14ac:dyDescent="0.25">
      <c r="A210" s="133" t="s">
        <v>398</v>
      </c>
      <c r="B210" s="133"/>
      <c r="C210" s="133"/>
      <c r="D210" s="133">
        <f>D209/10000000</f>
        <v>3151.5178827</v>
      </c>
      <c r="E210" s="133">
        <f>E209/10000000</f>
        <v>2517.5142071</v>
      </c>
      <c r="F210" s="134">
        <f>(D210-E210)/E210</f>
        <v>0.25183717883774237</v>
      </c>
      <c r="G210" s="133">
        <f>G209/10000000</f>
        <v>948.17239329999995</v>
      </c>
      <c r="H210" s="133">
        <f>H209/10000000</f>
        <v>710.28546449999999</v>
      </c>
      <c r="I210" s="134">
        <f>(G210-H210)/H210</f>
        <v>0.33491735462650729</v>
      </c>
      <c r="J210" s="133">
        <f>J209/10000000</f>
        <v>1348.7330474</v>
      </c>
      <c r="K210" s="133">
        <f>K209/10000000</f>
        <v>1025.7121543000001</v>
      </c>
      <c r="L210" s="134">
        <f>(J210-K210)/K210</f>
        <v>0.3149235306862932</v>
      </c>
      <c r="M210" s="133">
        <f>M209/10000000</f>
        <v>854.61244199999999</v>
      </c>
      <c r="N210" s="133">
        <f>N209/10000000</f>
        <v>781.51658829999997</v>
      </c>
      <c r="O210" s="134">
        <f>(M210-N210)/N210</f>
        <v>9.353077694614563E-2</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45957</v>
      </c>
      <c r="C6" s="76" t="s">
        <v>322</v>
      </c>
      <c r="D6" s="76" t="s">
        <v>328</v>
      </c>
      <c r="E6" s="3">
        <f>B6</f>
        <v>45957</v>
      </c>
      <c r="F6" s="76" t="s">
        <v>322</v>
      </c>
      <c r="G6" s="76" t="s">
        <v>328</v>
      </c>
      <c r="H6" s="3">
        <f>E6</f>
        <v>45957</v>
      </c>
      <c r="I6" s="76" t="s">
        <v>333</v>
      </c>
      <c r="J6" s="3">
        <f>E6</f>
        <v>45957</v>
      </c>
      <c r="K6" s="76" t="s">
        <v>333</v>
      </c>
      <c r="L6" s="3">
        <f>E6</f>
        <v>45957</v>
      </c>
      <c r="M6" s="76" t="s">
        <v>333</v>
      </c>
      <c r="N6" s="3">
        <f>E6</f>
        <v>45957</v>
      </c>
      <c r="O6" s="76" t="s">
        <v>333</v>
      </c>
    </row>
    <row r="7" spans="1:19" x14ac:dyDescent="0.25">
      <c r="A7" s="105" t="str">
        <f>'Data shares'!C2</f>
        <v>360ONE</v>
      </c>
      <c r="B7" s="143">
        <f>VLOOKUP($A7,'Data shares'!$C:$FA,118)</f>
        <v>0.68</v>
      </c>
      <c r="C7" s="143">
        <f>VLOOKUP($A7,'Data shares'!$C:$FA,119)</f>
        <v>0.65</v>
      </c>
      <c r="D7" s="143">
        <f>VLOOKUP($A7,'Data shares'!$C:$FA,121)*100</f>
        <v>4.62</v>
      </c>
      <c r="E7" s="143">
        <f>VLOOKUP($A7,'Data shares'!$C:$FA,124)</f>
        <v>0.87</v>
      </c>
      <c r="F7" s="143">
        <f>VLOOKUP($A7,'Data shares'!$C:$FA,125)</f>
        <v>0.44</v>
      </c>
      <c r="G7" s="143">
        <f>VLOOKUP($A7,'Data shares'!$C:$FA,127)*100</f>
        <v>97.72999999999999</v>
      </c>
      <c r="H7" s="103">
        <f>VLOOKUP($A7,'OI(Volume)'!$A$7:$O$427,8)</f>
        <v>1920500</v>
      </c>
      <c r="I7" s="103">
        <f>VLOOKUP($A7,'OI(Volume)'!$A$7:$O$427,9)</f>
        <v>-223000</v>
      </c>
      <c r="J7" s="103">
        <f>VLOOKUP($A7,'OI(Volume)'!$A$7:$O$427,11)</f>
        <v>1313000</v>
      </c>
      <c r="K7" s="103">
        <f>VLOOKUP($A7,'OI(Volume)'!$A$7:$O$427,12)</f>
        <v>-72500</v>
      </c>
      <c r="L7" s="103">
        <f>VLOOKUP($A7,'OI(Value)'!$A$7:$O$306,8,0)</f>
        <v>225</v>
      </c>
      <c r="M7" s="103">
        <f>VLOOKUP($A7,'OI(Value)'!$A$7:$O$306,9,0)</f>
        <v>-26</v>
      </c>
      <c r="N7" s="103">
        <f>VLOOKUP($A7,'OI(Value)'!$A$7:$O$306,11,0)</f>
        <v>154</v>
      </c>
      <c r="O7" s="103">
        <f>VLOOKUP($A7,'OI(Value)'!$A$7:$O$306,12,0)</f>
        <v>-9</v>
      </c>
      <c r="P7" s="179">
        <f>VLOOKUP(A7,'OI(Value)'!A7:O182,8,0)</f>
        <v>225</v>
      </c>
      <c r="Q7" s="179">
        <f>VLOOKUP(A7,'OI(Value)'!A7:O182,9,0)</f>
        <v>-26</v>
      </c>
      <c r="R7" s="179">
        <f>VLOOKUP(A7,'OI(Value)'!A7:O182,11,0)</f>
        <v>154</v>
      </c>
      <c r="S7" s="179">
        <f>VLOOKUP(A7,'OI(Value)'!A7:O182,12,0)</f>
        <v>-9</v>
      </c>
    </row>
    <row r="8" spans="1:19" x14ac:dyDescent="0.25">
      <c r="A8" s="105" t="str">
        <f>'Data shares'!C3</f>
        <v>ABB</v>
      </c>
      <c r="B8" s="143">
        <f>VLOOKUP($A8,'Data shares'!$C:$FA,118)</f>
        <v>0.74</v>
      </c>
      <c r="C8" s="143">
        <f>VLOOKUP($A8,'Data shares'!$C:$FA,119)</f>
        <v>0.69</v>
      </c>
      <c r="D8" s="143">
        <f>VLOOKUP($A8,'Data shares'!$C:$FA,121)*100</f>
        <v>7.2499999999999991</v>
      </c>
      <c r="E8" s="143">
        <f>VLOOKUP($A8,'Data shares'!$C:$FA,124)</f>
        <v>0.5</v>
      </c>
      <c r="F8" s="143">
        <f>VLOOKUP($A8,'Data shares'!$C:$FA,125)</f>
        <v>0.72</v>
      </c>
      <c r="G8" s="143">
        <f>VLOOKUP($A8,'Data shares'!$C:$FA,127)*100</f>
        <v>-30.56</v>
      </c>
      <c r="H8" s="103">
        <f>VLOOKUP($A8,'OI(Volume)'!$A$7:$O$427,8)</f>
        <v>1118000</v>
      </c>
      <c r="I8" s="103">
        <f>VLOOKUP($A8,'OI(Volume)'!$A$7:$O$427,9)</f>
        <v>-82000</v>
      </c>
      <c r="J8" s="103">
        <f>VLOOKUP($A8,'OI(Volume)'!$A$7:$O$427,11)</f>
        <v>831625</v>
      </c>
      <c r="K8" s="103">
        <f>VLOOKUP($A8,'OI(Volume)'!$A$7:$O$427,12)</f>
        <v>4250</v>
      </c>
      <c r="L8" s="103">
        <f>VLOOKUP($A8,'OI(Value)'!$A$7:$O$306,8,0)</f>
        <v>586</v>
      </c>
      <c r="M8" s="103">
        <f>VLOOKUP($A8,'OI(Value)'!$A$7:$O$306,9,0)</f>
        <v>-43</v>
      </c>
      <c r="N8" s="103">
        <f>VLOOKUP($A8,'OI(Value)'!$A$7:$O$306,11,0)</f>
        <v>436</v>
      </c>
      <c r="O8" s="103">
        <f>VLOOKUP($A8,'OI(Value)'!$A$7:$O$306,12,0)</f>
        <v>2</v>
      </c>
      <c r="P8" s="179">
        <f>VLOOKUP(A8,'OI(Value)'!A8:O209,8,0)</f>
        <v>586</v>
      </c>
      <c r="Q8" s="179">
        <f>VLOOKUP(A8,'OI(Value)'!A8:O209,9,0)</f>
        <v>-43</v>
      </c>
      <c r="R8" s="179">
        <f>VLOOKUP(A8,'OI(Value)'!A8:O209,11,0)</f>
        <v>436</v>
      </c>
      <c r="S8" s="179">
        <f>VLOOKUP(A8,'OI(Value)'!A8:O209,11,0)</f>
        <v>436</v>
      </c>
    </row>
    <row r="9" spans="1:19" x14ac:dyDescent="0.25">
      <c r="A9" s="105" t="str">
        <f>'Data shares'!C4</f>
        <v>ABCAPITAL</v>
      </c>
      <c r="B9" s="143">
        <f>VLOOKUP($A9,'Data shares'!$C:$FA,118)</f>
        <v>0.83</v>
      </c>
      <c r="C9" s="143">
        <f>VLOOKUP($A9,'Data shares'!$C:$FA,119)</f>
        <v>0.75</v>
      </c>
      <c r="D9" s="143">
        <f>VLOOKUP($A9,'Data shares'!$C:$FA,121)*100</f>
        <v>10.67</v>
      </c>
      <c r="E9" s="143">
        <f>VLOOKUP($A9,'Data shares'!$C:$FA,124)</f>
        <v>0.65</v>
      </c>
      <c r="F9" s="143">
        <f>VLOOKUP($A9,'Data shares'!$C:$FA,125)</f>
        <v>0.52</v>
      </c>
      <c r="G9" s="143">
        <f>VLOOKUP($A9,'Data shares'!$C:$FA,127)*100</f>
        <v>25</v>
      </c>
      <c r="H9" s="103">
        <f>VLOOKUP($A9,'OI(Volume)'!$A$7:$O$427,8)</f>
        <v>17325900</v>
      </c>
      <c r="I9" s="103">
        <f>VLOOKUP($A9,'OI(Volume)'!$A$7:$O$427,9)</f>
        <v>-1010600</v>
      </c>
      <c r="J9" s="103">
        <f>VLOOKUP($A9,'OI(Volume)'!$A$7:$O$427,11)</f>
        <v>14411900</v>
      </c>
      <c r="K9" s="103">
        <f>VLOOKUP($A9,'OI(Volume)'!$A$7:$O$427,12)</f>
        <v>616900</v>
      </c>
      <c r="L9" s="103">
        <f>VLOOKUP($A9,'OI(Value)'!$A$7:$O$306,8,0)</f>
        <v>538</v>
      </c>
      <c r="M9" s="103">
        <f>VLOOKUP($A9,'OI(Value)'!$A$7:$O$306,9,0)</f>
        <v>-31</v>
      </c>
      <c r="N9" s="103">
        <f>VLOOKUP($A9,'OI(Value)'!$A$7:$O$306,11,0)</f>
        <v>448</v>
      </c>
      <c r="O9" s="103">
        <f>VLOOKUP($A9,'OI(Value)'!$A$7:$O$306,12,0)</f>
        <v>19</v>
      </c>
      <c r="P9" s="179">
        <f>VLOOKUP(A9,'OI(Value)'!A9:O210,8,0)</f>
        <v>538</v>
      </c>
      <c r="Q9" s="179">
        <f>VLOOKUP(A9,'OI(Value)'!A9:O210,9,0)</f>
        <v>-31</v>
      </c>
      <c r="R9" s="179">
        <f>VLOOKUP(A9,'OI(Value)'!A9:O210,11,0)</f>
        <v>448</v>
      </c>
      <c r="S9" s="179">
        <f>VLOOKUP(A9,'OI(Value)'!A9:O210,11,0)</f>
        <v>448</v>
      </c>
    </row>
    <row r="10" spans="1:19" x14ac:dyDescent="0.25">
      <c r="A10" s="105" t="str">
        <f>'Data shares'!C5</f>
        <v>ADANIENSOL</v>
      </c>
      <c r="B10" s="143">
        <f>VLOOKUP($A10,'Data shares'!$C:$FA,118)</f>
        <v>0.59</v>
      </c>
      <c r="C10" s="143">
        <f>VLOOKUP($A10,'Data shares'!$C:$FA,119)</f>
        <v>0.59</v>
      </c>
      <c r="D10" s="143">
        <f>VLOOKUP($A10,'Data shares'!$C:$FA,121)*100</f>
        <v>0</v>
      </c>
      <c r="E10" s="143">
        <f>VLOOKUP($A10,'Data shares'!$C:$FA,124)</f>
        <v>0.39</v>
      </c>
      <c r="F10" s="143">
        <f>VLOOKUP($A10,'Data shares'!$C:$FA,125)</f>
        <v>0.42</v>
      </c>
      <c r="G10" s="143">
        <f>VLOOKUP($A10,'Data shares'!$C:$FA,127)*100</f>
        <v>-7.1400000000000006</v>
      </c>
      <c r="H10" s="103">
        <f>VLOOKUP($A10,'OI(Volume)'!$A$7:$O$427,8)</f>
        <v>4400325</v>
      </c>
      <c r="I10" s="103">
        <f>VLOOKUP($A10,'OI(Volume)'!$A$7:$O$427,9)</f>
        <v>789075</v>
      </c>
      <c r="J10" s="103">
        <f>VLOOKUP($A10,'OI(Volume)'!$A$7:$O$427,11)</f>
        <v>2577150</v>
      </c>
      <c r="K10" s="103">
        <f>VLOOKUP($A10,'OI(Volume)'!$A$7:$O$427,12)</f>
        <v>458325</v>
      </c>
      <c r="L10" s="103">
        <f>VLOOKUP($A10,'OI(Value)'!$A$7:$O$306,8,0)</f>
        <v>416</v>
      </c>
      <c r="M10" s="103">
        <f>VLOOKUP($A10,'OI(Value)'!$A$7:$O$306,9,0)</f>
        <v>75</v>
      </c>
      <c r="N10" s="103">
        <f>VLOOKUP($A10,'OI(Value)'!$A$7:$O$306,11,0)</f>
        <v>244</v>
      </c>
      <c r="O10" s="103">
        <f>VLOOKUP($A10,'OI(Value)'!$A$7:$O$306,12,0)</f>
        <v>43</v>
      </c>
      <c r="P10" s="179">
        <f>VLOOKUP(A10,'OI(Value)'!A10:O211,8,0)</f>
        <v>416</v>
      </c>
      <c r="Q10" s="179">
        <f>VLOOKUP(A10,'OI(Value)'!A10:O211,9,0)</f>
        <v>75</v>
      </c>
      <c r="R10" s="179">
        <f>VLOOKUP(A10,'OI(Value)'!A10:O211,11,0)</f>
        <v>244</v>
      </c>
      <c r="S10" s="179">
        <f>VLOOKUP(A10,'OI(Value)'!A10:O211,11,0)</f>
        <v>244</v>
      </c>
    </row>
    <row r="11" spans="1:19" x14ac:dyDescent="0.25">
      <c r="A11" s="105" t="str">
        <f>'Data shares'!C6</f>
        <v>ADANIENT</v>
      </c>
      <c r="B11" s="143">
        <f>VLOOKUP($A11,'Data shares'!$C:$FA,118)</f>
        <v>0.62</v>
      </c>
      <c r="C11" s="143">
        <f>VLOOKUP($A11,'Data shares'!$C:$FA,119)</f>
        <v>0.56999999999999995</v>
      </c>
      <c r="D11" s="143">
        <f>VLOOKUP($A11,'Data shares'!$C:$FA,121)*100</f>
        <v>8.77</v>
      </c>
      <c r="E11" s="143">
        <f>VLOOKUP($A11,'Data shares'!$C:$FA,124)</f>
        <v>0.57999999999999996</v>
      </c>
      <c r="F11" s="143">
        <f>VLOOKUP($A11,'Data shares'!$C:$FA,125)</f>
        <v>0.42</v>
      </c>
      <c r="G11" s="143">
        <f>VLOOKUP($A11,'Data shares'!$C:$FA,127)*100</f>
        <v>38.1</v>
      </c>
      <c r="H11" s="103">
        <f>VLOOKUP($A11,'OI(Volume)'!$A$7:$O$427,8)</f>
        <v>6975600</v>
      </c>
      <c r="I11" s="103">
        <f>VLOOKUP($A11,'OI(Volume)'!$A$7:$O$427,9)</f>
        <v>-617400</v>
      </c>
      <c r="J11" s="103">
        <f>VLOOKUP($A11,'OI(Volume)'!$A$7:$O$427,11)</f>
        <v>4329900</v>
      </c>
      <c r="K11" s="103">
        <f>VLOOKUP($A11,'OI(Volume)'!$A$7:$O$427,12)</f>
        <v>-2700</v>
      </c>
      <c r="L11" s="103">
        <f>VLOOKUP($A11,'OI(Value)'!$A$7:$O$306,8,0)</f>
        <v>1739</v>
      </c>
      <c r="M11" s="103">
        <f>VLOOKUP($A11,'OI(Value)'!$A$7:$O$306,9,0)</f>
        <v>-154</v>
      </c>
      <c r="N11" s="103">
        <f>VLOOKUP($A11,'OI(Value)'!$A$7:$O$306,11,0)</f>
        <v>1079</v>
      </c>
      <c r="O11" s="103">
        <f>VLOOKUP($A11,'OI(Value)'!$A$7:$O$306,12,0)</f>
        <v>-1</v>
      </c>
      <c r="P11" s="179">
        <f>VLOOKUP(A11,'OI(Value)'!A11:O212,8,0)</f>
        <v>1739</v>
      </c>
      <c r="Q11" s="179">
        <f>VLOOKUP(A11,'OI(Value)'!A11:O212,9,0)</f>
        <v>-154</v>
      </c>
      <c r="R11" s="179">
        <f>VLOOKUP(A11,'OI(Value)'!A11:O212,11,0)</f>
        <v>1079</v>
      </c>
      <c r="S11" s="179">
        <f>VLOOKUP(A11,'OI(Value)'!A11:O212,11,0)</f>
        <v>1079</v>
      </c>
    </row>
    <row r="12" spans="1:19" x14ac:dyDescent="0.25">
      <c r="A12" s="105" t="str">
        <f>'Data shares'!C7</f>
        <v>ADANIGREEN</v>
      </c>
      <c r="B12" s="143">
        <f>VLOOKUP($A12,'Data shares'!$C:$FA,118)</f>
        <v>0.47</v>
      </c>
      <c r="C12" s="143">
        <f>VLOOKUP($A12,'Data shares'!$C:$FA,119)</f>
        <v>0.49</v>
      </c>
      <c r="D12" s="143">
        <f>VLOOKUP($A12,'Data shares'!$C:$FA,121)*100</f>
        <v>-4.08</v>
      </c>
      <c r="E12" s="143">
        <f>VLOOKUP($A12,'Data shares'!$C:$FA,124)</f>
        <v>0.42</v>
      </c>
      <c r="F12" s="143">
        <f>VLOOKUP($A12,'Data shares'!$C:$FA,125)</f>
        <v>0.33</v>
      </c>
      <c r="G12" s="143">
        <f>VLOOKUP($A12,'Data shares'!$C:$FA,127)*100</f>
        <v>27.27</v>
      </c>
      <c r="H12" s="103">
        <f>VLOOKUP($A12,'OI(Volume)'!$A$7:$O$427,8)</f>
        <v>10924200</v>
      </c>
      <c r="I12" s="103">
        <f>VLOOKUP($A12,'OI(Volume)'!$A$7:$O$427,9)</f>
        <v>-338400</v>
      </c>
      <c r="J12" s="103">
        <f>VLOOKUP($A12,'OI(Volume)'!$A$7:$O$427,11)</f>
        <v>5094000</v>
      </c>
      <c r="K12" s="103">
        <f>VLOOKUP($A12,'OI(Volume)'!$A$7:$O$427,12)</f>
        <v>-421200</v>
      </c>
      <c r="L12" s="103">
        <f>VLOOKUP($A12,'OI(Value)'!$A$7:$O$306,8,0)</f>
        <v>1110</v>
      </c>
      <c r="M12" s="103">
        <f>VLOOKUP($A12,'OI(Value)'!$A$7:$O$306,9,0)</f>
        <v>-34</v>
      </c>
      <c r="N12" s="103">
        <f>VLOOKUP($A12,'OI(Value)'!$A$7:$O$306,11,0)</f>
        <v>518</v>
      </c>
      <c r="O12" s="103">
        <f>VLOOKUP($A12,'OI(Value)'!$A$7:$O$306,12,0)</f>
        <v>-43</v>
      </c>
      <c r="P12" s="179">
        <f>VLOOKUP(A12,'OI(Value)'!A12:O213,8,0)</f>
        <v>1110</v>
      </c>
      <c r="Q12" s="179">
        <f>VLOOKUP(A12,'OI(Value)'!A12:O213,9,0)</f>
        <v>-34</v>
      </c>
      <c r="R12" s="179">
        <f>VLOOKUP(A12,'OI(Value)'!A12:O213,11,0)</f>
        <v>518</v>
      </c>
      <c r="S12" s="179">
        <f>VLOOKUP(A12,'OI(Value)'!A12:O213,11,0)</f>
        <v>518</v>
      </c>
    </row>
    <row r="13" spans="1:19" x14ac:dyDescent="0.25">
      <c r="A13" s="105" t="str">
        <f>'Data shares'!C8</f>
        <v>ADANIPORTS</v>
      </c>
      <c r="B13" s="143">
        <f>VLOOKUP($A13,'Data shares'!$C:$FA,118)</f>
        <v>0.71</v>
      </c>
      <c r="C13" s="143">
        <f>VLOOKUP($A13,'Data shares'!$C:$FA,119)</f>
        <v>0.64</v>
      </c>
      <c r="D13" s="143">
        <f>VLOOKUP($A13,'Data shares'!$C:$FA,121)*100</f>
        <v>10.94</v>
      </c>
      <c r="E13" s="143">
        <f>VLOOKUP($A13,'Data shares'!$C:$FA,124)</f>
        <v>0.64</v>
      </c>
      <c r="F13" s="143">
        <f>VLOOKUP($A13,'Data shares'!$C:$FA,125)</f>
        <v>0.59</v>
      </c>
      <c r="G13" s="143">
        <f>VLOOKUP($A13,'Data shares'!$C:$FA,127)*100</f>
        <v>8.4699999999999989</v>
      </c>
      <c r="H13" s="103">
        <f>VLOOKUP($A13,'OI(Volume)'!$A$7:$O$427,8)</f>
        <v>7723500</v>
      </c>
      <c r="I13" s="103">
        <f>VLOOKUP($A13,'OI(Volume)'!$A$7:$O$427,9)</f>
        <v>-772350</v>
      </c>
      <c r="J13" s="103">
        <f>VLOOKUP($A13,'OI(Volume)'!$A$7:$O$427,11)</f>
        <v>5445875</v>
      </c>
      <c r="K13" s="103">
        <f>VLOOKUP($A13,'OI(Volume)'!$A$7:$O$427,12)</f>
        <v>28975</v>
      </c>
      <c r="L13" s="103">
        <f>VLOOKUP($A13,'OI(Value)'!$A$7:$O$306,8,0)</f>
        <v>1098</v>
      </c>
      <c r="M13" s="103">
        <f>VLOOKUP($A13,'OI(Value)'!$A$7:$O$306,9,0)</f>
        <v>-110</v>
      </c>
      <c r="N13" s="103">
        <f>VLOOKUP($A13,'OI(Value)'!$A$7:$O$306,11,0)</f>
        <v>774</v>
      </c>
      <c r="O13" s="103">
        <f>VLOOKUP($A13,'OI(Value)'!$A$7:$O$306,12,0)</f>
        <v>4</v>
      </c>
      <c r="P13" s="179">
        <f>VLOOKUP(A13,'OI(Value)'!A13:O214,8,0)</f>
        <v>1098</v>
      </c>
      <c r="Q13" s="179">
        <f>VLOOKUP(A13,'OI(Value)'!A13:O214,9,0)</f>
        <v>-110</v>
      </c>
      <c r="R13" s="179">
        <f>VLOOKUP(A13,'OI(Value)'!A13:O214,11,0)</f>
        <v>774</v>
      </c>
      <c r="S13" s="179">
        <f>VLOOKUP(A13,'OI(Value)'!A13:O214,11,0)</f>
        <v>774</v>
      </c>
    </row>
    <row r="14" spans="1:19" x14ac:dyDescent="0.25">
      <c r="A14" s="105" t="str">
        <f>'Data shares'!C9</f>
        <v>ALKEM</v>
      </c>
      <c r="B14" s="143">
        <f>VLOOKUP($A14,'Data shares'!$C:$FA,118)</f>
        <v>0.79</v>
      </c>
      <c r="C14" s="143">
        <f>VLOOKUP($A14,'Data shares'!$C:$FA,119)</f>
        <v>0.93</v>
      </c>
      <c r="D14" s="143">
        <f>VLOOKUP($A14,'Data shares'!$C:$FA,121)*100</f>
        <v>-15.049999999999999</v>
      </c>
      <c r="E14" s="143">
        <f>VLOOKUP($A14,'Data shares'!$C:$FA,124)</f>
        <v>2.0299999999999998</v>
      </c>
      <c r="F14" s="143">
        <f>VLOOKUP($A14,'Data shares'!$C:$FA,125)</f>
        <v>0.83</v>
      </c>
      <c r="G14" s="143">
        <f>VLOOKUP($A14,'Data shares'!$C:$FA,127)*100</f>
        <v>144.57999999999998</v>
      </c>
      <c r="H14" s="103">
        <f>VLOOKUP($A14,'OI(Volume)'!$A$7:$O$427,8)</f>
        <v>232375</v>
      </c>
      <c r="I14" s="103">
        <f>VLOOKUP($A14,'OI(Volume)'!$A$7:$O$427,9)</f>
        <v>1125</v>
      </c>
      <c r="J14" s="103">
        <f>VLOOKUP($A14,'OI(Volume)'!$A$7:$O$427,11)</f>
        <v>183750</v>
      </c>
      <c r="K14" s="103">
        <f>VLOOKUP($A14,'OI(Volume)'!$A$7:$O$427,12)</f>
        <v>-30250</v>
      </c>
      <c r="L14" s="103">
        <f>VLOOKUP($A14,'OI(Value)'!$A$7:$O$306,8,0)</f>
        <v>127</v>
      </c>
      <c r="M14" s="103">
        <f>VLOOKUP($A14,'OI(Value)'!$A$7:$O$306,9,0)</f>
        <v>1</v>
      </c>
      <c r="N14" s="103">
        <f>VLOOKUP($A14,'OI(Value)'!$A$7:$O$306,11,0)</f>
        <v>101</v>
      </c>
      <c r="O14" s="103">
        <f>VLOOKUP($A14,'OI(Value)'!$A$7:$O$306,12,0)</f>
        <v>-17</v>
      </c>
      <c r="P14" s="179">
        <f>VLOOKUP(A14,'OI(Value)'!A14:O215,8,0)</f>
        <v>127</v>
      </c>
      <c r="Q14" s="179">
        <f>VLOOKUP(A14,'OI(Value)'!A14:O215,9,0)</f>
        <v>1</v>
      </c>
      <c r="R14" s="179">
        <f>VLOOKUP(A14,'OI(Value)'!A14:O215,11,0)</f>
        <v>101</v>
      </c>
      <c r="S14" s="179">
        <f>VLOOKUP(A14,'OI(Value)'!A14:O215,11,0)</f>
        <v>101</v>
      </c>
    </row>
    <row r="15" spans="1:19" x14ac:dyDescent="0.25">
      <c r="A15" s="105" t="str">
        <f>'Data shares'!C10</f>
        <v>AMBER</v>
      </c>
      <c r="B15" s="143">
        <f>VLOOKUP($A15,'Data shares'!$C:$FA,118)</f>
        <v>0.71</v>
      </c>
      <c r="C15" s="143">
        <f>VLOOKUP($A15,'Data shares'!$C:$FA,119)</f>
        <v>0.53</v>
      </c>
      <c r="D15" s="143">
        <f>VLOOKUP($A15,'Data shares'!$C:$FA,121)*100</f>
        <v>33.96</v>
      </c>
      <c r="E15" s="143">
        <f>VLOOKUP($A15,'Data shares'!$C:$FA,124)</f>
        <v>0.47</v>
      </c>
      <c r="F15" s="143">
        <f>VLOOKUP($A15,'Data shares'!$C:$FA,125)</f>
        <v>0.5</v>
      </c>
      <c r="G15" s="143">
        <f>VLOOKUP($A15,'Data shares'!$C:$FA,127)*100</f>
        <v>-6</v>
      </c>
      <c r="H15" s="103">
        <f>VLOOKUP($A15,'OI(Volume)'!$A$7:$O$427,8)</f>
        <v>470800</v>
      </c>
      <c r="I15" s="103">
        <f>VLOOKUP($A15,'OI(Volume)'!$A$7:$O$427,9)</f>
        <v>-96800</v>
      </c>
      <c r="J15" s="103">
        <f>VLOOKUP($A15,'OI(Volume)'!$A$7:$O$427,11)</f>
        <v>334400</v>
      </c>
      <c r="K15" s="103">
        <f>VLOOKUP($A15,'OI(Volume)'!$A$7:$O$427,12)</f>
        <v>36000</v>
      </c>
      <c r="L15" s="103">
        <f>VLOOKUP($A15,'OI(Value)'!$A$7:$O$306,8,0)</f>
        <v>399</v>
      </c>
      <c r="M15" s="103">
        <f>VLOOKUP($A15,'OI(Value)'!$A$7:$O$306,9,0)</f>
        <v>-82</v>
      </c>
      <c r="N15" s="103">
        <f>VLOOKUP($A15,'OI(Value)'!$A$7:$O$306,11,0)</f>
        <v>283</v>
      </c>
      <c r="O15" s="103">
        <f>VLOOKUP($A15,'OI(Value)'!$A$7:$O$306,12,0)</f>
        <v>30</v>
      </c>
      <c r="P15" s="179">
        <f>VLOOKUP(A15,'OI(Value)'!A15:O216,8,0)</f>
        <v>399</v>
      </c>
      <c r="Q15" s="179">
        <f>VLOOKUP(A15,'OI(Value)'!A15:O216,9,0)</f>
        <v>-82</v>
      </c>
      <c r="R15" s="179">
        <f>VLOOKUP(A15,'OI(Value)'!A15:O216,11,0)</f>
        <v>283</v>
      </c>
      <c r="S15" s="179">
        <f>VLOOKUP(A15,'OI(Value)'!A15:O216,11,0)</f>
        <v>283</v>
      </c>
    </row>
    <row r="16" spans="1:19" x14ac:dyDescent="0.25">
      <c r="A16" s="105" t="str">
        <f>'Data shares'!C11</f>
        <v>AMBUJACEM</v>
      </c>
      <c r="B16" s="143">
        <f>VLOOKUP($A16,'Data shares'!$C:$FA,118)</f>
        <v>0.74</v>
      </c>
      <c r="C16" s="143">
        <f>VLOOKUP($A16,'Data shares'!$C:$FA,119)</f>
        <v>0.68</v>
      </c>
      <c r="D16" s="143">
        <f>VLOOKUP($A16,'Data shares'!$C:$FA,121)*100</f>
        <v>8.82</v>
      </c>
      <c r="E16" s="143">
        <f>VLOOKUP($A16,'Data shares'!$C:$FA,124)</f>
        <v>0.52</v>
      </c>
      <c r="F16" s="143">
        <f>VLOOKUP($A16,'Data shares'!$C:$FA,125)</f>
        <v>0.49</v>
      </c>
      <c r="G16" s="143">
        <f>VLOOKUP($A16,'Data shares'!$C:$FA,127)*100</f>
        <v>6.12</v>
      </c>
      <c r="H16" s="103">
        <f>VLOOKUP($A16,'OI(Volume)'!$A$7:$O$427,8)</f>
        <v>11308500</v>
      </c>
      <c r="I16" s="103">
        <f>VLOOKUP($A16,'OI(Volume)'!$A$7:$O$427,9)</f>
        <v>-1333500</v>
      </c>
      <c r="J16" s="103">
        <f>VLOOKUP($A16,'OI(Volume)'!$A$7:$O$427,11)</f>
        <v>8409450</v>
      </c>
      <c r="K16" s="103">
        <f>VLOOKUP($A16,'OI(Volume)'!$A$7:$O$427,12)</f>
        <v>-205800</v>
      </c>
      <c r="L16" s="103">
        <f>VLOOKUP($A16,'OI(Value)'!$A$7:$O$306,8,0)</f>
        <v>634</v>
      </c>
      <c r="M16" s="103">
        <f>VLOOKUP($A16,'OI(Value)'!$A$7:$O$306,9,0)</f>
        <v>-75</v>
      </c>
      <c r="N16" s="103">
        <f>VLOOKUP($A16,'OI(Value)'!$A$7:$O$306,11,0)</f>
        <v>472</v>
      </c>
      <c r="O16" s="103">
        <f>VLOOKUP($A16,'OI(Value)'!$A$7:$O$306,12,0)</f>
        <v>-12</v>
      </c>
      <c r="P16" s="179">
        <f>VLOOKUP(A16,'OI(Value)'!A16:O217,8,0)</f>
        <v>634</v>
      </c>
      <c r="Q16" s="179">
        <f>VLOOKUP(A16,'OI(Value)'!A16:O217,9,0)</f>
        <v>-75</v>
      </c>
      <c r="R16" s="179">
        <f>VLOOKUP(A16,'OI(Value)'!A16:O217,11,0)</f>
        <v>472</v>
      </c>
      <c r="S16" s="179">
        <f>VLOOKUP(A16,'OI(Value)'!A16:O217,11,0)</f>
        <v>472</v>
      </c>
    </row>
    <row r="17" spans="1:19" x14ac:dyDescent="0.25">
      <c r="A17" s="105" t="str">
        <f>'Data shares'!C12</f>
        <v>ANGELONE</v>
      </c>
      <c r="B17" s="143">
        <f>VLOOKUP($A17,'Data shares'!$C:$FA,118)</f>
        <v>0.9</v>
      </c>
      <c r="C17" s="143">
        <f>VLOOKUP($A17,'Data shares'!$C:$FA,119)</f>
        <v>0.87</v>
      </c>
      <c r="D17" s="143">
        <f>VLOOKUP($A17,'Data shares'!$C:$FA,121)*100</f>
        <v>3.45</v>
      </c>
      <c r="E17" s="143">
        <f>VLOOKUP($A17,'Data shares'!$C:$FA,124)</f>
        <v>0.5</v>
      </c>
      <c r="F17" s="143">
        <f>VLOOKUP($A17,'Data shares'!$C:$FA,125)</f>
        <v>0.74</v>
      </c>
      <c r="G17" s="143">
        <f>VLOOKUP($A17,'Data shares'!$C:$FA,127)*100</f>
        <v>-32.43</v>
      </c>
      <c r="H17" s="103">
        <f>VLOOKUP($A17,'OI(Volume)'!$A$7:$O$427,8)</f>
        <v>1948500</v>
      </c>
      <c r="I17" s="103">
        <f>VLOOKUP($A17,'OI(Volume)'!$A$7:$O$427,9)</f>
        <v>-225750</v>
      </c>
      <c r="J17" s="103">
        <f>VLOOKUP($A17,'OI(Volume)'!$A$7:$O$427,11)</f>
        <v>1757500</v>
      </c>
      <c r="K17" s="103">
        <f>VLOOKUP($A17,'OI(Volume)'!$A$7:$O$427,12)</f>
        <v>-140000</v>
      </c>
      <c r="L17" s="103">
        <f>VLOOKUP($A17,'OI(Value)'!$A$7:$O$306,8,0)</f>
        <v>502</v>
      </c>
      <c r="M17" s="103">
        <f>VLOOKUP($A17,'OI(Value)'!$A$7:$O$306,9,0)</f>
        <v>-58</v>
      </c>
      <c r="N17" s="103">
        <f>VLOOKUP($A17,'OI(Value)'!$A$7:$O$306,11,0)</f>
        <v>452</v>
      </c>
      <c r="O17" s="103">
        <f>VLOOKUP($A17,'OI(Value)'!$A$7:$O$306,12,0)</f>
        <v>-36</v>
      </c>
      <c r="P17" s="179">
        <f>VLOOKUP(A17,'OI(Value)'!A17:O218,8,0)</f>
        <v>502</v>
      </c>
      <c r="Q17" s="179">
        <f>VLOOKUP(A17,'OI(Value)'!A17:O218,9,0)</f>
        <v>-58</v>
      </c>
      <c r="R17" s="179">
        <f>VLOOKUP(A17,'OI(Value)'!A17:O218,11,0)</f>
        <v>452</v>
      </c>
      <c r="S17" s="179">
        <f>VLOOKUP(A17,'OI(Value)'!A17:O218,11,0)</f>
        <v>452</v>
      </c>
    </row>
    <row r="18" spans="1:19" x14ac:dyDescent="0.25">
      <c r="A18" s="105" t="str">
        <f>'Data shares'!C13</f>
        <v>APLAPOLLO</v>
      </c>
      <c r="B18" s="143">
        <f>VLOOKUP($A18,'Data shares'!$C:$FA,118)</f>
        <v>0.71</v>
      </c>
      <c r="C18" s="143">
        <f>VLOOKUP($A18,'Data shares'!$C:$FA,119)</f>
        <v>0.56999999999999995</v>
      </c>
      <c r="D18" s="143">
        <f>VLOOKUP($A18,'Data shares'!$C:$FA,121)*100</f>
        <v>24.560000000000002</v>
      </c>
      <c r="E18" s="143">
        <f>VLOOKUP($A18,'Data shares'!$C:$FA,124)</f>
        <v>0.42</v>
      </c>
      <c r="F18" s="143">
        <f>VLOOKUP($A18,'Data shares'!$C:$FA,125)</f>
        <v>0.45</v>
      </c>
      <c r="G18" s="143">
        <f>VLOOKUP($A18,'Data shares'!$C:$FA,127)*100</f>
        <v>-6.67</v>
      </c>
      <c r="H18" s="103">
        <f>VLOOKUP($A18,'OI(Volume)'!$A$7:$O$427,8)</f>
        <v>1586550</v>
      </c>
      <c r="I18" s="103">
        <f>VLOOKUP($A18,'OI(Volume)'!$A$7:$O$427,9)</f>
        <v>-115150</v>
      </c>
      <c r="J18" s="103">
        <f>VLOOKUP($A18,'OI(Volume)'!$A$7:$O$427,11)</f>
        <v>1118950</v>
      </c>
      <c r="K18" s="103">
        <f>VLOOKUP($A18,'OI(Volume)'!$A$7:$O$427,12)</f>
        <v>153650</v>
      </c>
      <c r="L18" s="103">
        <f>VLOOKUP($A18,'OI(Value)'!$A$7:$O$306,8,0)</f>
        <v>281</v>
      </c>
      <c r="M18" s="103">
        <f>VLOOKUP($A18,'OI(Value)'!$A$7:$O$306,9,0)</f>
        <v>-20</v>
      </c>
      <c r="N18" s="103">
        <f>VLOOKUP($A18,'OI(Value)'!$A$7:$O$306,11,0)</f>
        <v>198</v>
      </c>
      <c r="O18" s="103">
        <f>VLOOKUP($A18,'OI(Value)'!$A$7:$O$306,12,0)</f>
        <v>27</v>
      </c>
      <c r="P18" s="179">
        <f>VLOOKUP(A18,'OI(Value)'!A18:O219,8,0)</f>
        <v>281</v>
      </c>
      <c r="Q18" s="179">
        <f>VLOOKUP(A18,'OI(Value)'!A18:O219,9,0)</f>
        <v>-20</v>
      </c>
      <c r="R18" s="179">
        <f>VLOOKUP(A18,'OI(Value)'!A18:O219,11,0)</f>
        <v>198</v>
      </c>
      <c r="S18" s="179">
        <f>VLOOKUP(A18,'OI(Value)'!A18:O219,11,0)</f>
        <v>198</v>
      </c>
    </row>
    <row r="19" spans="1:19" x14ac:dyDescent="0.25">
      <c r="A19" s="105" t="str">
        <f>'Data shares'!C14</f>
        <v>APOLLOHOSP</v>
      </c>
      <c r="B19" s="143">
        <f>VLOOKUP($A19,'Data shares'!$C:$FA,118)</f>
        <v>0.66</v>
      </c>
      <c r="C19" s="143">
        <f>VLOOKUP($A19,'Data shares'!$C:$FA,119)</f>
        <v>0.63</v>
      </c>
      <c r="D19" s="143">
        <f>VLOOKUP($A19,'Data shares'!$C:$FA,121)*100</f>
        <v>4.7600000000000007</v>
      </c>
      <c r="E19" s="143">
        <f>VLOOKUP($A19,'Data shares'!$C:$FA,124)</f>
        <v>0.46</v>
      </c>
      <c r="F19" s="143">
        <f>VLOOKUP($A19,'Data shares'!$C:$FA,125)</f>
        <v>0.68</v>
      </c>
      <c r="G19" s="143">
        <f>VLOOKUP($A19,'Data shares'!$C:$FA,127)*100</f>
        <v>-32.35</v>
      </c>
      <c r="H19" s="103">
        <f>VLOOKUP($A19,'OI(Volume)'!$A$7:$O$427,8)</f>
        <v>704875</v>
      </c>
      <c r="I19" s="103">
        <f>VLOOKUP($A19,'OI(Volume)'!$A$7:$O$427,9)</f>
        <v>-127625</v>
      </c>
      <c r="J19" s="103">
        <f>VLOOKUP($A19,'OI(Volume)'!$A$7:$O$427,11)</f>
        <v>468000</v>
      </c>
      <c r="K19" s="103">
        <f>VLOOKUP($A19,'OI(Volume)'!$A$7:$O$427,12)</f>
        <v>-60500</v>
      </c>
      <c r="L19" s="103">
        <f>VLOOKUP($A19,'OI(Value)'!$A$7:$O$306,8,0)</f>
        <v>554</v>
      </c>
      <c r="M19" s="103">
        <f>VLOOKUP($A19,'OI(Value)'!$A$7:$O$306,9,0)</f>
        <v>-100</v>
      </c>
      <c r="N19" s="103">
        <f>VLOOKUP($A19,'OI(Value)'!$A$7:$O$306,11,0)</f>
        <v>368</v>
      </c>
      <c r="O19" s="103">
        <f>VLOOKUP($A19,'OI(Value)'!$A$7:$O$306,12,0)</f>
        <v>-48</v>
      </c>
      <c r="P19" s="179">
        <f>VLOOKUP(A19,'OI(Value)'!A19:O220,8,0)</f>
        <v>554</v>
      </c>
      <c r="Q19" s="179">
        <f>VLOOKUP(A19,'OI(Value)'!A19:O220,9,0)</f>
        <v>-100</v>
      </c>
      <c r="R19" s="179">
        <f>VLOOKUP(A19,'OI(Value)'!A19:O220,11,0)</f>
        <v>368</v>
      </c>
      <c r="S19" s="179">
        <f>VLOOKUP(A19,'OI(Value)'!A19:O220,11,0)</f>
        <v>368</v>
      </c>
    </row>
    <row r="20" spans="1:19" x14ac:dyDescent="0.25">
      <c r="A20" s="105" t="str">
        <f>'Data shares'!C15</f>
        <v>ASHOKLEY</v>
      </c>
      <c r="B20" s="143">
        <f>VLOOKUP($A20,'Data shares'!$C:$FA,118)</f>
        <v>0.53</v>
      </c>
      <c r="C20" s="143">
        <f>VLOOKUP($A20,'Data shares'!$C:$FA,119)</f>
        <v>0.47</v>
      </c>
      <c r="D20" s="143">
        <f>VLOOKUP($A20,'Data shares'!$C:$FA,121)*100</f>
        <v>12.770000000000001</v>
      </c>
      <c r="E20" s="143">
        <f>VLOOKUP($A20,'Data shares'!$C:$FA,124)</f>
        <v>0.37</v>
      </c>
      <c r="F20" s="143">
        <f>VLOOKUP($A20,'Data shares'!$C:$FA,125)</f>
        <v>0.44</v>
      </c>
      <c r="G20" s="143">
        <f>VLOOKUP($A20,'Data shares'!$C:$FA,127)*100</f>
        <v>-15.909999999999998</v>
      </c>
      <c r="H20" s="103">
        <f>VLOOKUP($A20,'OI(Volume)'!$A$7:$O$427,8)</f>
        <v>78630000</v>
      </c>
      <c r="I20" s="103">
        <f>VLOOKUP($A20,'OI(Volume)'!$A$7:$O$427,9)</f>
        <v>-2075000</v>
      </c>
      <c r="J20" s="103">
        <f>VLOOKUP($A20,'OI(Volume)'!$A$7:$O$427,11)</f>
        <v>41945000</v>
      </c>
      <c r="K20" s="103">
        <f>VLOOKUP($A20,'OI(Volume)'!$A$7:$O$427,12)</f>
        <v>3945000</v>
      </c>
      <c r="L20" s="103">
        <f>VLOOKUP($A20,'OI(Value)'!$A$7:$O$306,8,0)</f>
        <v>1110</v>
      </c>
      <c r="M20" s="103">
        <f>VLOOKUP($A20,'OI(Value)'!$A$7:$O$306,9,0)</f>
        <v>-29</v>
      </c>
      <c r="N20" s="103">
        <f>VLOOKUP($A20,'OI(Value)'!$A$7:$O$306,11,0)</f>
        <v>592</v>
      </c>
      <c r="O20" s="103">
        <f>VLOOKUP($A20,'OI(Value)'!$A$7:$O$306,12,0)</f>
        <v>56</v>
      </c>
      <c r="P20" s="179">
        <f>VLOOKUP(A20,'OI(Value)'!A20:O221,8,0)</f>
        <v>1110</v>
      </c>
      <c r="Q20" s="179">
        <f>VLOOKUP(A20,'OI(Value)'!A20:O221,9,0)</f>
        <v>-29</v>
      </c>
      <c r="R20" s="179">
        <f>VLOOKUP(A20,'OI(Value)'!A20:O221,11,0)</f>
        <v>592</v>
      </c>
      <c r="S20" s="179">
        <f>VLOOKUP(A20,'OI(Value)'!A20:O221,11,0)</f>
        <v>592</v>
      </c>
    </row>
    <row r="21" spans="1:19" x14ac:dyDescent="0.25">
      <c r="A21" s="105" t="str">
        <f>'Data shares'!C16</f>
        <v>ASIANPAINT</v>
      </c>
      <c r="B21" s="143">
        <f>VLOOKUP($A21,'Data shares'!$C:$FA,118)</f>
        <v>0.71</v>
      </c>
      <c r="C21" s="143">
        <f>VLOOKUP($A21,'Data shares'!$C:$FA,119)</f>
        <v>0.68</v>
      </c>
      <c r="D21" s="143">
        <f>VLOOKUP($A21,'Data shares'!$C:$FA,121)*100</f>
        <v>4.41</v>
      </c>
      <c r="E21" s="143">
        <f>VLOOKUP($A21,'Data shares'!$C:$FA,124)</f>
        <v>0.77</v>
      </c>
      <c r="F21" s="143">
        <f>VLOOKUP($A21,'Data shares'!$C:$FA,125)</f>
        <v>0.84</v>
      </c>
      <c r="G21" s="143">
        <f>VLOOKUP($A21,'Data shares'!$C:$FA,127)*100</f>
        <v>-8.33</v>
      </c>
      <c r="H21" s="103">
        <f>VLOOKUP($A21,'OI(Volume)'!$A$7:$O$427,8)</f>
        <v>5643750</v>
      </c>
      <c r="I21" s="103">
        <f>VLOOKUP($A21,'OI(Volume)'!$A$7:$O$427,9)</f>
        <v>-423250</v>
      </c>
      <c r="J21" s="103">
        <f>VLOOKUP($A21,'OI(Volume)'!$A$7:$O$427,11)</f>
        <v>3989250</v>
      </c>
      <c r="K21" s="103">
        <f>VLOOKUP($A21,'OI(Volume)'!$A$7:$O$427,12)</f>
        <v>-136000</v>
      </c>
      <c r="L21" s="103">
        <f>VLOOKUP($A21,'OI(Value)'!$A$7:$O$306,8,0)</f>
        <v>1421</v>
      </c>
      <c r="M21" s="103">
        <f>VLOOKUP($A21,'OI(Value)'!$A$7:$O$306,9,0)</f>
        <v>-107</v>
      </c>
      <c r="N21" s="103">
        <f>VLOOKUP($A21,'OI(Value)'!$A$7:$O$306,11,0)</f>
        <v>1005</v>
      </c>
      <c r="O21" s="103">
        <f>VLOOKUP($A21,'OI(Value)'!$A$7:$O$306,12,0)</f>
        <v>-34</v>
      </c>
      <c r="P21" s="179">
        <f>VLOOKUP(A21,'OI(Value)'!A21:O222,8,0)</f>
        <v>1421</v>
      </c>
      <c r="Q21" s="179">
        <f>VLOOKUP(A21,'OI(Value)'!A21:O222,9,0)</f>
        <v>-107</v>
      </c>
      <c r="R21" s="179">
        <f>VLOOKUP(A21,'OI(Value)'!A21:O222,11,0)</f>
        <v>1005</v>
      </c>
      <c r="S21" s="179">
        <f>VLOOKUP(A21,'OI(Value)'!A21:O222,11,0)</f>
        <v>1005</v>
      </c>
    </row>
    <row r="22" spans="1:19" x14ac:dyDescent="0.25">
      <c r="A22" s="105" t="str">
        <f>'Data shares'!C17</f>
        <v>ASTRAL</v>
      </c>
      <c r="B22" s="143">
        <f>VLOOKUP($A22,'Data shares'!$C:$FA,118)</f>
        <v>0.51</v>
      </c>
      <c r="C22" s="143">
        <f>VLOOKUP($A22,'Data shares'!$C:$FA,119)</f>
        <v>0.49</v>
      </c>
      <c r="D22" s="143">
        <f>VLOOKUP($A22,'Data shares'!$C:$FA,121)*100</f>
        <v>4.08</v>
      </c>
      <c r="E22" s="143">
        <f>VLOOKUP($A22,'Data shares'!$C:$FA,124)</f>
        <v>0.62</v>
      </c>
      <c r="F22" s="143">
        <f>VLOOKUP($A22,'Data shares'!$C:$FA,125)</f>
        <v>0.47</v>
      </c>
      <c r="G22" s="143">
        <f>VLOOKUP($A22,'Data shares'!$C:$FA,127)*100</f>
        <v>31.91</v>
      </c>
      <c r="H22" s="103">
        <f>VLOOKUP($A22,'OI(Volume)'!$A$7:$O$427,8)</f>
        <v>2786300</v>
      </c>
      <c r="I22" s="103">
        <f>VLOOKUP($A22,'OI(Volume)'!$A$7:$O$427,9)</f>
        <v>-110500</v>
      </c>
      <c r="J22" s="103">
        <f>VLOOKUP($A22,'OI(Volume)'!$A$7:$O$427,11)</f>
        <v>1429700</v>
      </c>
      <c r="K22" s="103">
        <f>VLOOKUP($A22,'OI(Volume)'!$A$7:$O$427,12)</f>
        <v>-1275</v>
      </c>
      <c r="L22" s="103">
        <f>VLOOKUP($A22,'OI(Value)'!$A$7:$O$306,8,0)</f>
        <v>400</v>
      </c>
      <c r="M22" s="103">
        <f>VLOOKUP($A22,'OI(Value)'!$A$7:$O$306,9,0)</f>
        <v>-16</v>
      </c>
      <c r="N22" s="103">
        <f>VLOOKUP($A22,'OI(Value)'!$A$7:$O$306,11,0)</f>
        <v>205</v>
      </c>
      <c r="O22" s="103">
        <f>VLOOKUP($A22,'OI(Value)'!$A$7:$O$306,12,0)</f>
        <v>0</v>
      </c>
      <c r="P22" s="179">
        <f>VLOOKUP(A22,'OI(Value)'!A22:O223,8,0)</f>
        <v>400</v>
      </c>
      <c r="Q22" s="179">
        <f>VLOOKUP(A22,'OI(Value)'!A22:O223,9,0)</f>
        <v>-16</v>
      </c>
      <c r="R22" s="179">
        <f>VLOOKUP(A22,'OI(Value)'!A22:O223,11,0)</f>
        <v>205</v>
      </c>
      <c r="S22" s="179">
        <f>VLOOKUP(A22,'OI(Value)'!A22:O223,11,0)</f>
        <v>205</v>
      </c>
    </row>
    <row r="23" spans="1:19" x14ac:dyDescent="0.25">
      <c r="A23" s="105" t="str">
        <f>'Data shares'!C18</f>
        <v>AUBANK</v>
      </c>
      <c r="B23" s="143">
        <f>VLOOKUP($A23,'Data shares'!$C:$FA,118)</f>
        <v>1.2</v>
      </c>
      <c r="C23" s="143">
        <f>VLOOKUP($A23,'Data shares'!$C:$FA,119)</f>
        <v>1.22</v>
      </c>
      <c r="D23" s="143">
        <f>VLOOKUP($A23,'Data shares'!$C:$FA,121)*100</f>
        <v>-1.6400000000000001</v>
      </c>
      <c r="E23" s="143">
        <f>VLOOKUP($A23,'Data shares'!$C:$FA,124)</f>
        <v>0.83</v>
      </c>
      <c r="F23" s="143">
        <f>VLOOKUP($A23,'Data shares'!$C:$FA,125)</f>
        <v>1.04</v>
      </c>
      <c r="G23" s="143">
        <f>VLOOKUP($A23,'Data shares'!$C:$FA,127)*100</f>
        <v>-20.190000000000001</v>
      </c>
      <c r="H23" s="103">
        <f>VLOOKUP($A23,'OI(Volume)'!$A$7:$O$427,8)</f>
        <v>8492000</v>
      </c>
      <c r="I23" s="103">
        <f>VLOOKUP($A23,'OI(Volume)'!$A$7:$O$427,9)</f>
        <v>-991000</v>
      </c>
      <c r="J23" s="103">
        <f>VLOOKUP($A23,'OI(Volume)'!$A$7:$O$427,11)</f>
        <v>10204000</v>
      </c>
      <c r="K23" s="103">
        <f>VLOOKUP($A23,'OI(Volume)'!$A$7:$O$427,12)</f>
        <v>-1350000</v>
      </c>
      <c r="L23" s="103">
        <f>VLOOKUP($A23,'OI(Value)'!$A$7:$O$306,8,0)</f>
        <v>734</v>
      </c>
      <c r="M23" s="103">
        <f>VLOOKUP($A23,'OI(Value)'!$A$7:$O$306,9,0)</f>
        <v>-86</v>
      </c>
      <c r="N23" s="103">
        <f>VLOOKUP($A23,'OI(Value)'!$A$7:$O$306,11,0)</f>
        <v>882</v>
      </c>
      <c r="O23" s="103">
        <f>VLOOKUP($A23,'OI(Value)'!$A$7:$O$306,12,0)</f>
        <v>-117</v>
      </c>
      <c r="P23" s="179">
        <f>VLOOKUP(A23,'OI(Value)'!A23:O224,8,0)</f>
        <v>734</v>
      </c>
      <c r="Q23" s="179">
        <f>VLOOKUP(A23,'OI(Value)'!A23:O224,9,0)</f>
        <v>-86</v>
      </c>
      <c r="R23" s="179">
        <f>VLOOKUP(A23,'OI(Value)'!A23:O224,11,0)</f>
        <v>882</v>
      </c>
      <c r="S23" s="179">
        <f>VLOOKUP(A23,'OI(Value)'!A23:O224,11,0)</f>
        <v>882</v>
      </c>
    </row>
    <row r="24" spans="1:19" x14ac:dyDescent="0.25">
      <c r="A24" s="105" t="str">
        <f>'Data shares'!C19</f>
        <v>AUROPHARMA</v>
      </c>
      <c r="B24" s="143">
        <f>VLOOKUP($A24,'Data shares'!$C:$FA,118)</f>
        <v>0.69</v>
      </c>
      <c r="C24" s="143">
        <f>VLOOKUP($A24,'Data shares'!$C:$FA,119)</f>
        <v>0.67</v>
      </c>
      <c r="D24" s="143">
        <f>VLOOKUP($A24,'Data shares'!$C:$FA,121)*100</f>
        <v>2.9899999999999998</v>
      </c>
      <c r="E24" s="143">
        <f>VLOOKUP($A24,'Data shares'!$C:$FA,124)</f>
        <v>0.57999999999999996</v>
      </c>
      <c r="F24" s="143">
        <f>VLOOKUP($A24,'Data shares'!$C:$FA,125)</f>
        <v>0.75</v>
      </c>
      <c r="G24" s="143">
        <f>VLOOKUP($A24,'Data shares'!$C:$FA,127)*100</f>
        <v>-22.67</v>
      </c>
      <c r="H24" s="103">
        <f>VLOOKUP($A24,'OI(Volume)'!$A$7:$O$427,8)</f>
        <v>5053400</v>
      </c>
      <c r="I24" s="103">
        <f>VLOOKUP($A24,'OI(Volume)'!$A$7:$O$427,9)</f>
        <v>99550</v>
      </c>
      <c r="J24" s="103">
        <f>VLOOKUP($A24,'OI(Volume)'!$A$7:$O$427,11)</f>
        <v>3487000</v>
      </c>
      <c r="K24" s="103">
        <f>VLOOKUP($A24,'OI(Volume)'!$A$7:$O$427,12)</f>
        <v>164450</v>
      </c>
      <c r="L24" s="103">
        <f>VLOOKUP($A24,'OI(Value)'!$A$7:$O$306,8,0)</f>
        <v>553</v>
      </c>
      <c r="M24" s="103">
        <f>VLOOKUP($A24,'OI(Value)'!$A$7:$O$306,9,0)</f>
        <v>11</v>
      </c>
      <c r="N24" s="103">
        <f>VLOOKUP($A24,'OI(Value)'!$A$7:$O$306,11,0)</f>
        <v>382</v>
      </c>
      <c r="O24" s="103">
        <f>VLOOKUP($A24,'OI(Value)'!$A$7:$O$306,12,0)</f>
        <v>18</v>
      </c>
      <c r="P24" s="179">
        <f>VLOOKUP(A24,'OI(Value)'!A24:O225,8,0)</f>
        <v>553</v>
      </c>
      <c r="Q24" s="179">
        <f>VLOOKUP(A24,'OI(Value)'!A24:O225,9,0)</f>
        <v>11</v>
      </c>
      <c r="R24" s="179">
        <f>VLOOKUP(A24,'OI(Value)'!A24:O225,11,0)</f>
        <v>382</v>
      </c>
      <c r="S24" s="179">
        <f>VLOOKUP(A24,'OI(Value)'!A24:O225,11,0)</f>
        <v>382</v>
      </c>
    </row>
    <row r="25" spans="1:19" x14ac:dyDescent="0.25">
      <c r="A25" s="105" t="str">
        <f>'Data shares'!C20</f>
        <v>AXISBANK</v>
      </c>
      <c r="B25" s="143">
        <f>VLOOKUP($A25,'Data shares'!$C:$FA,118)</f>
        <v>0.8</v>
      </c>
      <c r="C25" s="143">
        <f>VLOOKUP($A25,'Data shares'!$C:$FA,119)</f>
        <v>0.76</v>
      </c>
      <c r="D25" s="143">
        <f>VLOOKUP($A25,'Data shares'!$C:$FA,121)*100</f>
        <v>5.26</v>
      </c>
      <c r="E25" s="143">
        <f>VLOOKUP($A25,'Data shares'!$C:$FA,124)</f>
        <v>0.6</v>
      </c>
      <c r="F25" s="143">
        <f>VLOOKUP($A25,'Data shares'!$C:$FA,125)</f>
        <v>0.87</v>
      </c>
      <c r="G25" s="143">
        <f>VLOOKUP($A25,'Data shares'!$C:$FA,127)*100</f>
        <v>-31.03</v>
      </c>
      <c r="H25" s="103">
        <f>VLOOKUP($A25,'OI(Volume)'!$A$7:$O$427,8)</f>
        <v>27340000</v>
      </c>
      <c r="I25" s="103">
        <f>VLOOKUP($A25,'OI(Volume)'!$A$7:$O$427,9)</f>
        <v>-2318125</v>
      </c>
      <c r="J25" s="103">
        <f>VLOOKUP($A25,'OI(Volume)'!$A$7:$O$427,11)</f>
        <v>21743125</v>
      </c>
      <c r="K25" s="103">
        <f>VLOOKUP($A25,'OI(Volume)'!$A$7:$O$427,12)</f>
        <v>-651875</v>
      </c>
      <c r="L25" s="103">
        <f>VLOOKUP($A25,'OI(Value)'!$A$7:$O$306,8,0)</f>
        <v>3425</v>
      </c>
      <c r="M25" s="103">
        <f>VLOOKUP($A25,'OI(Value)'!$A$7:$O$306,9,0)</f>
        <v>-290</v>
      </c>
      <c r="N25" s="103">
        <f>VLOOKUP($A25,'OI(Value)'!$A$7:$O$306,11,0)</f>
        <v>2724</v>
      </c>
      <c r="O25" s="103">
        <f>VLOOKUP($A25,'OI(Value)'!$A$7:$O$306,12,0)</f>
        <v>-82</v>
      </c>
      <c r="P25" s="179">
        <f>VLOOKUP(A25,'OI(Value)'!A25:O226,8,0)</f>
        <v>3425</v>
      </c>
      <c r="Q25" s="179">
        <f>VLOOKUP(A25,'OI(Value)'!A25:O226,9,0)</f>
        <v>-290</v>
      </c>
      <c r="R25" s="179">
        <f>VLOOKUP(A25,'OI(Value)'!A25:O226,11,0)</f>
        <v>2724</v>
      </c>
      <c r="S25" s="179">
        <f>VLOOKUP(A25,'OI(Value)'!A25:O226,11,0)</f>
        <v>2724</v>
      </c>
    </row>
    <row r="26" spans="1:19" x14ac:dyDescent="0.25">
      <c r="A26" s="105" t="str">
        <f>'Data shares'!C21</f>
        <v>BAJAJ-AUTO</v>
      </c>
      <c r="B26" s="143">
        <f>VLOOKUP($A26,'Data shares'!$C:$FA,118)</f>
        <v>0.8</v>
      </c>
      <c r="C26" s="143">
        <f>VLOOKUP($A26,'Data shares'!$C:$FA,119)</f>
        <v>0.69</v>
      </c>
      <c r="D26" s="143">
        <f>VLOOKUP($A26,'Data shares'!$C:$FA,121)*100</f>
        <v>15.939999999999998</v>
      </c>
      <c r="E26" s="143">
        <f>VLOOKUP($A26,'Data shares'!$C:$FA,124)</f>
        <v>0.56999999999999995</v>
      </c>
      <c r="F26" s="143">
        <f>VLOOKUP($A26,'Data shares'!$C:$FA,125)</f>
        <v>0.64</v>
      </c>
      <c r="G26" s="143">
        <f>VLOOKUP($A26,'Data shares'!$C:$FA,127)*100</f>
        <v>-10.94</v>
      </c>
      <c r="H26" s="103">
        <f>VLOOKUP($A26,'OI(Volume)'!$A$7:$O$427,8)</f>
        <v>1174800</v>
      </c>
      <c r="I26" s="103">
        <f>VLOOKUP($A26,'OI(Volume)'!$A$7:$O$427,9)</f>
        <v>-195450</v>
      </c>
      <c r="J26" s="103">
        <f>VLOOKUP($A26,'OI(Volume)'!$A$7:$O$427,11)</f>
        <v>945150</v>
      </c>
      <c r="K26" s="103">
        <f>VLOOKUP($A26,'OI(Volume)'!$A$7:$O$427,12)</f>
        <v>-2325</v>
      </c>
      <c r="L26" s="103">
        <f>VLOOKUP($A26,'OI(Value)'!$A$7:$O$306,8,0)</f>
        <v>1071</v>
      </c>
      <c r="M26" s="103">
        <f>VLOOKUP($A26,'OI(Value)'!$A$7:$O$306,9,0)</f>
        <v>-178</v>
      </c>
      <c r="N26" s="103">
        <f>VLOOKUP($A26,'OI(Value)'!$A$7:$O$306,11,0)</f>
        <v>862</v>
      </c>
      <c r="O26" s="103">
        <f>VLOOKUP($A26,'OI(Value)'!$A$7:$O$306,12,0)</f>
        <v>-2</v>
      </c>
      <c r="P26" s="179">
        <f>VLOOKUP(A26,'OI(Value)'!A26:O227,8,0)</f>
        <v>1071</v>
      </c>
      <c r="Q26" s="179">
        <f>VLOOKUP(A26,'OI(Value)'!A26:O227,9,0)</f>
        <v>-178</v>
      </c>
      <c r="R26" s="179">
        <f>VLOOKUP(A26,'OI(Value)'!A26:O227,11,0)</f>
        <v>862</v>
      </c>
      <c r="S26" s="179">
        <f>VLOOKUP(A26,'OI(Value)'!A26:O227,11,0)</f>
        <v>862</v>
      </c>
    </row>
    <row r="27" spans="1:19" x14ac:dyDescent="0.25">
      <c r="A27" s="105" t="str">
        <f>'Data shares'!C22</f>
        <v>BAJAJFINSV</v>
      </c>
      <c r="B27" s="143">
        <f>VLOOKUP($A27,'Data shares'!$C:$FA,118)</f>
        <v>0.93</v>
      </c>
      <c r="C27" s="143">
        <f>VLOOKUP($A27,'Data shares'!$C:$FA,119)</f>
        <v>0.94</v>
      </c>
      <c r="D27" s="143">
        <f>VLOOKUP($A27,'Data shares'!$C:$FA,121)*100</f>
        <v>-1.06</v>
      </c>
      <c r="E27" s="143">
        <f>VLOOKUP($A27,'Data shares'!$C:$FA,124)</f>
        <v>0.94</v>
      </c>
      <c r="F27" s="143">
        <f>VLOOKUP($A27,'Data shares'!$C:$FA,125)</f>
        <v>1.03</v>
      </c>
      <c r="G27" s="143">
        <f>VLOOKUP($A27,'Data shares'!$C:$FA,127)*100</f>
        <v>-8.74</v>
      </c>
      <c r="H27" s="103">
        <f>VLOOKUP($A27,'OI(Volume)'!$A$7:$O$427,8)</f>
        <v>6716500</v>
      </c>
      <c r="I27" s="103">
        <f>VLOOKUP($A27,'OI(Volume)'!$A$7:$O$427,9)</f>
        <v>-146500</v>
      </c>
      <c r="J27" s="103">
        <f>VLOOKUP($A27,'OI(Volume)'!$A$7:$O$427,11)</f>
        <v>6270500</v>
      </c>
      <c r="K27" s="103">
        <f>VLOOKUP($A27,'OI(Volume)'!$A$7:$O$427,12)</f>
        <v>-179500</v>
      </c>
      <c r="L27" s="103">
        <f>VLOOKUP($A27,'OI(Value)'!$A$7:$O$306,8,0)</f>
        <v>1457</v>
      </c>
      <c r="M27" s="103">
        <f>VLOOKUP($A27,'OI(Value)'!$A$7:$O$306,9,0)</f>
        <v>-32</v>
      </c>
      <c r="N27" s="103">
        <f>VLOOKUP($A27,'OI(Value)'!$A$7:$O$306,11,0)</f>
        <v>1361</v>
      </c>
      <c r="O27" s="103">
        <f>VLOOKUP($A27,'OI(Value)'!$A$7:$O$306,12,0)</f>
        <v>-39</v>
      </c>
      <c r="P27" s="179">
        <f>VLOOKUP(A27,'OI(Value)'!A27:O228,8,0)</f>
        <v>1457</v>
      </c>
      <c r="Q27" s="179">
        <f>VLOOKUP(A27,'OI(Value)'!A27:O228,9,0)</f>
        <v>-32</v>
      </c>
      <c r="R27" s="179">
        <f>VLOOKUP(A27,'OI(Value)'!A27:O228,11,0)</f>
        <v>1361</v>
      </c>
      <c r="S27" s="179">
        <f>VLOOKUP(A27,'OI(Value)'!A27:O228,11,0)</f>
        <v>1361</v>
      </c>
    </row>
    <row r="28" spans="1:19" x14ac:dyDescent="0.25">
      <c r="A28" s="105" t="str">
        <f>'Data shares'!C23</f>
        <v>BAJFINANCE</v>
      </c>
      <c r="B28" s="143">
        <f>VLOOKUP($A28,'Data shares'!$C:$FA,118)</f>
        <v>1.0900000000000001</v>
      </c>
      <c r="C28" s="143">
        <f>VLOOKUP($A28,'Data shares'!$C:$FA,119)</f>
        <v>1.1399999999999999</v>
      </c>
      <c r="D28" s="143">
        <f>VLOOKUP($A28,'Data shares'!$C:$FA,121)*100</f>
        <v>-4.3900000000000006</v>
      </c>
      <c r="E28" s="143">
        <f>VLOOKUP($A28,'Data shares'!$C:$FA,124)</f>
        <v>1.02</v>
      </c>
      <c r="F28" s="143">
        <f>VLOOKUP($A28,'Data shares'!$C:$FA,125)</f>
        <v>1.18</v>
      </c>
      <c r="G28" s="143">
        <f>VLOOKUP($A28,'Data shares'!$C:$FA,127)*100</f>
        <v>-13.56</v>
      </c>
      <c r="H28" s="103">
        <f>VLOOKUP($A28,'OI(Volume)'!$A$7:$O$427,8)</f>
        <v>17707500</v>
      </c>
      <c r="I28" s="103">
        <f>VLOOKUP($A28,'OI(Volume)'!$A$7:$O$427,9)</f>
        <v>-1325250</v>
      </c>
      <c r="J28" s="103">
        <f>VLOOKUP($A28,'OI(Volume)'!$A$7:$O$427,11)</f>
        <v>19322250</v>
      </c>
      <c r="K28" s="103">
        <f>VLOOKUP($A28,'OI(Volume)'!$A$7:$O$427,12)</f>
        <v>-2427750</v>
      </c>
      <c r="L28" s="103">
        <f>VLOOKUP($A28,'OI(Value)'!$A$7:$O$306,8,0)</f>
        <v>1923</v>
      </c>
      <c r="M28" s="103">
        <f>VLOOKUP($A28,'OI(Value)'!$A$7:$O$306,9,0)</f>
        <v>-144</v>
      </c>
      <c r="N28" s="103">
        <f>VLOOKUP($A28,'OI(Value)'!$A$7:$O$306,11,0)</f>
        <v>2098</v>
      </c>
      <c r="O28" s="103">
        <f>VLOOKUP($A28,'OI(Value)'!$A$7:$O$306,12,0)</f>
        <v>-264</v>
      </c>
      <c r="P28" s="179">
        <f>VLOOKUP(A28,'OI(Value)'!A28:O229,8,0)</f>
        <v>1923</v>
      </c>
      <c r="Q28" s="179">
        <f>VLOOKUP(A28,'OI(Value)'!A28:O229,9,0)</f>
        <v>-144</v>
      </c>
      <c r="R28" s="179">
        <f>VLOOKUP(A28,'OI(Value)'!A28:O229,11,0)</f>
        <v>2098</v>
      </c>
      <c r="S28" s="179">
        <f>VLOOKUP(A28,'OI(Value)'!A28:O229,11,0)</f>
        <v>2098</v>
      </c>
    </row>
    <row r="29" spans="1:19" x14ac:dyDescent="0.25">
      <c r="A29" s="105" t="str">
        <f>'Data shares'!C24</f>
        <v>BANDHANBNK</v>
      </c>
      <c r="B29" s="143">
        <f>VLOOKUP($A29,'Data shares'!$C:$FA,118)</f>
        <v>0.97</v>
      </c>
      <c r="C29" s="143">
        <f>VLOOKUP($A29,'Data shares'!$C:$FA,119)</f>
        <v>0.95</v>
      </c>
      <c r="D29" s="143">
        <f>VLOOKUP($A29,'Data shares'!$C:$FA,121)*100</f>
        <v>2.11</v>
      </c>
      <c r="E29" s="143">
        <f>VLOOKUP($A29,'Data shares'!$C:$FA,124)</f>
        <v>0.71</v>
      </c>
      <c r="F29" s="143">
        <f>VLOOKUP($A29,'Data shares'!$C:$FA,125)</f>
        <v>0.46</v>
      </c>
      <c r="G29" s="143">
        <f>VLOOKUP($A29,'Data shares'!$C:$FA,127)*100</f>
        <v>54.35</v>
      </c>
      <c r="H29" s="103">
        <f>VLOOKUP($A29,'OI(Volume)'!$A$7:$O$427,8)</f>
        <v>37468800</v>
      </c>
      <c r="I29" s="103">
        <f>VLOOKUP($A29,'OI(Volume)'!$A$7:$O$427,9)</f>
        <v>-133200</v>
      </c>
      <c r="J29" s="103">
        <f>VLOOKUP($A29,'OI(Volume)'!$A$7:$O$427,11)</f>
        <v>36421200</v>
      </c>
      <c r="K29" s="103">
        <f>VLOOKUP($A29,'OI(Volume)'!$A$7:$O$427,12)</f>
        <v>561600</v>
      </c>
      <c r="L29" s="103">
        <f>VLOOKUP($A29,'OI(Value)'!$A$7:$O$306,8,0)</f>
        <v>644</v>
      </c>
      <c r="M29" s="103">
        <f>VLOOKUP($A29,'OI(Value)'!$A$7:$O$306,9,0)</f>
        <v>-2</v>
      </c>
      <c r="N29" s="103">
        <f>VLOOKUP($A29,'OI(Value)'!$A$7:$O$306,11,0)</f>
        <v>626</v>
      </c>
      <c r="O29" s="103">
        <f>VLOOKUP($A29,'OI(Value)'!$A$7:$O$306,12,0)</f>
        <v>10</v>
      </c>
      <c r="P29" s="179">
        <f>VLOOKUP(A29,'OI(Value)'!A29:O230,8,0)</f>
        <v>644</v>
      </c>
      <c r="Q29" s="179">
        <f>VLOOKUP(A29,'OI(Value)'!A29:O230,9,0)</f>
        <v>-2</v>
      </c>
      <c r="R29" s="179">
        <f>VLOOKUP(A29,'OI(Value)'!A29:O230,11,0)</f>
        <v>626</v>
      </c>
      <c r="S29" s="179">
        <f>VLOOKUP(A29,'OI(Value)'!A29:O230,11,0)</f>
        <v>626</v>
      </c>
    </row>
    <row r="30" spans="1:19" x14ac:dyDescent="0.25">
      <c r="A30" s="105" t="str">
        <f>'Data shares'!C25</f>
        <v>BANKBARODA</v>
      </c>
      <c r="B30" s="143">
        <f>VLOOKUP($A30,'Data shares'!$C:$FA,118)</f>
        <v>0.85</v>
      </c>
      <c r="C30" s="143">
        <f>VLOOKUP($A30,'Data shares'!$C:$FA,119)</f>
        <v>0.72</v>
      </c>
      <c r="D30" s="143">
        <f>VLOOKUP($A30,'Data shares'!$C:$FA,121)*100</f>
        <v>18.060000000000002</v>
      </c>
      <c r="E30" s="143">
        <f>VLOOKUP($A30,'Data shares'!$C:$FA,124)</f>
        <v>0.48</v>
      </c>
      <c r="F30" s="143">
        <f>VLOOKUP($A30,'Data shares'!$C:$FA,125)</f>
        <v>0.5</v>
      </c>
      <c r="G30" s="143">
        <f>VLOOKUP($A30,'Data shares'!$C:$FA,127)*100</f>
        <v>-4</v>
      </c>
      <c r="H30" s="103">
        <f>VLOOKUP($A30,'OI(Volume)'!$A$7:$O$427,8)</f>
        <v>46653750</v>
      </c>
      <c r="I30" s="103">
        <f>VLOOKUP($A30,'OI(Volume)'!$A$7:$O$427,9)</f>
        <v>-4156425</v>
      </c>
      <c r="J30" s="103">
        <f>VLOOKUP($A30,'OI(Volume)'!$A$7:$O$427,11)</f>
        <v>39882375</v>
      </c>
      <c r="K30" s="103">
        <f>VLOOKUP($A30,'OI(Volume)'!$A$7:$O$427,12)</f>
        <v>3410550</v>
      </c>
      <c r="L30" s="103">
        <f>VLOOKUP($A30,'OI(Value)'!$A$7:$O$306,8,0)</f>
        <v>1275</v>
      </c>
      <c r="M30" s="103">
        <f>VLOOKUP($A30,'OI(Value)'!$A$7:$O$306,9,0)</f>
        <v>-114</v>
      </c>
      <c r="N30" s="103">
        <f>VLOOKUP($A30,'OI(Value)'!$A$7:$O$306,11,0)</f>
        <v>1090</v>
      </c>
      <c r="O30" s="103">
        <f>VLOOKUP($A30,'OI(Value)'!$A$7:$O$306,12,0)</f>
        <v>93</v>
      </c>
      <c r="P30" s="179">
        <f>VLOOKUP(A30,'OI(Value)'!A30:O231,8,0)</f>
        <v>1275</v>
      </c>
      <c r="Q30" s="179">
        <f>VLOOKUP(A30,'OI(Value)'!A30:O231,9,0)</f>
        <v>-114</v>
      </c>
      <c r="R30" s="179">
        <f>VLOOKUP(A30,'OI(Value)'!A30:O231,11,0)</f>
        <v>1090</v>
      </c>
      <c r="S30" s="179">
        <f>VLOOKUP(A30,'OI(Value)'!A30:O231,11,0)</f>
        <v>1090</v>
      </c>
    </row>
    <row r="31" spans="1:19" x14ac:dyDescent="0.25">
      <c r="A31" s="105" t="str">
        <f>'Data shares'!C26</f>
        <v>BANKINDIA</v>
      </c>
      <c r="B31" s="143">
        <f>VLOOKUP($A31,'Data shares'!$C:$FA,118)</f>
        <v>0.98</v>
      </c>
      <c r="C31" s="143">
        <f>VLOOKUP($A31,'Data shares'!$C:$FA,119)</f>
        <v>0.93</v>
      </c>
      <c r="D31" s="143">
        <f>VLOOKUP($A31,'Data shares'!$C:$FA,121)*100</f>
        <v>5.38</v>
      </c>
      <c r="E31" s="143">
        <f>VLOOKUP($A31,'Data shares'!$C:$FA,124)</f>
        <v>0.32</v>
      </c>
      <c r="F31" s="143">
        <f>VLOOKUP($A31,'Data shares'!$C:$FA,125)</f>
        <v>0.74</v>
      </c>
      <c r="G31" s="143">
        <f>VLOOKUP($A31,'Data shares'!$C:$FA,127)*100</f>
        <v>-56.76</v>
      </c>
      <c r="H31" s="103">
        <f>VLOOKUP($A31,'OI(Volume)'!$A$7:$O$427,8)</f>
        <v>29000400</v>
      </c>
      <c r="I31" s="103">
        <f>VLOOKUP($A31,'OI(Volume)'!$A$7:$O$427,9)</f>
        <v>2272400</v>
      </c>
      <c r="J31" s="103">
        <f>VLOOKUP($A31,'OI(Volume)'!$A$7:$O$427,11)</f>
        <v>28563600</v>
      </c>
      <c r="K31" s="103">
        <f>VLOOKUP($A31,'OI(Volume)'!$A$7:$O$427,12)</f>
        <v>3822000</v>
      </c>
      <c r="L31" s="103">
        <f>VLOOKUP($A31,'OI(Value)'!$A$7:$O$306,8,0)</f>
        <v>406</v>
      </c>
      <c r="M31" s="103">
        <f>VLOOKUP($A31,'OI(Value)'!$A$7:$O$306,9,0)</f>
        <v>32</v>
      </c>
      <c r="N31" s="103">
        <f>VLOOKUP($A31,'OI(Value)'!$A$7:$O$306,11,0)</f>
        <v>399</v>
      </c>
      <c r="O31" s="103">
        <f>VLOOKUP($A31,'OI(Value)'!$A$7:$O$306,12,0)</f>
        <v>53</v>
      </c>
      <c r="P31" s="179">
        <f>VLOOKUP(A31,'OI(Value)'!A31:O232,8,0)</f>
        <v>406</v>
      </c>
      <c r="Q31" s="179">
        <f>VLOOKUP(A31,'OI(Value)'!A31:O232,9,0)</f>
        <v>32</v>
      </c>
      <c r="R31" s="179">
        <f>VLOOKUP(A31,'OI(Value)'!A31:O232,11,0)</f>
        <v>399</v>
      </c>
      <c r="S31" s="179">
        <f>VLOOKUP(A31,'OI(Value)'!A31:O232,11,0)</f>
        <v>399</v>
      </c>
    </row>
    <row r="32" spans="1:19" x14ac:dyDescent="0.25">
      <c r="A32" s="105" t="str">
        <f>'Data shares'!C27</f>
        <v>BANKNIFTY</v>
      </c>
      <c r="B32" s="143">
        <f>VLOOKUP($A32,'Data shares'!$C:$FA,118)</f>
        <v>1.08</v>
      </c>
      <c r="C32" s="143">
        <f>VLOOKUP($A32,'Data shares'!$C:$FA,119)</f>
        <v>0.88</v>
      </c>
      <c r="D32" s="143">
        <f>VLOOKUP($A32,'Data shares'!$C:$FA,121)*100</f>
        <v>22.73</v>
      </c>
      <c r="E32" s="143">
        <f>VLOOKUP($A32,'Data shares'!$C:$FA,124)</f>
        <v>0.91</v>
      </c>
      <c r="F32" s="143">
        <f>VLOOKUP($A32,'Data shares'!$C:$FA,125)</f>
        <v>1.03</v>
      </c>
      <c r="G32" s="143">
        <f>VLOOKUP($A32,'Data shares'!$C:$FA,127)*100</f>
        <v>-11.65</v>
      </c>
      <c r="H32" s="103">
        <f>VLOOKUP($A32,'OI(Volume)'!$A$7:$O$427,8)</f>
        <v>28255830</v>
      </c>
      <c r="I32" s="103">
        <f>VLOOKUP($A32,'OI(Volume)'!$A$7:$O$427,9)</f>
        <v>-2874515</v>
      </c>
      <c r="J32" s="103">
        <f>VLOOKUP($A32,'OI(Volume)'!$A$7:$O$427,11)</f>
        <v>30628810</v>
      </c>
      <c r="K32" s="103">
        <f>VLOOKUP($A32,'OI(Volume)'!$A$7:$O$427,12)</f>
        <v>3086405</v>
      </c>
      <c r="L32" s="103">
        <f>VLOOKUP($A32,'OI(Value)'!$A$7:$O$306,8,0)</f>
        <v>164401</v>
      </c>
      <c r="M32" s="103">
        <f>VLOOKUP($A32,'OI(Value)'!$A$7:$O$306,9,0)</f>
        <v>-16725</v>
      </c>
      <c r="N32" s="103">
        <f>VLOOKUP($A32,'OI(Value)'!$A$7:$O$306,11,0)</f>
        <v>178208</v>
      </c>
      <c r="O32" s="103">
        <f>VLOOKUP($A32,'OI(Value)'!$A$7:$O$306,12,0)</f>
        <v>17958</v>
      </c>
      <c r="P32" s="179">
        <f>VLOOKUP(A32,'OI(Value)'!A32:O233,8,0)</f>
        <v>164401</v>
      </c>
      <c r="Q32" s="179">
        <f>VLOOKUP(A32,'OI(Value)'!A32:O233,9,0)</f>
        <v>-16725</v>
      </c>
      <c r="R32" s="179">
        <f>VLOOKUP(A32,'OI(Value)'!A32:O233,11,0)</f>
        <v>178208</v>
      </c>
      <c r="S32" s="179">
        <f>VLOOKUP(A32,'OI(Value)'!A32:O233,11,0)</f>
        <v>178208</v>
      </c>
    </row>
    <row r="33" spans="1:19" x14ac:dyDescent="0.25">
      <c r="A33" s="105" t="str">
        <f>'Data shares'!C28</f>
        <v>BDL</v>
      </c>
      <c r="B33" s="143">
        <f>VLOOKUP($A33,'Data shares'!$C:$FA,118)</f>
        <v>0.7</v>
      </c>
      <c r="C33" s="143">
        <f>VLOOKUP($A33,'Data shares'!$C:$FA,119)</f>
        <v>0.61</v>
      </c>
      <c r="D33" s="143">
        <f>VLOOKUP($A33,'Data shares'!$C:$FA,121)*100</f>
        <v>14.75</v>
      </c>
      <c r="E33" s="143">
        <f>VLOOKUP($A33,'Data shares'!$C:$FA,124)</f>
        <v>0.5</v>
      </c>
      <c r="F33" s="143">
        <f>VLOOKUP($A33,'Data shares'!$C:$FA,125)</f>
        <v>0.23</v>
      </c>
      <c r="G33" s="143">
        <f>VLOOKUP($A33,'Data shares'!$C:$FA,127)*100</f>
        <v>117.39</v>
      </c>
      <c r="H33" s="103">
        <f>VLOOKUP($A33,'OI(Volume)'!$A$7:$O$427,8)</f>
        <v>3070275</v>
      </c>
      <c r="I33" s="103">
        <f>VLOOKUP($A33,'OI(Volume)'!$A$7:$O$427,9)</f>
        <v>-699400</v>
      </c>
      <c r="J33" s="103">
        <f>VLOOKUP($A33,'OI(Volume)'!$A$7:$O$427,11)</f>
        <v>2152150</v>
      </c>
      <c r="K33" s="103">
        <f>VLOOKUP($A33,'OI(Volume)'!$A$7:$O$427,12)</f>
        <v>-134225</v>
      </c>
      <c r="L33" s="103">
        <f>VLOOKUP($A33,'OI(Value)'!$A$7:$O$306,8,0)</f>
        <v>472</v>
      </c>
      <c r="M33" s="103">
        <f>VLOOKUP($A33,'OI(Value)'!$A$7:$O$306,9,0)</f>
        <v>-108</v>
      </c>
      <c r="N33" s="103">
        <f>VLOOKUP($A33,'OI(Value)'!$A$7:$O$306,11,0)</f>
        <v>331</v>
      </c>
      <c r="O33" s="103">
        <f>VLOOKUP($A33,'OI(Value)'!$A$7:$O$306,12,0)</f>
        <v>-21</v>
      </c>
      <c r="P33" s="179">
        <f>VLOOKUP(A33,'OI(Value)'!A33:O234,8,0)</f>
        <v>472</v>
      </c>
      <c r="Q33" s="179">
        <f>VLOOKUP(A33,'OI(Value)'!A33:O234,9,0)</f>
        <v>-108</v>
      </c>
      <c r="R33" s="179">
        <f>VLOOKUP(A33,'OI(Value)'!A33:O234,11,0)</f>
        <v>331</v>
      </c>
      <c r="S33" s="179">
        <f>VLOOKUP(A33,'OI(Value)'!A33:O234,11,0)</f>
        <v>331</v>
      </c>
    </row>
    <row r="34" spans="1:19" x14ac:dyDescent="0.25">
      <c r="A34" s="105" t="str">
        <f>'Data shares'!C29</f>
        <v>BEL</v>
      </c>
      <c r="B34" s="143">
        <f>VLOOKUP($A34,'Data shares'!$C:$FA,118)</f>
        <v>0.71</v>
      </c>
      <c r="C34" s="143">
        <f>VLOOKUP($A34,'Data shares'!$C:$FA,119)</f>
        <v>0.67</v>
      </c>
      <c r="D34" s="143">
        <f>VLOOKUP($A34,'Data shares'!$C:$FA,121)*100</f>
        <v>5.9700000000000006</v>
      </c>
      <c r="E34" s="143">
        <f>VLOOKUP($A34,'Data shares'!$C:$FA,124)</f>
        <v>0.49</v>
      </c>
      <c r="F34" s="143">
        <f>VLOOKUP($A34,'Data shares'!$C:$FA,125)</f>
        <v>0.42</v>
      </c>
      <c r="G34" s="143">
        <f>VLOOKUP($A34,'Data shares'!$C:$FA,127)*100</f>
        <v>16.669999999999998</v>
      </c>
      <c r="H34" s="103">
        <f>VLOOKUP($A34,'OI(Volume)'!$A$7:$O$427,8)</f>
        <v>62030250</v>
      </c>
      <c r="I34" s="103">
        <f>VLOOKUP($A34,'OI(Volume)'!$A$7:$O$427,9)</f>
        <v>-2140350</v>
      </c>
      <c r="J34" s="103">
        <f>VLOOKUP($A34,'OI(Volume)'!$A$7:$O$427,11)</f>
        <v>43992600</v>
      </c>
      <c r="K34" s="103">
        <f>VLOOKUP($A34,'OI(Volume)'!$A$7:$O$427,12)</f>
        <v>926250</v>
      </c>
      <c r="L34" s="103">
        <f>VLOOKUP($A34,'OI(Value)'!$A$7:$O$306,8,0)</f>
        <v>2573</v>
      </c>
      <c r="M34" s="103">
        <f>VLOOKUP($A34,'OI(Value)'!$A$7:$O$306,9,0)</f>
        <v>-89</v>
      </c>
      <c r="N34" s="103">
        <f>VLOOKUP($A34,'OI(Value)'!$A$7:$O$306,11,0)</f>
        <v>1825</v>
      </c>
      <c r="O34" s="103">
        <f>VLOOKUP($A34,'OI(Value)'!$A$7:$O$306,12,0)</f>
        <v>38</v>
      </c>
      <c r="P34" s="179">
        <f>VLOOKUP(A34,'OI(Value)'!A34:O235,8,0)</f>
        <v>2573</v>
      </c>
      <c r="Q34" s="179">
        <f>VLOOKUP(A34,'OI(Value)'!A34:O235,9,0)</f>
        <v>-89</v>
      </c>
      <c r="R34" s="179">
        <f>VLOOKUP(A34,'OI(Value)'!A34:O235,11,0)</f>
        <v>1825</v>
      </c>
      <c r="S34" s="179">
        <f>VLOOKUP(A34,'OI(Value)'!A34:O235,11,0)</f>
        <v>1825</v>
      </c>
    </row>
    <row r="35" spans="1:19" x14ac:dyDescent="0.25">
      <c r="A35" s="105" t="str">
        <f>'Data shares'!C30</f>
        <v>BHARATFORG</v>
      </c>
      <c r="B35" s="143">
        <f>VLOOKUP($A35,'Data shares'!$C:$FA,118)</f>
        <v>0.73</v>
      </c>
      <c r="C35" s="143">
        <f>VLOOKUP($A35,'Data shares'!$C:$FA,119)</f>
        <v>0.72</v>
      </c>
      <c r="D35" s="143">
        <f>VLOOKUP($A35,'Data shares'!$C:$FA,121)*100</f>
        <v>1.39</v>
      </c>
      <c r="E35" s="143">
        <f>VLOOKUP($A35,'Data shares'!$C:$FA,124)</f>
        <v>0.52</v>
      </c>
      <c r="F35" s="143">
        <f>VLOOKUP($A35,'Data shares'!$C:$FA,125)</f>
        <v>0.63</v>
      </c>
      <c r="G35" s="143">
        <f>VLOOKUP($A35,'Data shares'!$C:$FA,127)*100</f>
        <v>-17.46</v>
      </c>
      <c r="H35" s="103">
        <f>VLOOKUP($A35,'OI(Volume)'!$A$7:$O$427,8)</f>
        <v>3837000</v>
      </c>
      <c r="I35" s="103">
        <f>VLOOKUP($A35,'OI(Volume)'!$A$7:$O$427,9)</f>
        <v>-154000</v>
      </c>
      <c r="J35" s="103">
        <f>VLOOKUP($A35,'OI(Volume)'!$A$7:$O$427,11)</f>
        <v>2814500</v>
      </c>
      <c r="K35" s="103">
        <f>VLOOKUP($A35,'OI(Volume)'!$A$7:$O$427,12)</f>
        <v>-44000</v>
      </c>
      <c r="L35" s="103">
        <f>VLOOKUP($A35,'OI(Value)'!$A$7:$O$306,8,0)</f>
        <v>500</v>
      </c>
      <c r="M35" s="103">
        <f>VLOOKUP($A35,'OI(Value)'!$A$7:$O$306,9,0)</f>
        <v>-20</v>
      </c>
      <c r="N35" s="103">
        <f>VLOOKUP($A35,'OI(Value)'!$A$7:$O$306,11,0)</f>
        <v>367</v>
      </c>
      <c r="O35" s="103">
        <f>VLOOKUP($A35,'OI(Value)'!$A$7:$O$306,12,0)</f>
        <v>-6</v>
      </c>
      <c r="P35" s="179">
        <f>VLOOKUP(A35,'OI(Value)'!A35:O236,8,0)</f>
        <v>500</v>
      </c>
      <c r="Q35" s="179">
        <f>VLOOKUP(A35,'OI(Value)'!A35:O236,9,0)</f>
        <v>-20</v>
      </c>
      <c r="R35" s="179">
        <f>VLOOKUP(A35,'OI(Value)'!A35:O236,11,0)</f>
        <v>367</v>
      </c>
      <c r="S35" s="179">
        <f>VLOOKUP(A35,'OI(Value)'!A35:O236,11,0)</f>
        <v>367</v>
      </c>
    </row>
    <row r="36" spans="1:19" x14ac:dyDescent="0.25">
      <c r="A36" s="105" t="str">
        <f>'Data shares'!C31</f>
        <v>BHARTIARTL</v>
      </c>
      <c r="B36" s="143">
        <f>VLOOKUP($A36,'Data shares'!$C:$FA,118)</f>
        <v>0.74</v>
      </c>
      <c r="C36" s="143">
        <f>VLOOKUP($A36,'Data shares'!$C:$FA,119)</f>
        <v>0.67</v>
      </c>
      <c r="D36" s="143">
        <f>VLOOKUP($A36,'Data shares'!$C:$FA,121)*100</f>
        <v>10.45</v>
      </c>
      <c r="E36" s="143">
        <f>VLOOKUP($A36,'Data shares'!$C:$FA,124)</f>
        <v>0.37</v>
      </c>
      <c r="F36" s="143">
        <f>VLOOKUP($A36,'Data shares'!$C:$FA,125)</f>
        <v>0.5</v>
      </c>
      <c r="G36" s="143">
        <f>VLOOKUP($A36,'Data shares'!$C:$FA,127)*100</f>
        <v>-26</v>
      </c>
      <c r="H36" s="103">
        <f>VLOOKUP($A36,'OI(Volume)'!$A$7:$O$427,8)</f>
        <v>15760975</v>
      </c>
      <c r="I36" s="103">
        <f>VLOOKUP($A36,'OI(Volume)'!$A$7:$O$427,9)</f>
        <v>-96425</v>
      </c>
      <c r="J36" s="103">
        <f>VLOOKUP($A36,'OI(Volume)'!$A$7:$O$427,11)</f>
        <v>11702100</v>
      </c>
      <c r="K36" s="103">
        <f>VLOOKUP($A36,'OI(Volume)'!$A$7:$O$427,12)</f>
        <v>1027425</v>
      </c>
      <c r="L36" s="103">
        <f>VLOOKUP($A36,'OI(Value)'!$A$7:$O$306,8,0)</f>
        <v>3273</v>
      </c>
      <c r="M36" s="103">
        <f>VLOOKUP($A36,'OI(Value)'!$A$7:$O$306,9,0)</f>
        <v>-20</v>
      </c>
      <c r="N36" s="103">
        <f>VLOOKUP($A36,'OI(Value)'!$A$7:$O$306,11,0)</f>
        <v>2430</v>
      </c>
      <c r="O36" s="103">
        <f>VLOOKUP($A36,'OI(Value)'!$A$7:$O$306,12,0)</f>
        <v>213</v>
      </c>
      <c r="P36" s="179">
        <f>VLOOKUP(A36,'OI(Value)'!A36:O237,8,0)</f>
        <v>3273</v>
      </c>
      <c r="Q36" s="179">
        <f>VLOOKUP(A36,'OI(Value)'!A36:O237,9,0)</f>
        <v>-20</v>
      </c>
      <c r="R36" s="179">
        <f>VLOOKUP(A36,'OI(Value)'!A36:O237,11,0)</f>
        <v>2430</v>
      </c>
      <c r="S36" s="179">
        <f>VLOOKUP(A36,'OI(Value)'!A36:O237,11,0)</f>
        <v>2430</v>
      </c>
    </row>
    <row r="37" spans="1:19" x14ac:dyDescent="0.25">
      <c r="A37" s="105" t="str">
        <f>'Data shares'!C32</f>
        <v>BHEL</v>
      </c>
      <c r="B37" s="143">
        <f>VLOOKUP($A37,'Data shares'!$C:$FA,118)</f>
        <v>0.64</v>
      </c>
      <c r="C37" s="143">
        <f>VLOOKUP($A37,'Data shares'!$C:$FA,119)</f>
        <v>0.54</v>
      </c>
      <c r="D37" s="143">
        <f>VLOOKUP($A37,'Data shares'!$C:$FA,121)*100</f>
        <v>18.52</v>
      </c>
      <c r="E37" s="143">
        <f>VLOOKUP($A37,'Data shares'!$C:$FA,124)</f>
        <v>0.49</v>
      </c>
      <c r="F37" s="143">
        <f>VLOOKUP($A37,'Data shares'!$C:$FA,125)</f>
        <v>0.51</v>
      </c>
      <c r="G37" s="143">
        <f>VLOOKUP($A37,'Data shares'!$C:$FA,127)*100</f>
        <v>-3.92</v>
      </c>
      <c r="H37" s="103">
        <f>VLOOKUP($A37,'OI(Volume)'!$A$7:$O$427,8)</f>
        <v>28932750</v>
      </c>
      <c r="I37" s="103">
        <f>VLOOKUP($A37,'OI(Volume)'!$A$7:$O$427,9)</f>
        <v>-2044875</v>
      </c>
      <c r="J37" s="103">
        <f>VLOOKUP($A37,'OI(Volume)'!$A$7:$O$427,11)</f>
        <v>18456375</v>
      </c>
      <c r="K37" s="103">
        <f>VLOOKUP($A37,'OI(Volume)'!$A$7:$O$427,12)</f>
        <v>1724625</v>
      </c>
      <c r="L37" s="103">
        <f>VLOOKUP($A37,'OI(Value)'!$A$7:$O$306,8,0)</f>
        <v>681</v>
      </c>
      <c r="M37" s="103">
        <f>VLOOKUP($A37,'OI(Value)'!$A$7:$O$306,9,0)</f>
        <v>-48</v>
      </c>
      <c r="N37" s="103">
        <f>VLOOKUP($A37,'OI(Value)'!$A$7:$O$306,11,0)</f>
        <v>435</v>
      </c>
      <c r="O37" s="103">
        <f>VLOOKUP($A37,'OI(Value)'!$A$7:$O$306,12,0)</f>
        <v>41</v>
      </c>
      <c r="P37" s="179">
        <f>VLOOKUP(A37,'OI(Value)'!A37:O238,8,0)</f>
        <v>681</v>
      </c>
      <c r="Q37" s="179">
        <f>VLOOKUP(A37,'OI(Value)'!A37:O238,9,0)</f>
        <v>-48</v>
      </c>
      <c r="R37" s="179">
        <f>VLOOKUP(A37,'OI(Value)'!A37:O238,11,0)</f>
        <v>435</v>
      </c>
      <c r="S37" s="179">
        <f>VLOOKUP(A37,'OI(Value)'!A37:O238,11,0)</f>
        <v>435</v>
      </c>
    </row>
    <row r="38" spans="1:19" x14ac:dyDescent="0.25">
      <c r="A38" s="105" t="str">
        <f>'Data shares'!C33</f>
        <v>BIOCON</v>
      </c>
      <c r="B38" s="143">
        <f>VLOOKUP($A38,'Data shares'!$C:$FA,118)</f>
        <v>0.68</v>
      </c>
      <c r="C38" s="143">
        <f>VLOOKUP($A38,'Data shares'!$C:$FA,119)</f>
        <v>0.68</v>
      </c>
      <c r="D38" s="143">
        <f>VLOOKUP($A38,'Data shares'!$C:$FA,121)*100</f>
        <v>0</v>
      </c>
      <c r="E38" s="143">
        <f>VLOOKUP($A38,'Data shares'!$C:$FA,124)</f>
        <v>0.71</v>
      </c>
      <c r="F38" s="143">
        <f>VLOOKUP($A38,'Data shares'!$C:$FA,125)</f>
        <v>0.65</v>
      </c>
      <c r="G38" s="143">
        <f>VLOOKUP($A38,'Data shares'!$C:$FA,127)*100</f>
        <v>9.2299999999999986</v>
      </c>
      <c r="H38" s="103">
        <f>VLOOKUP($A38,'OI(Volume)'!$A$7:$O$427,8)</f>
        <v>14917500</v>
      </c>
      <c r="I38" s="103">
        <f>VLOOKUP($A38,'OI(Volume)'!$A$7:$O$427,9)</f>
        <v>-582500</v>
      </c>
      <c r="J38" s="103">
        <f>VLOOKUP($A38,'OI(Volume)'!$A$7:$O$427,11)</f>
        <v>10200000</v>
      </c>
      <c r="K38" s="103">
        <f>VLOOKUP($A38,'OI(Volume)'!$A$7:$O$427,12)</f>
        <v>-367500</v>
      </c>
      <c r="L38" s="103">
        <f>VLOOKUP($A38,'OI(Value)'!$A$7:$O$306,8,0)</f>
        <v>537</v>
      </c>
      <c r="M38" s="103">
        <f>VLOOKUP($A38,'OI(Value)'!$A$7:$O$306,9,0)</f>
        <v>-21</v>
      </c>
      <c r="N38" s="103">
        <f>VLOOKUP($A38,'OI(Value)'!$A$7:$O$306,11,0)</f>
        <v>367</v>
      </c>
      <c r="O38" s="103">
        <f>VLOOKUP($A38,'OI(Value)'!$A$7:$O$306,12,0)</f>
        <v>-13</v>
      </c>
      <c r="P38" s="179">
        <f>VLOOKUP(A38,'OI(Value)'!A38:O239,8,0)</f>
        <v>537</v>
      </c>
      <c r="Q38" s="179">
        <f>VLOOKUP(A38,'OI(Value)'!A38:O239,9,0)</f>
        <v>-21</v>
      </c>
      <c r="R38" s="179">
        <f>VLOOKUP(A38,'OI(Value)'!A38:O239,11,0)</f>
        <v>367</v>
      </c>
      <c r="S38" s="179">
        <f>VLOOKUP(A38,'OI(Value)'!A38:O239,11,0)</f>
        <v>367</v>
      </c>
    </row>
    <row r="39" spans="1:19" x14ac:dyDescent="0.25">
      <c r="A39" s="105" t="str">
        <f>'Data shares'!C34</f>
        <v>BLUESTARCO</v>
      </c>
      <c r="B39" s="143">
        <f>VLOOKUP($A39,'Data shares'!$C:$FA,118)</f>
        <v>0.49</v>
      </c>
      <c r="C39" s="143">
        <f>VLOOKUP($A39,'Data shares'!$C:$FA,119)</f>
        <v>0.51</v>
      </c>
      <c r="D39" s="143">
        <f>VLOOKUP($A39,'Data shares'!$C:$FA,121)*100</f>
        <v>-3.92</v>
      </c>
      <c r="E39" s="143">
        <f>VLOOKUP($A39,'Data shares'!$C:$FA,124)</f>
        <v>0.36</v>
      </c>
      <c r="F39" s="143">
        <f>VLOOKUP($A39,'Data shares'!$C:$FA,125)</f>
        <v>0.28000000000000003</v>
      </c>
      <c r="G39" s="143">
        <f>VLOOKUP($A39,'Data shares'!$C:$FA,127)*100</f>
        <v>28.57</v>
      </c>
      <c r="H39" s="103">
        <f>VLOOKUP($A39,'OI(Volume)'!$A$7:$O$427,8)</f>
        <v>886275</v>
      </c>
      <c r="I39" s="103">
        <f>VLOOKUP($A39,'OI(Volume)'!$A$7:$O$427,9)</f>
        <v>-114075</v>
      </c>
      <c r="J39" s="103">
        <f>VLOOKUP($A39,'OI(Volume)'!$A$7:$O$427,11)</f>
        <v>432250</v>
      </c>
      <c r="K39" s="103">
        <f>VLOOKUP($A39,'OI(Volume)'!$A$7:$O$427,12)</f>
        <v>-82875</v>
      </c>
      <c r="L39" s="103">
        <f>VLOOKUP($A39,'OI(Value)'!$A$7:$O$306,8,0)</f>
        <v>176</v>
      </c>
      <c r="M39" s="103">
        <f>VLOOKUP($A39,'OI(Value)'!$A$7:$O$306,9,0)</f>
        <v>-23</v>
      </c>
      <c r="N39" s="103">
        <f>VLOOKUP($A39,'OI(Value)'!$A$7:$O$306,11,0)</f>
        <v>86</v>
      </c>
      <c r="O39" s="103">
        <f>VLOOKUP($A39,'OI(Value)'!$A$7:$O$306,12,0)</f>
        <v>-16</v>
      </c>
      <c r="P39" s="179">
        <f>VLOOKUP(A39,'OI(Value)'!A39:O240,8,0)</f>
        <v>176</v>
      </c>
      <c r="Q39" s="179">
        <f>VLOOKUP(A39,'OI(Value)'!A39:O240,9,0)</f>
        <v>-23</v>
      </c>
      <c r="R39" s="179">
        <f>VLOOKUP(A39,'OI(Value)'!A39:O240,11,0)</f>
        <v>86</v>
      </c>
      <c r="S39" s="179">
        <f>VLOOKUP(A39,'OI(Value)'!A39:O240,11,0)</f>
        <v>86</v>
      </c>
    </row>
    <row r="40" spans="1:19" x14ac:dyDescent="0.25">
      <c r="A40" s="105" t="str">
        <f>'Data shares'!C35</f>
        <v>BOSCHLTD</v>
      </c>
      <c r="B40" s="143">
        <f>VLOOKUP($A40,'Data shares'!$C:$FA,118)</f>
        <v>0.59</v>
      </c>
      <c r="C40" s="143">
        <f>VLOOKUP($A40,'Data shares'!$C:$FA,119)</f>
        <v>0.64</v>
      </c>
      <c r="D40" s="143">
        <f>VLOOKUP($A40,'Data shares'!$C:$FA,121)*100</f>
        <v>-7.8100000000000005</v>
      </c>
      <c r="E40" s="143">
        <f>VLOOKUP($A40,'Data shares'!$C:$FA,124)</f>
        <v>0.26</v>
      </c>
      <c r="F40" s="143">
        <f>VLOOKUP($A40,'Data shares'!$C:$FA,125)</f>
        <v>0.4</v>
      </c>
      <c r="G40" s="143">
        <f>VLOOKUP($A40,'Data shares'!$C:$FA,127)*100</f>
        <v>-35</v>
      </c>
      <c r="H40" s="103">
        <f>VLOOKUP($A40,'OI(Volume)'!$A$7:$O$427,8)</f>
        <v>77600</v>
      </c>
      <c r="I40" s="103">
        <f>VLOOKUP($A40,'OI(Volume)'!$A$7:$O$427,9)</f>
        <v>2200</v>
      </c>
      <c r="J40" s="103">
        <f>VLOOKUP($A40,'OI(Volume)'!$A$7:$O$427,11)</f>
        <v>45525</v>
      </c>
      <c r="K40" s="103">
        <f>VLOOKUP($A40,'OI(Volume)'!$A$7:$O$427,12)</f>
        <v>-2500</v>
      </c>
      <c r="L40" s="103">
        <f>VLOOKUP($A40,'OI(Value)'!$A$7:$O$306,8,0)</f>
        <v>302</v>
      </c>
      <c r="M40" s="103">
        <f>VLOOKUP($A40,'OI(Value)'!$A$7:$O$306,9,0)</f>
        <v>9</v>
      </c>
      <c r="N40" s="103">
        <f>VLOOKUP($A40,'OI(Value)'!$A$7:$O$306,11,0)</f>
        <v>177</v>
      </c>
      <c r="O40" s="103">
        <f>VLOOKUP($A40,'OI(Value)'!$A$7:$O$306,12,0)</f>
        <v>-10</v>
      </c>
      <c r="P40" s="179">
        <f>VLOOKUP(A40,'OI(Value)'!A40:O241,8,0)</f>
        <v>302</v>
      </c>
      <c r="Q40" s="179">
        <f>VLOOKUP(A40,'OI(Value)'!A40:O241,9,0)</f>
        <v>9</v>
      </c>
      <c r="R40" s="179">
        <f>VLOOKUP(A40,'OI(Value)'!A40:O241,11,0)</f>
        <v>177</v>
      </c>
      <c r="S40" s="179">
        <f>VLOOKUP(A40,'OI(Value)'!A40:O241,11,0)</f>
        <v>177</v>
      </c>
    </row>
    <row r="41" spans="1:19" x14ac:dyDescent="0.25">
      <c r="A41" s="105" t="str">
        <f>'Data shares'!C36</f>
        <v>BPCL</v>
      </c>
      <c r="B41" s="143">
        <f>VLOOKUP($A41,'Data shares'!$C:$FA,118)</f>
        <v>0.76</v>
      </c>
      <c r="C41" s="143">
        <f>VLOOKUP($A41,'Data shares'!$C:$FA,119)</f>
        <v>0.64</v>
      </c>
      <c r="D41" s="143">
        <f>VLOOKUP($A41,'Data shares'!$C:$FA,121)*100</f>
        <v>18.75</v>
      </c>
      <c r="E41" s="143">
        <f>VLOOKUP($A41,'Data shares'!$C:$FA,124)</f>
        <v>0.45</v>
      </c>
      <c r="F41" s="143">
        <f>VLOOKUP($A41,'Data shares'!$C:$FA,125)</f>
        <v>0.56000000000000005</v>
      </c>
      <c r="G41" s="143">
        <f>VLOOKUP($A41,'Data shares'!$C:$FA,127)*100</f>
        <v>-19.64</v>
      </c>
      <c r="H41" s="103">
        <f>VLOOKUP($A41,'OI(Volume)'!$A$7:$O$427,8)</f>
        <v>14731525</v>
      </c>
      <c r="I41" s="103">
        <f>VLOOKUP($A41,'OI(Volume)'!$A$7:$O$427,9)</f>
        <v>-1106000</v>
      </c>
      <c r="J41" s="103">
        <f>VLOOKUP($A41,'OI(Volume)'!$A$7:$O$427,11)</f>
        <v>11174550</v>
      </c>
      <c r="K41" s="103">
        <f>VLOOKUP($A41,'OI(Volume)'!$A$7:$O$427,12)</f>
        <v>989475</v>
      </c>
      <c r="L41" s="103">
        <f>VLOOKUP($A41,'OI(Value)'!$A$7:$O$306,8,0)</f>
        <v>505</v>
      </c>
      <c r="M41" s="103">
        <f>VLOOKUP($A41,'OI(Value)'!$A$7:$O$306,9,0)</f>
        <v>-38</v>
      </c>
      <c r="N41" s="103">
        <f>VLOOKUP($A41,'OI(Value)'!$A$7:$O$306,11,0)</f>
        <v>383</v>
      </c>
      <c r="O41" s="103">
        <f>VLOOKUP($A41,'OI(Value)'!$A$7:$O$306,12,0)</f>
        <v>34</v>
      </c>
      <c r="P41" s="179">
        <f>VLOOKUP(A41,'OI(Value)'!A41:O242,8,0)</f>
        <v>505</v>
      </c>
      <c r="Q41" s="179">
        <f>VLOOKUP(A41,'OI(Value)'!A41:O242,9,0)</f>
        <v>-38</v>
      </c>
      <c r="R41" s="179">
        <f>VLOOKUP(A41,'OI(Value)'!A41:O242,11,0)</f>
        <v>383</v>
      </c>
      <c r="S41" s="179">
        <f>VLOOKUP(A41,'OI(Value)'!A41:O242,11,0)</f>
        <v>383</v>
      </c>
    </row>
    <row r="42" spans="1:19" x14ac:dyDescent="0.25">
      <c r="A42" s="105" t="str">
        <f>'Data shares'!C37</f>
        <v>BRITANNIA</v>
      </c>
      <c r="B42" s="143">
        <f>VLOOKUP($A42,'Data shares'!$C:$FA,118)</f>
        <v>0.75</v>
      </c>
      <c r="C42" s="143">
        <f>VLOOKUP($A42,'Data shares'!$C:$FA,119)</f>
        <v>0.77</v>
      </c>
      <c r="D42" s="143">
        <f>VLOOKUP($A42,'Data shares'!$C:$FA,121)*100</f>
        <v>-2.6</v>
      </c>
      <c r="E42" s="143">
        <f>VLOOKUP($A42,'Data shares'!$C:$FA,124)</f>
        <v>1.01</v>
      </c>
      <c r="F42" s="143">
        <f>VLOOKUP($A42,'Data shares'!$C:$FA,125)</f>
        <v>0.9</v>
      </c>
      <c r="G42" s="143">
        <f>VLOOKUP($A42,'Data shares'!$C:$FA,127)*100</f>
        <v>12.22</v>
      </c>
      <c r="H42" s="103">
        <f>VLOOKUP($A42,'OI(Volume)'!$A$7:$O$427,8)</f>
        <v>908125</v>
      </c>
      <c r="I42" s="103">
        <f>VLOOKUP($A42,'OI(Volume)'!$A$7:$O$427,9)</f>
        <v>79250</v>
      </c>
      <c r="J42" s="103">
        <f>VLOOKUP($A42,'OI(Volume)'!$A$7:$O$427,11)</f>
        <v>685375</v>
      </c>
      <c r="K42" s="103">
        <f>VLOOKUP($A42,'OI(Volume)'!$A$7:$O$427,12)</f>
        <v>43250</v>
      </c>
      <c r="L42" s="103">
        <f>VLOOKUP($A42,'OI(Value)'!$A$7:$O$306,8,0)</f>
        <v>537</v>
      </c>
      <c r="M42" s="103">
        <f>VLOOKUP($A42,'OI(Value)'!$A$7:$O$306,9,0)</f>
        <v>47</v>
      </c>
      <c r="N42" s="103">
        <f>VLOOKUP($A42,'OI(Value)'!$A$7:$O$306,11,0)</f>
        <v>405</v>
      </c>
      <c r="O42" s="103">
        <f>VLOOKUP($A42,'OI(Value)'!$A$7:$O$306,12,0)</f>
        <v>26</v>
      </c>
      <c r="P42" s="179">
        <f>VLOOKUP(A42,'OI(Value)'!A42:O243,8,0)</f>
        <v>537</v>
      </c>
      <c r="Q42" s="179">
        <f>VLOOKUP(A42,'OI(Value)'!A42:O243,9,0)</f>
        <v>47</v>
      </c>
      <c r="R42" s="179">
        <f>VLOOKUP(A42,'OI(Value)'!A42:O243,11,0)</f>
        <v>405</v>
      </c>
      <c r="S42" s="179">
        <f>VLOOKUP(A42,'OI(Value)'!A42:O243,11,0)</f>
        <v>405</v>
      </c>
    </row>
    <row r="43" spans="1:19" x14ac:dyDescent="0.25">
      <c r="A43" s="105" t="str">
        <f>'Data shares'!C38</f>
        <v>BSE</v>
      </c>
      <c r="B43" s="143">
        <f>VLOOKUP($A43,'Data shares'!$C:$FA,118)</f>
        <v>0.77</v>
      </c>
      <c r="C43" s="143">
        <f>VLOOKUP($A43,'Data shares'!$C:$FA,119)</f>
        <v>0.77</v>
      </c>
      <c r="D43" s="143">
        <f>VLOOKUP($A43,'Data shares'!$C:$FA,121)*100</f>
        <v>0</v>
      </c>
      <c r="E43" s="143">
        <f>VLOOKUP($A43,'Data shares'!$C:$FA,124)</f>
        <v>0.59</v>
      </c>
      <c r="F43" s="143">
        <f>VLOOKUP($A43,'Data shares'!$C:$FA,125)</f>
        <v>0.76</v>
      </c>
      <c r="G43" s="143">
        <f>VLOOKUP($A43,'Data shares'!$C:$FA,127)*100</f>
        <v>-22.37</v>
      </c>
      <c r="H43" s="103">
        <f>VLOOKUP($A43,'OI(Volume)'!$A$7:$O$427,8)</f>
        <v>8539875</v>
      </c>
      <c r="I43" s="103">
        <f>VLOOKUP($A43,'OI(Volume)'!$A$7:$O$427,9)</f>
        <v>-723750</v>
      </c>
      <c r="J43" s="103">
        <f>VLOOKUP($A43,'OI(Volume)'!$A$7:$O$427,11)</f>
        <v>6615750</v>
      </c>
      <c r="K43" s="103">
        <f>VLOOKUP($A43,'OI(Volume)'!$A$7:$O$427,12)</f>
        <v>-496500</v>
      </c>
      <c r="L43" s="103">
        <f>VLOOKUP($A43,'OI(Value)'!$A$7:$O$306,8,0)</f>
        <v>2145</v>
      </c>
      <c r="M43" s="103">
        <f>VLOOKUP($A43,'OI(Value)'!$A$7:$O$306,9,0)</f>
        <v>-182</v>
      </c>
      <c r="N43" s="103">
        <f>VLOOKUP($A43,'OI(Value)'!$A$7:$O$306,11,0)</f>
        <v>1661</v>
      </c>
      <c r="O43" s="103">
        <f>VLOOKUP($A43,'OI(Value)'!$A$7:$O$306,12,0)</f>
        <v>-125</v>
      </c>
      <c r="P43" s="179">
        <f>VLOOKUP(A43,'OI(Value)'!A43:O244,8,0)</f>
        <v>2145</v>
      </c>
      <c r="Q43" s="179">
        <f>VLOOKUP(A43,'OI(Value)'!A43:O244,9,0)</f>
        <v>-182</v>
      </c>
      <c r="R43" s="179">
        <f>VLOOKUP(A43,'OI(Value)'!A43:O244,11,0)</f>
        <v>1661</v>
      </c>
      <c r="S43" s="179">
        <f>VLOOKUP(A43,'OI(Value)'!A43:O244,11,0)</f>
        <v>1661</v>
      </c>
    </row>
    <row r="44" spans="1:19" x14ac:dyDescent="0.25">
      <c r="A44" s="105" t="str">
        <f>'Data shares'!C39</f>
        <v>CAMS</v>
      </c>
      <c r="B44" s="143">
        <f>VLOOKUP($A44,'Data shares'!$C:$FA,118)</f>
        <v>0.78</v>
      </c>
      <c r="C44" s="143">
        <f>VLOOKUP($A44,'Data shares'!$C:$FA,119)</f>
        <v>0.65</v>
      </c>
      <c r="D44" s="143">
        <f>VLOOKUP($A44,'Data shares'!$C:$FA,121)*100</f>
        <v>20</v>
      </c>
      <c r="E44" s="143">
        <f>VLOOKUP($A44,'Data shares'!$C:$FA,124)</f>
        <v>0.32</v>
      </c>
      <c r="F44" s="143">
        <f>VLOOKUP($A44,'Data shares'!$C:$FA,125)</f>
        <v>0.49</v>
      </c>
      <c r="G44" s="143">
        <f>VLOOKUP($A44,'Data shares'!$C:$FA,127)*100</f>
        <v>-34.69</v>
      </c>
      <c r="H44" s="103">
        <f>VLOOKUP($A44,'OI(Volume)'!$A$7:$O$427,8)</f>
        <v>965250</v>
      </c>
      <c r="I44" s="103">
        <f>VLOOKUP($A44,'OI(Volume)'!$A$7:$O$427,9)</f>
        <v>-166050</v>
      </c>
      <c r="J44" s="103">
        <f>VLOOKUP($A44,'OI(Volume)'!$A$7:$O$427,11)</f>
        <v>748950</v>
      </c>
      <c r="K44" s="103">
        <f>VLOOKUP($A44,'OI(Volume)'!$A$7:$O$427,12)</f>
        <v>9750</v>
      </c>
      <c r="L44" s="103">
        <f>VLOOKUP($A44,'OI(Value)'!$A$7:$O$306,8,0)</f>
        <v>384</v>
      </c>
      <c r="M44" s="103">
        <f>VLOOKUP($A44,'OI(Value)'!$A$7:$O$306,9,0)</f>
        <v>-66</v>
      </c>
      <c r="N44" s="103">
        <f>VLOOKUP($A44,'OI(Value)'!$A$7:$O$306,11,0)</f>
        <v>298</v>
      </c>
      <c r="O44" s="103">
        <f>VLOOKUP($A44,'OI(Value)'!$A$7:$O$306,12,0)</f>
        <v>4</v>
      </c>
      <c r="P44" s="179">
        <f>VLOOKUP(A44,'OI(Value)'!A44:O245,8,0)</f>
        <v>384</v>
      </c>
      <c r="Q44" s="179">
        <f>VLOOKUP(A44,'OI(Value)'!A44:O245,9,0)</f>
        <v>-66</v>
      </c>
      <c r="R44" s="179">
        <f>VLOOKUP(A44,'OI(Value)'!A44:O245,11,0)</f>
        <v>298</v>
      </c>
      <c r="S44" s="179">
        <f>VLOOKUP(A44,'OI(Value)'!A44:O245,11,0)</f>
        <v>298</v>
      </c>
    </row>
    <row r="45" spans="1:19" x14ac:dyDescent="0.25">
      <c r="A45" s="105" t="str">
        <f>'Data shares'!C40</f>
        <v>CANBK</v>
      </c>
      <c r="B45" s="143">
        <f>VLOOKUP($A45,'Data shares'!$C:$FA,118)</f>
        <v>0.92</v>
      </c>
      <c r="C45" s="143">
        <f>VLOOKUP($A45,'Data shares'!$C:$FA,119)</f>
        <v>0.77</v>
      </c>
      <c r="D45" s="143">
        <f>VLOOKUP($A45,'Data shares'!$C:$FA,121)*100</f>
        <v>19.48</v>
      </c>
      <c r="E45" s="143">
        <f>VLOOKUP($A45,'Data shares'!$C:$FA,124)</f>
        <v>0.39</v>
      </c>
      <c r="F45" s="143">
        <f>VLOOKUP($A45,'Data shares'!$C:$FA,125)</f>
        <v>0.47</v>
      </c>
      <c r="G45" s="143">
        <f>VLOOKUP($A45,'Data shares'!$C:$FA,127)*100</f>
        <v>-17.02</v>
      </c>
      <c r="H45" s="103">
        <f>VLOOKUP($A45,'OI(Volume)'!$A$7:$O$427,8)</f>
        <v>109964250</v>
      </c>
      <c r="I45" s="103">
        <f>VLOOKUP($A45,'OI(Volume)'!$A$7:$O$427,9)</f>
        <v>-13122000</v>
      </c>
      <c r="J45" s="103">
        <f>VLOOKUP($A45,'OI(Volume)'!$A$7:$O$427,11)</f>
        <v>100966500</v>
      </c>
      <c r="K45" s="103">
        <f>VLOOKUP($A45,'OI(Volume)'!$A$7:$O$427,12)</f>
        <v>5690250</v>
      </c>
      <c r="L45" s="103">
        <f>VLOOKUP($A45,'OI(Value)'!$A$7:$O$306,8,0)</f>
        <v>1421</v>
      </c>
      <c r="M45" s="103">
        <f>VLOOKUP($A45,'OI(Value)'!$A$7:$O$306,9,0)</f>
        <v>-170</v>
      </c>
      <c r="N45" s="103">
        <f>VLOOKUP($A45,'OI(Value)'!$A$7:$O$306,11,0)</f>
        <v>1305</v>
      </c>
      <c r="O45" s="103">
        <f>VLOOKUP($A45,'OI(Value)'!$A$7:$O$306,12,0)</f>
        <v>74</v>
      </c>
      <c r="P45" s="179">
        <f>VLOOKUP(A45,'OI(Value)'!A45:O246,8,0)</f>
        <v>1421</v>
      </c>
      <c r="Q45" s="179">
        <f>VLOOKUP(A45,'OI(Value)'!A45:O246,9,0)</f>
        <v>-170</v>
      </c>
      <c r="R45" s="179">
        <f>VLOOKUP(A45,'OI(Value)'!A45:O246,11,0)</f>
        <v>1305</v>
      </c>
      <c r="S45" s="179">
        <f>VLOOKUP(A45,'OI(Value)'!A45:O246,11,0)</f>
        <v>1305</v>
      </c>
    </row>
    <row r="46" spans="1:19" x14ac:dyDescent="0.25">
      <c r="A46" s="105" t="str">
        <f>'Data shares'!C41</f>
        <v>CDSL</v>
      </c>
      <c r="B46" s="143">
        <f>VLOOKUP($A46,'Data shares'!$C:$FA,118)</f>
        <v>0.79</v>
      </c>
      <c r="C46" s="143">
        <f>VLOOKUP($A46,'Data shares'!$C:$FA,119)</f>
        <v>0.68</v>
      </c>
      <c r="D46" s="143">
        <f>VLOOKUP($A46,'Data shares'!$C:$FA,121)*100</f>
        <v>16.18</v>
      </c>
      <c r="E46" s="143">
        <f>VLOOKUP($A46,'Data shares'!$C:$FA,124)</f>
        <v>0.46</v>
      </c>
      <c r="F46" s="143">
        <f>VLOOKUP($A46,'Data shares'!$C:$FA,125)</f>
        <v>0.57999999999999996</v>
      </c>
      <c r="G46" s="143">
        <f>VLOOKUP($A46,'Data shares'!$C:$FA,127)*100</f>
        <v>-20.69</v>
      </c>
      <c r="H46" s="103">
        <f>VLOOKUP($A46,'OI(Volume)'!$A$7:$O$427,8)</f>
        <v>5544675</v>
      </c>
      <c r="I46" s="103">
        <f>VLOOKUP($A46,'OI(Volume)'!$A$7:$O$427,9)</f>
        <v>-888725</v>
      </c>
      <c r="J46" s="103">
        <f>VLOOKUP($A46,'OI(Volume)'!$A$7:$O$427,11)</f>
        <v>4406100</v>
      </c>
      <c r="K46" s="103">
        <f>VLOOKUP($A46,'OI(Volume)'!$A$7:$O$427,12)</f>
        <v>51300</v>
      </c>
      <c r="L46" s="103">
        <f>VLOOKUP($A46,'OI(Value)'!$A$7:$O$306,8,0)</f>
        <v>909</v>
      </c>
      <c r="M46" s="103">
        <f>VLOOKUP($A46,'OI(Value)'!$A$7:$O$306,9,0)</f>
        <v>-146</v>
      </c>
      <c r="N46" s="103">
        <f>VLOOKUP($A46,'OI(Value)'!$A$7:$O$306,11,0)</f>
        <v>722</v>
      </c>
      <c r="O46" s="103">
        <f>VLOOKUP($A46,'OI(Value)'!$A$7:$O$306,12,0)</f>
        <v>8</v>
      </c>
      <c r="P46" s="179">
        <f>VLOOKUP(A46,'OI(Value)'!A46:O247,8,0)</f>
        <v>909</v>
      </c>
      <c r="Q46" s="179">
        <f>VLOOKUP(A46,'OI(Value)'!A46:O247,9,0)</f>
        <v>-146</v>
      </c>
      <c r="R46" s="179">
        <f>VLOOKUP(A46,'OI(Value)'!A46:O247,11,0)</f>
        <v>722</v>
      </c>
      <c r="S46" s="179">
        <f>VLOOKUP(A46,'OI(Value)'!A46:O247,11,0)</f>
        <v>722</v>
      </c>
    </row>
    <row r="47" spans="1:19" x14ac:dyDescent="0.25">
      <c r="A47" s="105" t="str">
        <f>'Data shares'!C42</f>
        <v>CGPOWER</v>
      </c>
      <c r="B47" s="143">
        <f>VLOOKUP($A47,'Data shares'!$C:$FA,118)</f>
        <v>0.67</v>
      </c>
      <c r="C47" s="143">
        <f>VLOOKUP($A47,'Data shares'!$C:$FA,119)</f>
        <v>0.62</v>
      </c>
      <c r="D47" s="143">
        <f>VLOOKUP($A47,'Data shares'!$C:$FA,121)*100</f>
        <v>8.06</v>
      </c>
      <c r="E47" s="143">
        <f>VLOOKUP($A47,'Data shares'!$C:$FA,124)</f>
        <v>0.66</v>
      </c>
      <c r="F47" s="143">
        <f>VLOOKUP($A47,'Data shares'!$C:$FA,125)</f>
        <v>0.45</v>
      </c>
      <c r="G47" s="143">
        <f>VLOOKUP($A47,'Data shares'!$C:$FA,127)*100</f>
        <v>46.67</v>
      </c>
      <c r="H47" s="103">
        <f>VLOOKUP($A47,'OI(Volume)'!$A$7:$O$427,8)</f>
        <v>5626150</v>
      </c>
      <c r="I47" s="103">
        <f>VLOOKUP($A47,'OI(Volume)'!$A$7:$O$427,9)</f>
        <v>-693600</v>
      </c>
      <c r="J47" s="103">
        <f>VLOOKUP($A47,'OI(Volume)'!$A$7:$O$427,11)</f>
        <v>3779100</v>
      </c>
      <c r="K47" s="103">
        <f>VLOOKUP($A47,'OI(Volume)'!$A$7:$O$427,12)</f>
        <v>-163200</v>
      </c>
      <c r="L47" s="103">
        <f>VLOOKUP($A47,'OI(Value)'!$A$7:$O$306,8,0)</f>
        <v>409</v>
      </c>
      <c r="M47" s="103">
        <f>VLOOKUP($A47,'OI(Value)'!$A$7:$O$306,9,0)</f>
        <v>-50</v>
      </c>
      <c r="N47" s="103">
        <f>VLOOKUP($A47,'OI(Value)'!$A$7:$O$306,11,0)</f>
        <v>275</v>
      </c>
      <c r="O47" s="103">
        <f>VLOOKUP($A47,'OI(Value)'!$A$7:$O$306,12,0)</f>
        <v>-12</v>
      </c>
      <c r="P47" s="179">
        <f>VLOOKUP(A47,'OI(Value)'!A47:O248,8,0)</f>
        <v>409</v>
      </c>
      <c r="Q47" s="179">
        <f>VLOOKUP(A47,'OI(Value)'!A47:O248,9,0)</f>
        <v>-50</v>
      </c>
      <c r="R47" s="179">
        <f>VLOOKUP(A47,'OI(Value)'!A47:O248,11,0)</f>
        <v>275</v>
      </c>
      <c r="S47" s="179">
        <f>VLOOKUP(A47,'OI(Value)'!A47:O248,11,0)</f>
        <v>275</v>
      </c>
    </row>
    <row r="48" spans="1:19" x14ac:dyDescent="0.25">
      <c r="A48" s="105" t="str">
        <f>'Data shares'!C43</f>
        <v>CHOLAFIN</v>
      </c>
      <c r="B48" s="143">
        <f>VLOOKUP($A48,'Data shares'!$C:$FA,118)</f>
        <v>0.78</v>
      </c>
      <c r="C48" s="143">
        <f>VLOOKUP($A48,'Data shares'!$C:$FA,119)</f>
        <v>0.77</v>
      </c>
      <c r="D48" s="143">
        <f>VLOOKUP($A48,'Data shares'!$C:$FA,121)*100</f>
        <v>1.3</v>
      </c>
      <c r="E48" s="143">
        <f>VLOOKUP($A48,'Data shares'!$C:$FA,124)</f>
        <v>0.48</v>
      </c>
      <c r="F48" s="143">
        <f>VLOOKUP($A48,'Data shares'!$C:$FA,125)</f>
        <v>0.28000000000000003</v>
      </c>
      <c r="G48" s="143">
        <f>VLOOKUP($A48,'Data shares'!$C:$FA,127)*100</f>
        <v>71.430000000000007</v>
      </c>
      <c r="H48" s="103">
        <f>VLOOKUP($A48,'OI(Volume)'!$A$7:$O$427,8)</f>
        <v>3693125</v>
      </c>
      <c r="I48" s="103">
        <f>VLOOKUP($A48,'OI(Volume)'!$A$7:$O$427,9)</f>
        <v>61875</v>
      </c>
      <c r="J48" s="103">
        <f>VLOOKUP($A48,'OI(Volume)'!$A$7:$O$427,11)</f>
        <v>2867500</v>
      </c>
      <c r="K48" s="103">
        <f>VLOOKUP($A48,'OI(Volume)'!$A$7:$O$427,12)</f>
        <v>77500</v>
      </c>
      <c r="L48" s="103">
        <f>VLOOKUP($A48,'OI(Value)'!$A$7:$O$306,8,0)</f>
        <v>641</v>
      </c>
      <c r="M48" s="103">
        <f>VLOOKUP($A48,'OI(Value)'!$A$7:$O$306,9,0)</f>
        <v>11</v>
      </c>
      <c r="N48" s="103">
        <f>VLOOKUP($A48,'OI(Value)'!$A$7:$O$306,11,0)</f>
        <v>497</v>
      </c>
      <c r="O48" s="103">
        <f>VLOOKUP($A48,'OI(Value)'!$A$7:$O$306,12,0)</f>
        <v>13</v>
      </c>
      <c r="P48" s="179">
        <f>VLOOKUP(A48,'OI(Value)'!A48:O249,8,0)</f>
        <v>641</v>
      </c>
      <c r="Q48" s="179">
        <f>VLOOKUP(A48,'OI(Value)'!A48:O249,9,0)</f>
        <v>11</v>
      </c>
      <c r="R48" s="179">
        <f>VLOOKUP(A48,'OI(Value)'!A48:O249,11,0)</f>
        <v>497</v>
      </c>
      <c r="S48" s="179">
        <f>VLOOKUP(A48,'OI(Value)'!A48:O249,11,0)</f>
        <v>497</v>
      </c>
    </row>
    <row r="49" spans="1:19" x14ac:dyDescent="0.25">
      <c r="A49" s="105" t="str">
        <f>'Data shares'!C44</f>
        <v>CIPLA</v>
      </c>
      <c r="B49" s="143">
        <f>VLOOKUP($A49,'Data shares'!$C:$FA,118)</f>
        <v>0.49</v>
      </c>
      <c r="C49" s="143">
        <f>VLOOKUP($A49,'Data shares'!$C:$FA,119)</f>
        <v>0.47</v>
      </c>
      <c r="D49" s="143">
        <f>VLOOKUP($A49,'Data shares'!$C:$FA,121)*100</f>
        <v>4.26</v>
      </c>
      <c r="E49" s="143">
        <f>VLOOKUP($A49,'Data shares'!$C:$FA,124)</f>
        <v>0.5</v>
      </c>
      <c r="F49" s="143">
        <f>VLOOKUP($A49,'Data shares'!$C:$FA,125)</f>
        <v>0.56999999999999995</v>
      </c>
      <c r="G49" s="143">
        <f>VLOOKUP($A49,'Data shares'!$C:$FA,127)*100</f>
        <v>-12.280000000000001</v>
      </c>
      <c r="H49" s="103">
        <f>VLOOKUP($A49,'OI(Volume)'!$A$7:$O$427,8)</f>
        <v>10969500</v>
      </c>
      <c r="I49" s="103">
        <f>VLOOKUP($A49,'OI(Volume)'!$A$7:$O$427,9)</f>
        <v>-592875</v>
      </c>
      <c r="J49" s="103">
        <f>VLOOKUP($A49,'OI(Volume)'!$A$7:$O$427,11)</f>
        <v>5338500</v>
      </c>
      <c r="K49" s="103">
        <f>VLOOKUP($A49,'OI(Volume)'!$A$7:$O$427,12)</f>
        <v>-82875</v>
      </c>
      <c r="L49" s="103">
        <f>VLOOKUP($A49,'OI(Value)'!$A$7:$O$306,8,0)</f>
        <v>1736</v>
      </c>
      <c r="M49" s="103">
        <f>VLOOKUP($A49,'OI(Value)'!$A$7:$O$306,9,0)</f>
        <v>-94</v>
      </c>
      <c r="N49" s="103">
        <f>VLOOKUP($A49,'OI(Value)'!$A$7:$O$306,11,0)</f>
        <v>845</v>
      </c>
      <c r="O49" s="103">
        <f>VLOOKUP($A49,'OI(Value)'!$A$7:$O$306,12,0)</f>
        <v>-13</v>
      </c>
      <c r="P49" s="179">
        <f>VLOOKUP(A49,'OI(Value)'!A49:O250,8,0)</f>
        <v>1736</v>
      </c>
      <c r="Q49" s="179">
        <f>VLOOKUP(A49,'OI(Value)'!A49:O250,9,0)</f>
        <v>-94</v>
      </c>
      <c r="R49" s="179">
        <f>VLOOKUP(A49,'OI(Value)'!A49:O250,11,0)</f>
        <v>845</v>
      </c>
      <c r="S49" s="179">
        <f>VLOOKUP(A49,'OI(Value)'!A49:O250,11,0)</f>
        <v>845</v>
      </c>
    </row>
    <row r="50" spans="1:19" x14ac:dyDescent="0.25">
      <c r="A50" s="105" t="str">
        <f>'Data shares'!C45</f>
        <v>COALINDIA</v>
      </c>
      <c r="B50" s="143">
        <f>VLOOKUP($A50,'Data shares'!$C:$FA,118)</f>
        <v>0.83</v>
      </c>
      <c r="C50" s="143">
        <f>VLOOKUP($A50,'Data shares'!$C:$FA,119)</f>
        <v>0.74</v>
      </c>
      <c r="D50" s="143">
        <f>VLOOKUP($A50,'Data shares'!$C:$FA,121)*100</f>
        <v>12.16</v>
      </c>
      <c r="E50" s="143">
        <f>VLOOKUP($A50,'Data shares'!$C:$FA,124)</f>
        <v>0.55000000000000004</v>
      </c>
      <c r="F50" s="143">
        <f>VLOOKUP($A50,'Data shares'!$C:$FA,125)</f>
        <v>0.64</v>
      </c>
      <c r="G50" s="143">
        <f>VLOOKUP($A50,'Data shares'!$C:$FA,127)*100</f>
        <v>-14.06</v>
      </c>
      <c r="H50" s="103">
        <f>VLOOKUP($A50,'OI(Volume)'!$A$7:$O$427,8)</f>
        <v>26106300</v>
      </c>
      <c r="I50" s="103">
        <f>VLOOKUP($A50,'OI(Volume)'!$A$7:$O$427,9)</f>
        <v>-992250</v>
      </c>
      <c r="J50" s="103">
        <f>VLOOKUP($A50,'OI(Volume)'!$A$7:$O$427,11)</f>
        <v>21787650</v>
      </c>
      <c r="K50" s="103">
        <f>VLOOKUP($A50,'OI(Volume)'!$A$7:$O$427,12)</f>
        <v>1826550</v>
      </c>
      <c r="L50" s="103">
        <f>VLOOKUP($A50,'OI(Value)'!$A$7:$O$306,8,0)</f>
        <v>1035</v>
      </c>
      <c r="M50" s="103">
        <f>VLOOKUP($A50,'OI(Value)'!$A$7:$O$306,9,0)</f>
        <v>-39</v>
      </c>
      <c r="N50" s="103">
        <f>VLOOKUP($A50,'OI(Value)'!$A$7:$O$306,11,0)</f>
        <v>864</v>
      </c>
      <c r="O50" s="103">
        <f>VLOOKUP($A50,'OI(Value)'!$A$7:$O$306,12,0)</f>
        <v>72</v>
      </c>
      <c r="P50" s="179">
        <f>VLOOKUP(A50,'OI(Value)'!A50:O251,8,0)</f>
        <v>1035</v>
      </c>
      <c r="Q50" s="179">
        <f>VLOOKUP(A50,'OI(Value)'!A50:O251,9,0)</f>
        <v>-39</v>
      </c>
      <c r="R50" s="179">
        <f>VLOOKUP(A50,'OI(Value)'!A50:O251,11,0)</f>
        <v>864</v>
      </c>
      <c r="S50" s="179">
        <f>VLOOKUP(A50,'OI(Value)'!A50:O251,11,0)</f>
        <v>864</v>
      </c>
    </row>
    <row r="51" spans="1:19" x14ac:dyDescent="0.25">
      <c r="A51" s="105" t="str">
        <f>'Data shares'!C46</f>
        <v>COFORGE</v>
      </c>
      <c r="B51" s="143">
        <f>VLOOKUP($A51,'Data shares'!$C:$FA,118)</f>
        <v>0.68</v>
      </c>
      <c r="C51" s="143">
        <f>VLOOKUP($A51,'Data shares'!$C:$FA,119)</f>
        <v>0.56000000000000005</v>
      </c>
      <c r="D51" s="143">
        <f>VLOOKUP($A51,'Data shares'!$C:$FA,121)*100</f>
        <v>21.43</v>
      </c>
      <c r="E51" s="143">
        <f>VLOOKUP($A51,'Data shares'!$C:$FA,124)</f>
        <v>0.56999999999999995</v>
      </c>
      <c r="F51" s="143">
        <f>VLOOKUP($A51,'Data shares'!$C:$FA,125)</f>
        <v>0.42</v>
      </c>
      <c r="G51" s="143">
        <f>VLOOKUP($A51,'Data shares'!$C:$FA,127)*100</f>
        <v>35.709999999999994</v>
      </c>
      <c r="H51" s="103">
        <f>VLOOKUP($A51,'OI(Volume)'!$A$7:$O$427,8)</f>
        <v>6734250</v>
      </c>
      <c r="I51" s="103">
        <f>VLOOKUP($A51,'OI(Volume)'!$A$7:$O$427,9)</f>
        <v>-800625</v>
      </c>
      <c r="J51" s="103">
        <f>VLOOKUP($A51,'OI(Volume)'!$A$7:$O$427,11)</f>
        <v>4595625</v>
      </c>
      <c r="K51" s="103">
        <f>VLOOKUP($A51,'OI(Volume)'!$A$7:$O$427,12)</f>
        <v>341625</v>
      </c>
      <c r="L51" s="103">
        <f>VLOOKUP($A51,'OI(Value)'!$A$7:$O$306,8,0)</f>
        <v>1233</v>
      </c>
      <c r="M51" s="103">
        <f>VLOOKUP($A51,'OI(Value)'!$A$7:$O$306,9,0)</f>
        <v>-147</v>
      </c>
      <c r="N51" s="103">
        <f>VLOOKUP($A51,'OI(Value)'!$A$7:$O$306,11,0)</f>
        <v>841</v>
      </c>
      <c r="O51" s="103">
        <f>VLOOKUP($A51,'OI(Value)'!$A$7:$O$306,12,0)</f>
        <v>63</v>
      </c>
      <c r="P51" s="179">
        <f>VLOOKUP(A51,'OI(Value)'!A51:O252,8,0)</f>
        <v>1233</v>
      </c>
      <c r="Q51" s="179">
        <f>VLOOKUP(A51,'OI(Value)'!A51:O252,9,0)</f>
        <v>-147</v>
      </c>
      <c r="R51" s="179">
        <f>VLOOKUP(A51,'OI(Value)'!A51:O252,11,0)</f>
        <v>841</v>
      </c>
      <c r="S51" s="179">
        <f>VLOOKUP(A51,'OI(Value)'!A51:O252,11,0)</f>
        <v>841</v>
      </c>
    </row>
    <row r="52" spans="1:19" x14ac:dyDescent="0.25">
      <c r="A52" s="105" t="str">
        <f>'Data shares'!C47</f>
        <v>COLPAL</v>
      </c>
      <c r="B52" s="143">
        <f>VLOOKUP($A52,'Data shares'!$C:$FA,118)</f>
        <v>0.67</v>
      </c>
      <c r="C52" s="143">
        <f>VLOOKUP($A52,'Data shares'!$C:$FA,119)</f>
        <v>0.72</v>
      </c>
      <c r="D52" s="143">
        <f>VLOOKUP($A52,'Data shares'!$C:$FA,121)*100</f>
        <v>-6.94</v>
      </c>
      <c r="E52" s="143">
        <f>VLOOKUP($A52,'Data shares'!$C:$FA,124)</f>
        <v>0.56000000000000005</v>
      </c>
      <c r="F52" s="143">
        <f>VLOOKUP($A52,'Data shares'!$C:$FA,125)</f>
        <v>0.53</v>
      </c>
      <c r="G52" s="143">
        <f>VLOOKUP($A52,'Data shares'!$C:$FA,127)*100</f>
        <v>5.66</v>
      </c>
      <c r="H52" s="103">
        <f>VLOOKUP($A52,'OI(Volume)'!$A$7:$O$427,8)</f>
        <v>3042000</v>
      </c>
      <c r="I52" s="103">
        <f>VLOOKUP($A52,'OI(Volume)'!$A$7:$O$427,9)</f>
        <v>36675</v>
      </c>
      <c r="J52" s="103">
        <f>VLOOKUP($A52,'OI(Volume)'!$A$7:$O$427,11)</f>
        <v>2031750</v>
      </c>
      <c r="K52" s="103">
        <f>VLOOKUP($A52,'OI(Volume)'!$A$7:$O$427,12)</f>
        <v>-128925</v>
      </c>
      <c r="L52" s="103">
        <f>VLOOKUP($A52,'OI(Value)'!$A$7:$O$306,8,0)</f>
        <v>676</v>
      </c>
      <c r="M52" s="103">
        <f>VLOOKUP($A52,'OI(Value)'!$A$7:$O$306,9,0)</f>
        <v>8</v>
      </c>
      <c r="N52" s="103">
        <f>VLOOKUP($A52,'OI(Value)'!$A$7:$O$306,11,0)</f>
        <v>451</v>
      </c>
      <c r="O52" s="103">
        <f>VLOOKUP($A52,'OI(Value)'!$A$7:$O$306,12,0)</f>
        <v>-29</v>
      </c>
      <c r="P52" s="179">
        <f>VLOOKUP(A52,'OI(Value)'!A52:O253,8,0)</f>
        <v>676</v>
      </c>
      <c r="Q52" s="179">
        <f>VLOOKUP(A52,'OI(Value)'!A52:O253,9,0)</f>
        <v>8</v>
      </c>
      <c r="R52" s="179">
        <f>VLOOKUP(A52,'OI(Value)'!A52:O253,11,0)</f>
        <v>451</v>
      </c>
      <c r="S52" s="179">
        <f>VLOOKUP(A52,'OI(Value)'!A52:O253,11,0)</f>
        <v>451</v>
      </c>
    </row>
    <row r="53" spans="1:19" x14ac:dyDescent="0.25">
      <c r="A53" s="105" t="str">
        <f>'Data shares'!C48</f>
        <v>CONCOR</v>
      </c>
      <c r="B53" s="143">
        <f>VLOOKUP($A53,'Data shares'!$C:$FA,118)</f>
        <v>0.79</v>
      </c>
      <c r="C53" s="143">
        <f>VLOOKUP($A53,'Data shares'!$C:$FA,119)</f>
        <v>0.8</v>
      </c>
      <c r="D53" s="143">
        <f>VLOOKUP($A53,'Data shares'!$C:$FA,121)*100</f>
        <v>-1.25</v>
      </c>
      <c r="E53" s="143">
        <f>VLOOKUP($A53,'Data shares'!$C:$FA,124)</f>
        <v>0.47</v>
      </c>
      <c r="F53" s="143">
        <f>VLOOKUP($A53,'Data shares'!$C:$FA,125)</f>
        <v>0.49</v>
      </c>
      <c r="G53" s="143">
        <f>VLOOKUP($A53,'Data shares'!$C:$FA,127)*100</f>
        <v>-4.08</v>
      </c>
      <c r="H53" s="103">
        <f>VLOOKUP($A53,'OI(Volume)'!$A$7:$O$427,8)</f>
        <v>10120000</v>
      </c>
      <c r="I53" s="103">
        <f>VLOOKUP($A53,'OI(Volume)'!$A$7:$O$427,9)</f>
        <v>-236250</v>
      </c>
      <c r="J53" s="103">
        <f>VLOOKUP($A53,'OI(Volume)'!$A$7:$O$427,11)</f>
        <v>7977500</v>
      </c>
      <c r="K53" s="103">
        <f>VLOOKUP($A53,'OI(Volume)'!$A$7:$O$427,12)</f>
        <v>-348750</v>
      </c>
      <c r="L53" s="103">
        <f>VLOOKUP($A53,'OI(Value)'!$A$7:$O$306,8,0)</f>
        <v>547</v>
      </c>
      <c r="M53" s="103">
        <f>VLOOKUP($A53,'OI(Value)'!$A$7:$O$306,9,0)</f>
        <v>-13</v>
      </c>
      <c r="N53" s="103">
        <f>VLOOKUP($A53,'OI(Value)'!$A$7:$O$306,11,0)</f>
        <v>432</v>
      </c>
      <c r="O53" s="103">
        <f>VLOOKUP($A53,'OI(Value)'!$A$7:$O$306,12,0)</f>
        <v>-19</v>
      </c>
      <c r="P53" s="179">
        <f>VLOOKUP(A53,'OI(Value)'!A53:O254,8,0)</f>
        <v>547</v>
      </c>
      <c r="Q53" s="179">
        <f>VLOOKUP(A53,'OI(Value)'!A53:O254,9,0)</f>
        <v>-13</v>
      </c>
      <c r="R53" s="179">
        <f>VLOOKUP(A53,'OI(Value)'!A53:O254,11,0)</f>
        <v>432</v>
      </c>
      <c r="S53" s="179">
        <f>VLOOKUP(A53,'OI(Value)'!A53:O254,11,0)</f>
        <v>432</v>
      </c>
    </row>
    <row r="54" spans="1:19" x14ac:dyDescent="0.25">
      <c r="A54" s="105" t="str">
        <f>'Data shares'!C49</f>
        <v>CROMPTON</v>
      </c>
      <c r="B54" s="143">
        <f>VLOOKUP($A54,'Data shares'!$C:$FA,118)</f>
        <v>0.6</v>
      </c>
      <c r="C54" s="143">
        <f>VLOOKUP($A54,'Data shares'!$C:$FA,119)</f>
        <v>0.63</v>
      </c>
      <c r="D54" s="143">
        <f>VLOOKUP($A54,'Data shares'!$C:$FA,121)*100</f>
        <v>-4.7600000000000007</v>
      </c>
      <c r="E54" s="143">
        <f>VLOOKUP($A54,'Data shares'!$C:$FA,124)</f>
        <v>0.35</v>
      </c>
      <c r="F54" s="143">
        <f>VLOOKUP($A54,'Data shares'!$C:$FA,125)</f>
        <v>0.35</v>
      </c>
      <c r="G54" s="143">
        <f>VLOOKUP($A54,'Data shares'!$C:$FA,127)*100</f>
        <v>0</v>
      </c>
      <c r="H54" s="103">
        <f>VLOOKUP($A54,'OI(Volume)'!$A$7:$O$427,8)</f>
        <v>20680200</v>
      </c>
      <c r="I54" s="103">
        <f>VLOOKUP($A54,'OI(Volume)'!$A$7:$O$427,9)</f>
        <v>3290400</v>
      </c>
      <c r="J54" s="103">
        <f>VLOOKUP($A54,'OI(Volume)'!$A$7:$O$427,11)</f>
        <v>12468600</v>
      </c>
      <c r="K54" s="103">
        <f>VLOOKUP($A54,'OI(Volume)'!$A$7:$O$427,12)</f>
        <v>1531800</v>
      </c>
      <c r="L54" s="103">
        <f>VLOOKUP($A54,'OI(Value)'!$A$7:$O$306,8,0)</f>
        <v>604</v>
      </c>
      <c r="M54" s="103">
        <f>VLOOKUP($A54,'OI(Value)'!$A$7:$O$306,9,0)</f>
        <v>96</v>
      </c>
      <c r="N54" s="103">
        <f>VLOOKUP($A54,'OI(Value)'!$A$7:$O$306,11,0)</f>
        <v>364</v>
      </c>
      <c r="O54" s="103">
        <f>VLOOKUP($A54,'OI(Value)'!$A$7:$O$306,12,0)</f>
        <v>45</v>
      </c>
      <c r="P54" s="179">
        <f>VLOOKUP(A54,'OI(Value)'!A54:O255,8,0)</f>
        <v>604</v>
      </c>
      <c r="Q54" s="179">
        <f>VLOOKUP(A54,'OI(Value)'!A54:O255,9,0)</f>
        <v>96</v>
      </c>
      <c r="R54" s="179">
        <f>VLOOKUP(A54,'OI(Value)'!A54:O255,11,0)</f>
        <v>364</v>
      </c>
      <c r="S54" s="179">
        <f>VLOOKUP(A54,'OI(Value)'!A54:O255,11,0)</f>
        <v>364</v>
      </c>
    </row>
    <row r="55" spans="1:19" x14ac:dyDescent="0.25">
      <c r="A55" s="105" t="str">
        <f>'Data shares'!C50</f>
        <v>CUMMINSIND</v>
      </c>
      <c r="B55" s="143">
        <f>VLOOKUP($A55,'Data shares'!$C:$FA,118)</f>
        <v>1.1299999999999999</v>
      </c>
      <c r="C55" s="143">
        <f>VLOOKUP($A55,'Data shares'!$C:$FA,119)</f>
        <v>0.79</v>
      </c>
      <c r="D55" s="143">
        <f>VLOOKUP($A55,'Data shares'!$C:$FA,121)*100</f>
        <v>43.04</v>
      </c>
      <c r="E55" s="143">
        <f>VLOOKUP($A55,'Data shares'!$C:$FA,124)</f>
        <v>0.47</v>
      </c>
      <c r="F55" s="143">
        <f>VLOOKUP($A55,'Data shares'!$C:$FA,125)</f>
        <v>0.32</v>
      </c>
      <c r="G55" s="143">
        <f>VLOOKUP($A55,'Data shares'!$C:$FA,127)*100</f>
        <v>46.87</v>
      </c>
      <c r="H55" s="103">
        <f>VLOOKUP($A55,'OI(Volume)'!$A$7:$O$427,8)</f>
        <v>1078600</v>
      </c>
      <c r="I55" s="103">
        <f>VLOOKUP($A55,'OI(Volume)'!$A$7:$O$427,9)</f>
        <v>-4000</v>
      </c>
      <c r="J55" s="103">
        <f>VLOOKUP($A55,'OI(Volume)'!$A$7:$O$427,11)</f>
        <v>1214000</v>
      </c>
      <c r="K55" s="103">
        <f>VLOOKUP($A55,'OI(Volume)'!$A$7:$O$427,12)</f>
        <v>363800</v>
      </c>
      <c r="L55" s="103">
        <f>VLOOKUP($A55,'OI(Value)'!$A$7:$O$306,8,0)</f>
        <v>465</v>
      </c>
      <c r="M55" s="103">
        <f>VLOOKUP($A55,'OI(Value)'!$A$7:$O$306,9,0)</f>
        <v>-2</v>
      </c>
      <c r="N55" s="103">
        <f>VLOOKUP($A55,'OI(Value)'!$A$7:$O$306,11,0)</f>
        <v>523</v>
      </c>
      <c r="O55" s="103">
        <f>VLOOKUP($A55,'OI(Value)'!$A$7:$O$306,12,0)</f>
        <v>157</v>
      </c>
      <c r="P55" s="179">
        <f>VLOOKUP(A55,'OI(Value)'!A55:O256,8,0)</f>
        <v>465</v>
      </c>
      <c r="Q55" s="179">
        <f>VLOOKUP(A55,'OI(Value)'!A55:O256,9,0)</f>
        <v>-2</v>
      </c>
      <c r="R55" s="179">
        <f>VLOOKUP(A55,'OI(Value)'!A55:O256,11,0)</f>
        <v>523</v>
      </c>
      <c r="S55" s="179">
        <f>VLOOKUP(A55,'OI(Value)'!A55:O256,11,0)</f>
        <v>523</v>
      </c>
    </row>
    <row r="56" spans="1:19" x14ac:dyDescent="0.25">
      <c r="A56" s="105" t="str">
        <f>'Data shares'!C51</f>
        <v>CYIENT</v>
      </c>
      <c r="B56" s="143">
        <f>VLOOKUP($A56,'Data shares'!$C:$FA,118)</f>
        <v>0.89</v>
      </c>
      <c r="C56" s="143">
        <f>VLOOKUP($A56,'Data shares'!$C:$FA,119)</f>
        <v>0.79</v>
      </c>
      <c r="D56" s="143">
        <f>VLOOKUP($A56,'Data shares'!$C:$FA,121)*100</f>
        <v>12.659999999999998</v>
      </c>
      <c r="E56" s="143">
        <f>VLOOKUP($A56,'Data shares'!$C:$FA,124)</f>
        <v>0.49</v>
      </c>
      <c r="F56" s="143">
        <f>VLOOKUP($A56,'Data shares'!$C:$FA,125)</f>
        <v>0.56999999999999995</v>
      </c>
      <c r="G56" s="143">
        <f>VLOOKUP($A56,'Data shares'!$C:$FA,127)*100</f>
        <v>-14.04</v>
      </c>
      <c r="H56" s="103">
        <f>VLOOKUP($A56,'OI(Volume)'!$A$7:$O$427,8)</f>
        <v>1814750</v>
      </c>
      <c r="I56" s="103">
        <f>VLOOKUP($A56,'OI(Volume)'!$A$7:$O$427,9)</f>
        <v>-431800</v>
      </c>
      <c r="J56" s="103">
        <f>VLOOKUP($A56,'OI(Volume)'!$A$7:$O$427,11)</f>
        <v>1610750</v>
      </c>
      <c r="K56" s="103">
        <f>VLOOKUP($A56,'OI(Volume)'!$A$7:$O$427,12)</f>
        <v>-173825</v>
      </c>
      <c r="L56" s="103">
        <f>VLOOKUP($A56,'OI(Value)'!$A$7:$O$306,8,0)</f>
        <v>219</v>
      </c>
      <c r="M56" s="103">
        <f>VLOOKUP($A56,'OI(Value)'!$A$7:$O$306,9,0)</f>
        <v>-52</v>
      </c>
      <c r="N56" s="103">
        <f>VLOOKUP($A56,'OI(Value)'!$A$7:$O$306,11,0)</f>
        <v>195</v>
      </c>
      <c r="O56" s="103">
        <f>VLOOKUP($A56,'OI(Value)'!$A$7:$O$306,12,0)</f>
        <v>-21</v>
      </c>
      <c r="P56" s="179">
        <f>VLOOKUP(A56,'OI(Value)'!A56:O257,8,0)</f>
        <v>219</v>
      </c>
      <c r="Q56" s="179">
        <f>VLOOKUP(A56,'OI(Value)'!A56:O257,9,0)</f>
        <v>-52</v>
      </c>
      <c r="R56" s="179">
        <f>VLOOKUP(A56,'OI(Value)'!A56:O257,11,0)</f>
        <v>195</v>
      </c>
      <c r="S56" s="179">
        <f>VLOOKUP(A56,'OI(Value)'!A56:O257,11,0)</f>
        <v>195</v>
      </c>
    </row>
    <row r="57" spans="1:19" x14ac:dyDescent="0.25">
      <c r="A57" s="105" t="str">
        <f>'Data shares'!C52</f>
        <v>DABUR</v>
      </c>
      <c r="B57" s="143">
        <f>VLOOKUP($A57,'Data shares'!$C:$FA,118)</f>
        <v>0.66</v>
      </c>
      <c r="C57" s="143">
        <f>VLOOKUP($A57,'Data shares'!$C:$FA,119)</f>
        <v>0.64</v>
      </c>
      <c r="D57" s="143">
        <f>VLOOKUP($A57,'Data shares'!$C:$FA,121)*100</f>
        <v>3.1300000000000003</v>
      </c>
      <c r="E57" s="143">
        <f>VLOOKUP($A57,'Data shares'!$C:$FA,124)</f>
        <v>0.53</v>
      </c>
      <c r="F57" s="143">
        <f>VLOOKUP($A57,'Data shares'!$C:$FA,125)</f>
        <v>0.84</v>
      </c>
      <c r="G57" s="143">
        <f>VLOOKUP($A57,'Data shares'!$C:$FA,127)*100</f>
        <v>-36.9</v>
      </c>
      <c r="H57" s="103">
        <f>VLOOKUP($A57,'OI(Volume)'!$A$7:$O$427,8)</f>
        <v>10450000</v>
      </c>
      <c r="I57" s="103">
        <f>VLOOKUP($A57,'OI(Volume)'!$A$7:$O$427,9)</f>
        <v>-680000</v>
      </c>
      <c r="J57" s="103">
        <f>VLOOKUP($A57,'OI(Volume)'!$A$7:$O$427,11)</f>
        <v>6931250</v>
      </c>
      <c r="K57" s="103">
        <f>VLOOKUP($A57,'OI(Volume)'!$A$7:$O$427,12)</f>
        <v>-230000</v>
      </c>
      <c r="L57" s="103">
        <f>VLOOKUP($A57,'OI(Value)'!$A$7:$O$306,8,0)</f>
        <v>529</v>
      </c>
      <c r="M57" s="103">
        <f>VLOOKUP($A57,'OI(Value)'!$A$7:$O$306,9,0)</f>
        <v>-34</v>
      </c>
      <c r="N57" s="103">
        <f>VLOOKUP($A57,'OI(Value)'!$A$7:$O$306,11,0)</f>
        <v>351</v>
      </c>
      <c r="O57" s="103">
        <f>VLOOKUP($A57,'OI(Value)'!$A$7:$O$306,12,0)</f>
        <v>-12</v>
      </c>
      <c r="P57" s="179">
        <f>VLOOKUP(A57,'OI(Value)'!A57:O258,8,0)</f>
        <v>529</v>
      </c>
      <c r="Q57" s="179">
        <f>VLOOKUP(A57,'OI(Value)'!A57:O258,9,0)</f>
        <v>-34</v>
      </c>
      <c r="R57" s="179">
        <f>VLOOKUP(A57,'OI(Value)'!A57:O258,11,0)</f>
        <v>351</v>
      </c>
      <c r="S57" s="179">
        <f>VLOOKUP(A57,'OI(Value)'!A57:O258,11,0)</f>
        <v>351</v>
      </c>
    </row>
    <row r="58" spans="1:19" x14ac:dyDescent="0.25">
      <c r="A58" s="105" t="str">
        <f>'Data shares'!C53</f>
        <v>DALBHARAT</v>
      </c>
      <c r="B58" s="143">
        <f>VLOOKUP($A58,'Data shares'!$C:$FA,118)</f>
        <v>0.44</v>
      </c>
      <c r="C58" s="143">
        <f>VLOOKUP($A58,'Data shares'!$C:$FA,119)</f>
        <v>0.42</v>
      </c>
      <c r="D58" s="143">
        <f>VLOOKUP($A58,'Data shares'!$C:$FA,121)*100</f>
        <v>4.7600000000000007</v>
      </c>
      <c r="E58" s="143">
        <f>VLOOKUP($A58,'Data shares'!$C:$FA,124)</f>
        <v>0.36</v>
      </c>
      <c r="F58" s="143">
        <f>VLOOKUP($A58,'Data shares'!$C:$FA,125)</f>
        <v>0.37</v>
      </c>
      <c r="G58" s="143">
        <f>VLOOKUP($A58,'Data shares'!$C:$FA,127)*100</f>
        <v>-2.7</v>
      </c>
      <c r="H58" s="103">
        <f>VLOOKUP($A58,'OI(Volume)'!$A$7:$O$427,8)</f>
        <v>1423500</v>
      </c>
      <c r="I58" s="103">
        <f>VLOOKUP($A58,'OI(Volume)'!$A$7:$O$427,9)</f>
        <v>-286000</v>
      </c>
      <c r="J58" s="103">
        <f>VLOOKUP($A58,'OI(Volume)'!$A$7:$O$427,11)</f>
        <v>628875</v>
      </c>
      <c r="K58" s="103">
        <f>VLOOKUP($A58,'OI(Volume)'!$A$7:$O$427,12)</f>
        <v>-96850</v>
      </c>
      <c r="L58" s="103">
        <f>VLOOKUP($A58,'OI(Value)'!$A$7:$O$306,8,0)</f>
        <v>298</v>
      </c>
      <c r="M58" s="103">
        <f>VLOOKUP($A58,'OI(Value)'!$A$7:$O$306,9,0)</f>
        <v>-60</v>
      </c>
      <c r="N58" s="103">
        <f>VLOOKUP($A58,'OI(Value)'!$A$7:$O$306,11,0)</f>
        <v>132</v>
      </c>
      <c r="O58" s="103">
        <f>VLOOKUP($A58,'OI(Value)'!$A$7:$O$306,12,0)</f>
        <v>-20</v>
      </c>
      <c r="P58" s="179">
        <f>VLOOKUP(A58,'OI(Value)'!A58:O259,8,0)</f>
        <v>298</v>
      </c>
      <c r="Q58" s="179">
        <f>VLOOKUP(A58,'OI(Value)'!A58:O259,9,0)</f>
        <v>-60</v>
      </c>
      <c r="R58" s="179">
        <f>VLOOKUP(A58,'OI(Value)'!A58:O259,11,0)</f>
        <v>132</v>
      </c>
      <c r="S58" s="179">
        <f>VLOOKUP(A58,'OI(Value)'!A58:O259,11,0)</f>
        <v>132</v>
      </c>
    </row>
    <row r="59" spans="1:19" x14ac:dyDescent="0.25">
      <c r="A59" s="105" t="str">
        <f>'Data shares'!C54</f>
        <v>DELHIVERY</v>
      </c>
      <c r="B59" s="143">
        <f>VLOOKUP($A59,'Data shares'!$C:$FA,118)</f>
        <v>0.63</v>
      </c>
      <c r="C59" s="143">
        <f>VLOOKUP($A59,'Data shares'!$C:$FA,119)</f>
        <v>0.53</v>
      </c>
      <c r="D59" s="143">
        <f>VLOOKUP($A59,'Data shares'!$C:$FA,121)*100</f>
        <v>18.87</v>
      </c>
      <c r="E59" s="143">
        <f>VLOOKUP($A59,'Data shares'!$C:$FA,124)</f>
        <v>0.54</v>
      </c>
      <c r="F59" s="143">
        <f>VLOOKUP($A59,'Data shares'!$C:$FA,125)</f>
        <v>0.84</v>
      </c>
      <c r="G59" s="143">
        <f>VLOOKUP($A59,'Data shares'!$C:$FA,127)*100</f>
        <v>-35.709999999999994</v>
      </c>
      <c r="H59" s="103">
        <f>VLOOKUP($A59,'OI(Volume)'!$A$7:$O$427,8)</f>
        <v>9366550</v>
      </c>
      <c r="I59" s="103">
        <f>VLOOKUP($A59,'OI(Volume)'!$A$7:$O$427,9)</f>
        <v>-1641325</v>
      </c>
      <c r="J59" s="103">
        <f>VLOOKUP($A59,'OI(Volume)'!$A$7:$O$427,11)</f>
        <v>5946950</v>
      </c>
      <c r="K59" s="103">
        <f>VLOOKUP($A59,'OI(Volume)'!$A$7:$O$427,12)</f>
        <v>159775</v>
      </c>
      <c r="L59" s="103">
        <f>VLOOKUP($A59,'OI(Value)'!$A$7:$O$306,8,0)</f>
        <v>443</v>
      </c>
      <c r="M59" s="103">
        <f>VLOOKUP($A59,'OI(Value)'!$A$7:$O$306,9,0)</f>
        <v>-78</v>
      </c>
      <c r="N59" s="103">
        <f>VLOOKUP($A59,'OI(Value)'!$A$7:$O$306,11,0)</f>
        <v>281</v>
      </c>
      <c r="O59" s="103">
        <f>VLOOKUP($A59,'OI(Value)'!$A$7:$O$306,12,0)</f>
        <v>8</v>
      </c>
      <c r="P59" s="179">
        <f>VLOOKUP(A59,'OI(Value)'!A59:O260,8,0)</f>
        <v>443</v>
      </c>
      <c r="Q59" s="179">
        <f>VLOOKUP(A59,'OI(Value)'!A59:O260,9,0)</f>
        <v>-78</v>
      </c>
      <c r="R59" s="179">
        <f>VLOOKUP(A59,'OI(Value)'!A59:O260,11,0)</f>
        <v>281</v>
      </c>
      <c r="S59" s="179">
        <f>VLOOKUP(A59,'OI(Value)'!A59:O260,11,0)</f>
        <v>281</v>
      </c>
    </row>
    <row r="60" spans="1:19" x14ac:dyDescent="0.25">
      <c r="A60" s="105" t="str">
        <f>'Data shares'!C55</f>
        <v>DIVISLAB</v>
      </c>
      <c r="B60" s="143">
        <f>VLOOKUP($A60,'Data shares'!$C:$FA,118)</f>
        <v>0.84</v>
      </c>
      <c r="C60" s="143">
        <f>VLOOKUP($A60,'Data shares'!$C:$FA,119)</f>
        <v>1</v>
      </c>
      <c r="D60" s="143">
        <f>VLOOKUP($A60,'Data shares'!$C:$FA,121)*100</f>
        <v>-16</v>
      </c>
      <c r="E60" s="143">
        <f>VLOOKUP($A60,'Data shares'!$C:$FA,124)</f>
        <v>0.82</v>
      </c>
      <c r="F60" s="143">
        <f>VLOOKUP($A60,'Data shares'!$C:$FA,125)</f>
        <v>0.84</v>
      </c>
      <c r="G60" s="143">
        <f>VLOOKUP($A60,'Data shares'!$C:$FA,127)*100</f>
        <v>-2.3800000000000003</v>
      </c>
      <c r="H60" s="103">
        <f>VLOOKUP($A60,'OI(Volume)'!$A$7:$O$427,8)</f>
        <v>1425800</v>
      </c>
      <c r="I60" s="103">
        <f>VLOOKUP($A60,'OI(Volume)'!$A$7:$O$427,9)</f>
        <v>15500</v>
      </c>
      <c r="J60" s="103">
        <f>VLOOKUP($A60,'OI(Volume)'!$A$7:$O$427,11)</f>
        <v>1192000</v>
      </c>
      <c r="K60" s="103">
        <f>VLOOKUP($A60,'OI(Volume)'!$A$7:$O$427,12)</f>
        <v>-215500</v>
      </c>
      <c r="L60" s="103">
        <f>VLOOKUP($A60,'OI(Value)'!$A$7:$O$306,8,0)</f>
        <v>925</v>
      </c>
      <c r="M60" s="103">
        <f>VLOOKUP($A60,'OI(Value)'!$A$7:$O$306,9,0)</f>
        <v>10</v>
      </c>
      <c r="N60" s="103">
        <f>VLOOKUP($A60,'OI(Value)'!$A$7:$O$306,11,0)</f>
        <v>773</v>
      </c>
      <c r="O60" s="103">
        <f>VLOOKUP($A60,'OI(Value)'!$A$7:$O$306,12,0)</f>
        <v>-140</v>
      </c>
      <c r="P60" s="179">
        <f>VLOOKUP(A60,'OI(Value)'!A60:O261,8,0)</f>
        <v>925</v>
      </c>
      <c r="Q60" s="179">
        <f>VLOOKUP(A60,'OI(Value)'!A60:O261,9,0)</f>
        <v>10</v>
      </c>
      <c r="R60" s="179">
        <f>VLOOKUP(A60,'OI(Value)'!A60:O261,11,0)</f>
        <v>773</v>
      </c>
      <c r="S60" s="179">
        <f>VLOOKUP(A60,'OI(Value)'!A60:O261,11,0)</f>
        <v>773</v>
      </c>
    </row>
    <row r="61" spans="1:19" x14ac:dyDescent="0.25">
      <c r="A61" s="105" t="str">
        <f>'Data shares'!C56</f>
        <v>DIXON</v>
      </c>
      <c r="B61" s="143">
        <f>VLOOKUP($A61,'Data shares'!$C:$FA,118)</f>
        <v>0.42</v>
      </c>
      <c r="C61" s="143">
        <f>VLOOKUP($A61,'Data shares'!$C:$FA,119)</f>
        <v>0.4</v>
      </c>
      <c r="D61" s="143">
        <f>VLOOKUP($A61,'Data shares'!$C:$FA,121)*100</f>
        <v>5</v>
      </c>
      <c r="E61" s="143">
        <f>VLOOKUP($A61,'Data shares'!$C:$FA,124)</f>
        <v>0.47</v>
      </c>
      <c r="F61" s="143">
        <f>VLOOKUP($A61,'Data shares'!$C:$FA,125)</f>
        <v>0.64</v>
      </c>
      <c r="G61" s="143">
        <f>VLOOKUP($A61,'Data shares'!$C:$FA,127)*100</f>
        <v>-26.56</v>
      </c>
      <c r="H61" s="103">
        <f>VLOOKUP($A61,'OI(Volume)'!$A$7:$O$427,8)</f>
        <v>2752450</v>
      </c>
      <c r="I61" s="103">
        <f>VLOOKUP($A61,'OI(Volume)'!$A$7:$O$427,9)</f>
        <v>-390600</v>
      </c>
      <c r="J61" s="103">
        <f>VLOOKUP($A61,'OI(Volume)'!$A$7:$O$427,11)</f>
        <v>1153100</v>
      </c>
      <c r="K61" s="103">
        <f>VLOOKUP($A61,'OI(Volume)'!$A$7:$O$427,12)</f>
        <v>-110300</v>
      </c>
      <c r="L61" s="103">
        <f>VLOOKUP($A61,'OI(Value)'!$A$7:$O$306,8,0)</f>
        <v>4274</v>
      </c>
      <c r="M61" s="103">
        <f>VLOOKUP($A61,'OI(Value)'!$A$7:$O$306,9,0)</f>
        <v>-607</v>
      </c>
      <c r="N61" s="103">
        <f>VLOOKUP($A61,'OI(Value)'!$A$7:$O$306,11,0)</f>
        <v>1791</v>
      </c>
      <c r="O61" s="103">
        <f>VLOOKUP($A61,'OI(Value)'!$A$7:$O$306,12,0)</f>
        <v>-171</v>
      </c>
      <c r="P61" s="179">
        <f>VLOOKUP(A61,'OI(Value)'!A61:O262,8,0)</f>
        <v>4274</v>
      </c>
      <c r="Q61" s="179">
        <f>VLOOKUP(A61,'OI(Value)'!A61:O262,9,0)</f>
        <v>-607</v>
      </c>
      <c r="R61" s="179">
        <f>VLOOKUP(A61,'OI(Value)'!A61:O262,11,0)</f>
        <v>1791</v>
      </c>
      <c r="S61" s="179">
        <f>VLOOKUP(A61,'OI(Value)'!A61:O262,11,0)</f>
        <v>1791</v>
      </c>
    </row>
    <row r="62" spans="1:19" x14ac:dyDescent="0.25">
      <c r="A62" s="105" t="str">
        <f>'Data shares'!C57</f>
        <v>DLF</v>
      </c>
      <c r="B62" s="143">
        <f>VLOOKUP($A62,'Data shares'!$C:$FA,118)</f>
        <v>0.83</v>
      </c>
      <c r="C62" s="143">
        <f>VLOOKUP($A62,'Data shares'!$C:$FA,119)</f>
        <v>0.85</v>
      </c>
      <c r="D62" s="143">
        <f>VLOOKUP($A62,'Data shares'!$C:$FA,121)*100</f>
        <v>-2.35</v>
      </c>
      <c r="E62" s="143">
        <f>VLOOKUP($A62,'Data shares'!$C:$FA,124)</f>
        <v>0.63</v>
      </c>
      <c r="F62" s="143">
        <f>VLOOKUP($A62,'Data shares'!$C:$FA,125)</f>
        <v>0.63</v>
      </c>
      <c r="G62" s="143">
        <f>VLOOKUP($A62,'Data shares'!$C:$FA,127)*100</f>
        <v>0</v>
      </c>
      <c r="H62" s="103">
        <f>VLOOKUP($A62,'OI(Volume)'!$A$7:$O$427,8)</f>
        <v>12585375</v>
      </c>
      <c r="I62" s="103">
        <f>VLOOKUP($A62,'OI(Volume)'!$A$7:$O$427,9)</f>
        <v>16500</v>
      </c>
      <c r="J62" s="103">
        <f>VLOOKUP($A62,'OI(Volume)'!$A$7:$O$427,11)</f>
        <v>10385925</v>
      </c>
      <c r="K62" s="103">
        <f>VLOOKUP($A62,'OI(Volume)'!$A$7:$O$427,12)</f>
        <v>-273900</v>
      </c>
      <c r="L62" s="103">
        <f>VLOOKUP($A62,'OI(Value)'!$A$7:$O$306,8,0)</f>
        <v>980</v>
      </c>
      <c r="M62" s="103">
        <f>VLOOKUP($A62,'OI(Value)'!$A$7:$O$306,9,0)</f>
        <v>1</v>
      </c>
      <c r="N62" s="103">
        <f>VLOOKUP($A62,'OI(Value)'!$A$7:$O$306,11,0)</f>
        <v>809</v>
      </c>
      <c r="O62" s="103">
        <f>VLOOKUP($A62,'OI(Value)'!$A$7:$O$306,12,0)</f>
        <v>-21</v>
      </c>
      <c r="P62" s="179">
        <f>VLOOKUP(A62,'OI(Value)'!A62:O263,8,0)</f>
        <v>980</v>
      </c>
      <c r="Q62" s="179">
        <f>VLOOKUP(A62,'OI(Value)'!A62:O263,9,0)</f>
        <v>1</v>
      </c>
      <c r="R62" s="179">
        <f>VLOOKUP(A62,'OI(Value)'!A62:O263,11,0)</f>
        <v>809</v>
      </c>
      <c r="S62" s="179">
        <f>VLOOKUP(A62,'OI(Value)'!A62:O263,11,0)</f>
        <v>809</v>
      </c>
    </row>
    <row r="63" spans="1:19" x14ac:dyDescent="0.25">
      <c r="A63" s="105" t="str">
        <f>'Data shares'!C58</f>
        <v>DMART</v>
      </c>
      <c r="B63" s="143">
        <f>VLOOKUP($A63,'Data shares'!$C:$FA,118)</f>
        <v>0.4</v>
      </c>
      <c r="C63" s="143">
        <f>VLOOKUP($A63,'Data shares'!$C:$FA,119)</f>
        <v>0.37</v>
      </c>
      <c r="D63" s="143">
        <f>VLOOKUP($A63,'Data shares'!$C:$FA,121)*100</f>
        <v>8.1100000000000012</v>
      </c>
      <c r="E63" s="143">
        <f>VLOOKUP($A63,'Data shares'!$C:$FA,124)</f>
        <v>0.36</v>
      </c>
      <c r="F63" s="143">
        <f>VLOOKUP($A63,'Data shares'!$C:$FA,125)</f>
        <v>0.3</v>
      </c>
      <c r="G63" s="143">
        <f>VLOOKUP($A63,'Data shares'!$C:$FA,127)*100</f>
        <v>20</v>
      </c>
      <c r="H63" s="103">
        <f>VLOOKUP($A63,'OI(Volume)'!$A$7:$O$427,8)</f>
        <v>2725650</v>
      </c>
      <c r="I63" s="103">
        <f>VLOOKUP($A63,'OI(Volume)'!$A$7:$O$427,9)</f>
        <v>-569250</v>
      </c>
      <c r="J63" s="103">
        <f>VLOOKUP($A63,'OI(Volume)'!$A$7:$O$427,11)</f>
        <v>1102800</v>
      </c>
      <c r="K63" s="103">
        <f>VLOOKUP($A63,'OI(Volume)'!$A$7:$O$427,12)</f>
        <v>-128700</v>
      </c>
      <c r="L63" s="103">
        <f>VLOOKUP($A63,'OI(Value)'!$A$7:$O$306,8,0)</f>
        <v>1164</v>
      </c>
      <c r="M63" s="103">
        <f>VLOOKUP($A63,'OI(Value)'!$A$7:$O$306,9,0)</f>
        <v>-243</v>
      </c>
      <c r="N63" s="103">
        <f>VLOOKUP($A63,'OI(Value)'!$A$7:$O$306,11,0)</f>
        <v>471</v>
      </c>
      <c r="O63" s="103">
        <f>VLOOKUP($A63,'OI(Value)'!$A$7:$O$306,12,0)</f>
        <v>-55</v>
      </c>
      <c r="P63" s="179">
        <f>VLOOKUP(A63,'OI(Value)'!A63:O264,8,0)</f>
        <v>1164</v>
      </c>
      <c r="Q63" s="179">
        <f>VLOOKUP(A63,'OI(Value)'!A63:O264,9,0)</f>
        <v>-243</v>
      </c>
      <c r="R63" s="179">
        <f>VLOOKUP(A63,'OI(Value)'!A63:O264,11,0)</f>
        <v>471</v>
      </c>
      <c r="S63" s="179">
        <f>VLOOKUP(A63,'OI(Value)'!A63:O264,11,0)</f>
        <v>471</v>
      </c>
    </row>
    <row r="64" spans="1:19" x14ac:dyDescent="0.25">
      <c r="A64" s="105" t="str">
        <f>'Data shares'!C59</f>
        <v>DRREDDY</v>
      </c>
      <c r="B64" s="143">
        <f>VLOOKUP($A64,'Data shares'!$C:$FA,118)</f>
        <v>0.57999999999999996</v>
      </c>
      <c r="C64" s="143">
        <f>VLOOKUP($A64,'Data shares'!$C:$FA,119)</f>
        <v>0.57999999999999996</v>
      </c>
      <c r="D64" s="143">
        <f>VLOOKUP($A64,'Data shares'!$C:$FA,121)*100</f>
        <v>0</v>
      </c>
      <c r="E64" s="143">
        <f>VLOOKUP($A64,'Data shares'!$C:$FA,124)</f>
        <v>0.59</v>
      </c>
      <c r="F64" s="143">
        <f>VLOOKUP($A64,'Data shares'!$C:$FA,125)</f>
        <v>0.53</v>
      </c>
      <c r="G64" s="143">
        <f>VLOOKUP($A64,'Data shares'!$C:$FA,127)*100</f>
        <v>11.32</v>
      </c>
      <c r="H64" s="103">
        <f>VLOOKUP($A64,'OI(Volume)'!$A$7:$O$427,8)</f>
        <v>8733125</v>
      </c>
      <c r="I64" s="103">
        <f>VLOOKUP($A64,'OI(Volume)'!$A$7:$O$427,9)</f>
        <v>-429375</v>
      </c>
      <c r="J64" s="103">
        <f>VLOOKUP($A64,'OI(Volume)'!$A$7:$O$427,11)</f>
        <v>5075000</v>
      </c>
      <c r="K64" s="103">
        <f>VLOOKUP($A64,'OI(Volume)'!$A$7:$O$427,12)</f>
        <v>-246875</v>
      </c>
      <c r="L64" s="103">
        <f>VLOOKUP($A64,'OI(Value)'!$A$7:$O$306,8,0)</f>
        <v>1124</v>
      </c>
      <c r="M64" s="103">
        <f>VLOOKUP($A64,'OI(Value)'!$A$7:$O$306,9,0)</f>
        <v>-55</v>
      </c>
      <c r="N64" s="103">
        <f>VLOOKUP($A64,'OI(Value)'!$A$7:$O$306,11,0)</f>
        <v>653</v>
      </c>
      <c r="O64" s="103">
        <f>VLOOKUP($A64,'OI(Value)'!$A$7:$O$306,12,0)</f>
        <v>-32</v>
      </c>
      <c r="P64" s="179">
        <f>VLOOKUP(A64,'OI(Value)'!A64:O265,8,0)</f>
        <v>1124</v>
      </c>
      <c r="Q64" s="179">
        <f>VLOOKUP(A64,'OI(Value)'!A64:O265,9,0)</f>
        <v>-55</v>
      </c>
      <c r="R64" s="179">
        <f>VLOOKUP(A64,'OI(Value)'!A64:O265,11,0)</f>
        <v>653</v>
      </c>
      <c r="S64" s="179">
        <f>VLOOKUP(A64,'OI(Value)'!A64:O265,11,0)</f>
        <v>653</v>
      </c>
    </row>
    <row r="65" spans="1:19" x14ac:dyDescent="0.25">
      <c r="A65" s="105" t="str">
        <f>'Data shares'!C60</f>
        <v>EICHERMOT</v>
      </c>
      <c r="B65" s="143">
        <f>VLOOKUP($A65,'Data shares'!$C:$FA,118)</f>
        <v>0.79</v>
      </c>
      <c r="C65" s="143">
        <f>VLOOKUP($A65,'Data shares'!$C:$FA,119)</f>
        <v>0.69</v>
      </c>
      <c r="D65" s="143">
        <f>VLOOKUP($A65,'Data shares'!$C:$FA,121)*100</f>
        <v>14.49</v>
      </c>
      <c r="E65" s="143">
        <f>VLOOKUP($A65,'Data shares'!$C:$FA,124)</f>
        <v>0.45</v>
      </c>
      <c r="F65" s="143">
        <f>VLOOKUP($A65,'Data shares'!$C:$FA,125)</f>
        <v>0.69</v>
      </c>
      <c r="G65" s="143">
        <f>VLOOKUP($A65,'Data shares'!$C:$FA,127)*100</f>
        <v>-34.78</v>
      </c>
      <c r="H65" s="103">
        <f>VLOOKUP($A65,'OI(Volume)'!$A$7:$O$427,8)</f>
        <v>1676675</v>
      </c>
      <c r="I65" s="103">
        <f>VLOOKUP($A65,'OI(Volume)'!$A$7:$O$427,9)</f>
        <v>-313600</v>
      </c>
      <c r="J65" s="103">
        <f>VLOOKUP($A65,'OI(Volume)'!$A$7:$O$427,11)</f>
        <v>1317925</v>
      </c>
      <c r="K65" s="103">
        <f>VLOOKUP($A65,'OI(Volume)'!$A$7:$O$427,12)</f>
        <v>-64400</v>
      </c>
      <c r="L65" s="103">
        <f>VLOOKUP($A65,'OI(Value)'!$A$7:$O$306,8,0)</f>
        <v>1159</v>
      </c>
      <c r="M65" s="103">
        <f>VLOOKUP($A65,'OI(Value)'!$A$7:$O$306,9,0)</f>
        <v>-217</v>
      </c>
      <c r="N65" s="103">
        <f>VLOOKUP($A65,'OI(Value)'!$A$7:$O$306,11,0)</f>
        <v>911</v>
      </c>
      <c r="O65" s="103">
        <f>VLOOKUP($A65,'OI(Value)'!$A$7:$O$306,12,0)</f>
        <v>-45</v>
      </c>
      <c r="P65" s="179">
        <f>VLOOKUP(A65,'OI(Value)'!A65:O266,8,0)</f>
        <v>1159</v>
      </c>
      <c r="Q65" s="179">
        <f>VLOOKUP(A65,'OI(Value)'!A65:O266,9,0)</f>
        <v>-217</v>
      </c>
      <c r="R65" s="179">
        <f>VLOOKUP(A65,'OI(Value)'!A65:O266,11,0)</f>
        <v>911</v>
      </c>
      <c r="S65" s="179">
        <f>VLOOKUP(A65,'OI(Value)'!A65:O266,11,0)</f>
        <v>911</v>
      </c>
    </row>
    <row r="66" spans="1:19" x14ac:dyDescent="0.25">
      <c r="A66" s="105" t="str">
        <f>'Data shares'!C61</f>
        <v>ETERNAL</v>
      </c>
      <c r="B66" s="143">
        <f>VLOOKUP($A66,'Data shares'!$C:$FA,118)</f>
        <v>0.55000000000000004</v>
      </c>
      <c r="C66" s="143">
        <f>VLOOKUP($A66,'Data shares'!$C:$FA,119)</f>
        <v>0.54</v>
      </c>
      <c r="D66" s="143">
        <f>VLOOKUP($A66,'Data shares'!$C:$FA,121)*100</f>
        <v>1.8499999999999999</v>
      </c>
      <c r="E66" s="143">
        <f>VLOOKUP($A66,'Data shares'!$C:$FA,124)</f>
        <v>0.48</v>
      </c>
      <c r="F66" s="143">
        <f>VLOOKUP($A66,'Data shares'!$C:$FA,125)</f>
        <v>0.51</v>
      </c>
      <c r="G66" s="143">
        <f>VLOOKUP($A66,'Data shares'!$C:$FA,127)*100</f>
        <v>-5.88</v>
      </c>
      <c r="H66" s="103">
        <f>VLOOKUP($A66,'OI(Volume)'!$A$7:$O$427,8)</f>
        <v>89492200</v>
      </c>
      <c r="I66" s="103">
        <f>VLOOKUP($A66,'OI(Volume)'!$A$7:$O$427,9)</f>
        <v>-8317750</v>
      </c>
      <c r="J66" s="103">
        <f>VLOOKUP($A66,'OI(Volume)'!$A$7:$O$427,11)</f>
        <v>49225075</v>
      </c>
      <c r="K66" s="103">
        <f>VLOOKUP($A66,'OI(Volume)'!$A$7:$O$427,12)</f>
        <v>-3940625</v>
      </c>
      <c r="L66" s="103">
        <f>VLOOKUP($A66,'OI(Value)'!$A$7:$O$306,8,0)</f>
        <v>2990</v>
      </c>
      <c r="M66" s="103">
        <f>VLOOKUP($A66,'OI(Value)'!$A$7:$O$306,9,0)</f>
        <v>-278</v>
      </c>
      <c r="N66" s="103">
        <f>VLOOKUP($A66,'OI(Value)'!$A$7:$O$306,11,0)</f>
        <v>1645</v>
      </c>
      <c r="O66" s="103">
        <f>VLOOKUP($A66,'OI(Value)'!$A$7:$O$306,12,0)</f>
        <v>-132</v>
      </c>
      <c r="P66" s="179">
        <f>VLOOKUP(A66,'OI(Value)'!A66:O267,8,0)</f>
        <v>2990</v>
      </c>
      <c r="Q66" s="179">
        <f>VLOOKUP(A66,'OI(Value)'!A66:O267,9,0)</f>
        <v>-278</v>
      </c>
      <c r="R66" s="179">
        <f>VLOOKUP(A66,'OI(Value)'!A66:O267,11,0)</f>
        <v>1645</v>
      </c>
      <c r="S66" s="179">
        <f>VLOOKUP(A66,'OI(Value)'!A66:O267,11,0)</f>
        <v>1645</v>
      </c>
    </row>
    <row r="67" spans="1:19" x14ac:dyDescent="0.25">
      <c r="A67" s="105" t="str">
        <f>'Data shares'!C62</f>
        <v>EXIDEIND</v>
      </c>
      <c r="B67" s="143">
        <f>VLOOKUP($A67,'Data shares'!$C:$FA,118)</f>
        <v>0.73</v>
      </c>
      <c r="C67" s="143">
        <f>VLOOKUP($A67,'Data shares'!$C:$FA,119)</f>
        <v>0.75</v>
      </c>
      <c r="D67" s="143">
        <f>VLOOKUP($A67,'Data shares'!$C:$FA,121)*100</f>
        <v>-2.67</v>
      </c>
      <c r="E67" s="143">
        <f>VLOOKUP($A67,'Data shares'!$C:$FA,124)</f>
        <v>0.78</v>
      </c>
      <c r="F67" s="143">
        <f>VLOOKUP($A67,'Data shares'!$C:$FA,125)</f>
        <v>0.69</v>
      </c>
      <c r="G67" s="143">
        <f>VLOOKUP($A67,'Data shares'!$C:$FA,127)*100</f>
        <v>13.04</v>
      </c>
      <c r="H67" s="103">
        <f>VLOOKUP($A67,'OI(Volume)'!$A$7:$O$427,8)</f>
        <v>14646600</v>
      </c>
      <c r="I67" s="103">
        <f>VLOOKUP($A67,'OI(Volume)'!$A$7:$O$427,9)</f>
        <v>1020600</v>
      </c>
      <c r="J67" s="103">
        <f>VLOOKUP($A67,'OI(Volume)'!$A$7:$O$427,11)</f>
        <v>10735200</v>
      </c>
      <c r="K67" s="103">
        <f>VLOOKUP($A67,'OI(Volume)'!$A$7:$O$427,12)</f>
        <v>462600</v>
      </c>
      <c r="L67" s="103">
        <f>VLOOKUP($A67,'OI(Value)'!$A$7:$O$306,8,0)</f>
        <v>557</v>
      </c>
      <c r="M67" s="103">
        <f>VLOOKUP($A67,'OI(Value)'!$A$7:$O$306,9,0)</f>
        <v>39</v>
      </c>
      <c r="N67" s="103">
        <f>VLOOKUP($A67,'OI(Value)'!$A$7:$O$306,11,0)</f>
        <v>408</v>
      </c>
      <c r="O67" s="103">
        <f>VLOOKUP($A67,'OI(Value)'!$A$7:$O$306,12,0)</f>
        <v>18</v>
      </c>
      <c r="P67" s="179">
        <f>VLOOKUP(A67,'OI(Value)'!A67:O268,8,0)</f>
        <v>557</v>
      </c>
      <c r="Q67" s="179">
        <f>VLOOKUP(A67,'OI(Value)'!A67:O268,9,0)</f>
        <v>39</v>
      </c>
      <c r="R67" s="179">
        <f>VLOOKUP(A67,'OI(Value)'!A67:O268,11,0)</f>
        <v>408</v>
      </c>
      <c r="S67" s="179">
        <f>VLOOKUP(A67,'OI(Value)'!A67:O268,11,0)</f>
        <v>408</v>
      </c>
    </row>
    <row r="68" spans="1:19" x14ac:dyDescent="0.25">
      <c r="A68" s="105" t="str">
        <f>'Data shares'!C63</f>
        <v>FEDERALBNK</v>
      </c>
      <c r="B68" s="143">
        <f>VLOOKUP($A68,'Data shares'!$C:$FA,118)</f>
        <v>1.1399999999999999</v>
      </c>
      <c r="C68" s="143">
        <f>VLOOKUP($A68,'Data shares'!$C:$FA,119)</f>
        <v>0.96</v>
      </c>
      <c r="D68" s="143">
        <f>VLOOKUP($A68,'Data shares'!$C:$FA,121)*100</f>
        <v>18.75</v>
      </c>
      <c r="E68" s="143">
        <f>VLOOKUP($A68,'Data shares'!$C:$FA,124)</f>
        <v>0.52</v>
      </c>
      <c r="F68" s="143">
        <f>VLOOKUP($A68,'Data shares'!$C:$FA,125)</f>
        <v>0.56000000000000005</v>
      </c>
      <c r="G68" s="143">
        <f>VLOOKUP($A68,'Data shares'!$C:$FA,127)*100</f>
        <v>-7.1400000000000006</v>
      </c>
      <c r="H68" s="103">
        <f>VLOOKUP($A68,'OI(Volume)'!$A$7:$O$427,8)</f>
        <v>67670000</v>
      </c>
      <c r="I68" s="103">
        <f>VLOOKUP($A68,'OI(Volume)'!$A$7:$O$427,9)</f>
        <v>-7715000</v>
      </c>
      <c r="J68" s="103">
        <f>VLOOKUP($A68,'OI(Volume)'!$A$7:$O$427,11)</f>
        <v>77430000</v>
      </c>
      <c r="K68" s="103">
        <f>VLOOKUP($A68,'OI(Volume)'!$A$7:$O$427,12)</f>
        <v>4910000</v>
      </c>
      <c r="L68" s="103">
        <f>VLOOKUP($A68,'OI(Value)'!$A$7:$O$306,8,0)</f>
        <v>1581</v>
      </c>
      <c r="M68" s="103">
        <f>VLOOKUP($A68,'OI(Value)'!$A$7:$O$306,9,0)</f>
        <v>-180</v>
      </c>
      <c r="N68" s="103">
        <f>VLOOKUP($A68,'OI(Value)'!$A$7:$O$306,11,0)</f>
        <v>1809</v>
      </c>
      <c r="O68" s="103">
        <f>VLOOKUP($A68,'OI(Value)'!$A$7:$O$306,12,0)</f>
        <v>115</v>
      </c>
      <c r="P68" s="179">
        <f>VLOOKUP(A68,'OI(Value)'!A68:O269,8,0)</f>
        <v>1581</v>
      </c>
      <c r="Q68" s="179">
        <f>VLOOKUP(A68,'OI(Value)'!A68:O269,9,0)</f>
        <v>-180</v>
      </c>
      <c r="R68" s="179">
        <f>VLOOKUP(A68,'OI(Value)'!A68:O269,11,0)</f>
        <v>1809</v>
      </c>
      <c r="S68" s="179">
        <f>VLOOKUP(A68,'OI(Value)'!A68:O269,11,0)</f>
        <v>1809</v>
      </c>
    </row>
    <row r="69" spans="1:19" x14ac:dyDescent="0.25">
      <c r="A69" s="105" t="str">
        <f>'Data shares'!C64</f>
        <v>FINNIFTY</v>
      </c>
      <c r="B69" s="143">
        <f>VLOOKUP($A69,'Data shares'!$C:$FA,118)</f>
        <v>1.08</v>
      </c>
      <c r="C69" s="143">
        <f>VLOOKUP($A69,'Data shares'!$C:$FA,119)</f>
        <v>1.03</v>
      </c>
      <c r="D69" s="143">
        <f>VLOOKUP($A69,'Data shares'!$C:$FA,121)*100</f>
        <v>4.8500000000000005</v>
      </c>
      <c r="E69" s="143">
        <f>VLOOKUP($A69,'Data shares'!$C:$FA,124)</f>
        <v>1.04</v>
      </c>
      <c r="F69" s="143">
        <f>VLOOKUP($A69,'Data shares'!$C:$FA,125)</f>
        <v>1.01</v>
      </c>
      <c r="G69" s="143">
        <f>VLOOKUP($A69,'Data shares'!$C:$FA,127)*100</f>
        <v>2.97</v>
      </c>
      <c r="H69" s="103">
        <f>VLOOKUP($A69,'OI(Volume)'!$A$7:$O$427,8)</f>
        <v>1777945</v>
      </c>
      <c r="I69" s="103">
        <f>VLOOKUP($A69,'OI(Volume)'!$A$7:$O$427,9)</f>
        <v>-97500</v>
      </c>
      <c r="J69" s="103">
        <f>VLOOKUP($A69,'OI(Volume)'!$A$7:$O$427,11)</f>
        <v>1917370</v>
      </c>
      <c r="K69" s="103">
        <f>VLOOKUP($A69,'OI(Volume)'!$A$7:$O$427,12)</f>
        <v>-12870</v>
      </c>
      <c r="L69" s="103">
        <f>VLOOKUP($A69,'OI(Value)'!$A$7:$O$306,8,0)</f>
        <v>4902</v>
      </c>
      <c r="M69" s="103">
        <f>VLOOKUP($A69,'OI(Value)'!$A$7:$O$306,9,0)</f>
        <v>-269</v>
      </c>
      <c r="N69" s="103">
        <f>VLOOKUP($A69,'OI(Value)'!$A$7:$O$306,11,0)</f>
        <v>5286</v>
      </c>
      <c r="O69" s="103">
        <f>VLOOKUP($A69,'OI(Value)'!$A$7:$O$306,12,0)</f>
        <v>-35</v>
      </c>
      <c r="P69" s="179">
        <f>VLOOKUP(A69,'OI(Value)'!A69:O270,8,0)</f>
        <v>4902</v>
      </c>
      <c r="Q69" s="179">
        <f>VLOOKUP(A69,'OI(Value)'!A69:O270,9,0)</f>
        <v>-269</v>
      </c>
      <c r="R69" s="179">
        <f>VLOOKUP(A69,'OI(Value)'!A69:O270,11,0)</f>
        <v>5286</v>
      </c>
      <c r="S69" s="179">
        <f>VLOOKUP(A69,'OI(Value)'!A69:O270,11,0)</f>
        <v>5286</v>
      </c>
    </row>
    <row r="70" spans="1:19" x14ac:dyDescent="0.25">
      <c r="A70" s="105" t="str">
        <f>'Data shares'!C65</f>
        <v>FORTIS</v>
      </c>
      <c r="B70" s="143">
        <f>VLOOKUP($A70,'Data shares'!$C:$FA,118)</f>
        <v>0.71</v>
      </c>
      <c r="C70" s="143">
        <f>VLOOKUP($A70,'Data shares'!$C:$FA,119)</f>
        <v>0.69</v>
      </c>
      <c r="D70" s="143">
        <f>VLOOKUP($A70,'Data shares'!$C:$FA,121)*100</f>
        <v>2.9000000000000004</v>
      </c>
      <c r="E70" s="143">
        <f>VLOOKUP($A70,'Data shares'!$C:$FA,124)</f>
        <v>0.71</v>
      </c>
      <c r="F70" s="143">
        <f>VLOOKUP($A70,'Data shares'!$C:$FA,125)</f>
        <v>0.6</v>
      </c>
      <c r="G70" s="143">
        <f>VLOOKUP($A70,'Data shares'!$C:$FA,127)*100</f>
        <v>18.329999999999998</v>
      </c>
      <c r="H70" s="103">
        <f>VLOOKUP($A70,'OI(Volume)'!$A$7:$O$427,8)</f>
        <v>3630875</v>
      </c>
      <c r="I70" s="103">
        <f>VLOOKUP($A70,'OI(Volume)'!$A$7:$O$427,9)</f>
        <v>-426250</v>
      </c>
      <c r="J70" s="103">
        <f>VLOOKUP($A70,'OI(Volume)'!$A$7:$O$427,11)</f>
        <v>2583075</v>
      </c>
      <c r="K70" s="103">
        <f>VLOOKUP($A70,'OI(Volume)'!$A$7:$O$427,12)</f>
        <v>-199175</v>
      </c>
      <c r="L70" s="103">
        <f>VLOOKUP($A70,'OI(Value)'!$A$7:$O$306,8,0)</f>
        <v>382</v>
      </c>
      <c r="M70" s="103">
        <f>VLOOKUP($A70,'OI(Value)'!$A$7:$O$306,9,0)</f>
        <v>-45</v>
      </c>
      <c r="N70" s="103">
        <f>VLOOKUP($A70,'OI(Value)'!$A$7:$O$306,11,0)</f>
        <v>272</v>
      </c>
      <c r="O70" s="103">
        <f>VLOOKUP($A70,'OI(Value)'!$A$7:$O$306,12,0)</f>
        <v>-21</v>
      </c>
      <c r="P70" s="179">
        <f>VLOOKUP(A70,'OI(Value)'!A70:O271,8,0)</f>
        <v>382</v>
      </c>
      <c r="Q70" s="179">
        <f>VLOOKUP(A70,'OI(Value)'!A70:O271,9,0)</f>
        <v>-45</v>
      </c>
      <c r="R70" s="179">
        <f>VLOOKUP(A70,'OI(Value)'!A70:O271,11,0)</f>
        <v>272</v>
      </c>
      <c r="S70" s="179">
        <f>VLOOKUP(A70,'OI(Value)'!A70:O271,11,0)</f>
        <v>272</v>
      </c>
    </row>
    <row r="71" spans="1:19" x14ac:dyDescent="0.25">
      <c r="A71" s="105" t="str">
        <f>'Data shares'!C66</f>
        <v>GAIL</v>
      </c>
      <c r="B71" s="143">
        <f>VLOOKUP($A71,'Data shares'!$C:$FA,118)</f>
        <v>0.7</v>
      </c>
      <c r="C71" s="143">
        <f>VLOOKUP($A71,'Data shares'!$C:$FA,119)</f>
        <v>0.67</v>
      </c>
      <c r="D71" s="143">
        <f>VLOOKUP($A71,'Data shares'!$C:$FA,121)*100</f>
        <v>4.4799999999999995</v>
      </c>
      <c r="E71" s="143">
        <f>VLOOKUP($A71,'Data shares'!$C:$FA,124)</f>
        <v>0.44</v>
      </c>
      <c r="F71" s="143">
        <f>VLOOKUP($A71,'Data shares'!$C:$FA,125)</f>
        <v>0.49</v>
      </c>
      <c r="G71" s="143">
        <f>VLOOKUP($A71,'Data shares'!$C:$FA,127)*100</f>
        <v>-10.199999999999999</v>
      </c>
      <c r="H71" s="103">
        <f>VLOOKUP($A71,'OI(Volume)'!$A$7:$O$427,8)</f>
        <v>40030200</v>
      </c>
      <c r="I71" s="103">
        <f>VLOOKUP($A71,'OI(Volume)'!$A$7:$O$427,9)</f>
        <v>415800</v>
      </c>
      <c r="J71" s="103">
        <f>VLOOKUP($A71,'OI(Volume)'!$A$7:$O$427,11)</f>
        <v>27849150</v>
      </c>
      <c r="K71" s="103">
        <f>VLOOKUP($A71,'OI(Volume)'!$A$7:$O$427,12)</f>
        <v>1335600</v>
      </c>
      <c r="L71" s="103">
        <f>VLOOKUP($A71,'OI(Value)'!$A$7:$O$306,8,0)</f>
        <v>720</v>
      </c>
      <c r="M71" s="103">
        <f>VLOOKUP($A71,'OI(Value)'!$A$7:$O$306,9,0)</f>
        <v>7</v>
      </c>
      <c r="N71" s="103">
        <f>VLOOKUP($A71,'OI(Value)'!$A$7:$O$306,11,0)</f>
        <v>501</v>
      </c>
      <c r="O71" s="103">
        <f>VLOOKUP($A71,'OI(Value)'!$A$7:$O$306,12,0)</f>
        <v>24</v>
      </c>
      <c r="P71" s="179">
        <f>VLOOKUP(A71,'OI(Value)'!A71:O272,8,0)</f>
        <v>720</v>
      </c>
      <c r="Q71" s="179">
        <f>VLOOKUP(A71,'OI(Value)'!A71:O272,9,0)</f>
        <v>7</v>
      </c>
      <c r="R71" s="179">
        <f>VLOOKUP(A71,'OI(Value)'!A71:O272,11,0)</f>
        <v>501</v>
      </c>
      <c r="S71" s="179">
        <f>VLOOKUP(A71,'OI(Value)'!A71:O272,11,0)</f>
        <v>501</v>
      </c>
    </row>
    <row r="72" spans="1:19" x14ac:dyDescent="0.25">
      <c r="A72" s="105" t="str">
        <f>'Data shares'!C67</f>
        <v>GLENMARK</v>
      </c>
      <c r="B72" s="143">
        <f>VLOOKUP($A72,'Data shares'!$C:$FA,118)</f>
        <v>0.53</v>
      </c>
      <c r="C72" s="143">
        <f>VLOOKUP($A72,'Data shares'!$C:$FA,119)</f>
        <v>0.53</v>
      </c>
      <c r="D72" s="143">
        <f>VLOOKUP($A72,'Data shares'!$C:$FA,121)*100</f>
        <v>0</v>
      </c>
      <c r="E72" s="143">
        <f>VLOOKUP($A72,'Data shares'!$C:$FA,124)</f>
        <v>0.26</v>
      </c>
      <c r="F72" s="143">
        <f>VLOOKUP($A72,'Data shares'!$C:$FA,125)</f>
        <v>0.39</v>
      </c>
      <c r="G72" s="143">
        <f>VLOOKUP($A72,'Data shares'!$C:$FA,127)*100</f>
        <v>-33.33</v>
      </c>
      <c r="H72" s="103">
        <f>VLOOKUP($A72,'OI(Volume)'!$A$7:$O$427,8)</f>
        <v>2913750</v>
      </c>
      <c r="I72" s="103">
        <f>VLOOKUP($A72,'OI(Volume)'!$A$7:$O$427,9)</f>
        <v>102750</v>
      </c>
      <c r="J72" s="103">
        <f>VLOOKUP($A72,'OI(Volume)'!$A$7:$O$427,11)</f>
        <v>1558500</v>
      </c>
      <c r="K72" s="103">
        <f>VLOOKUP($A72,'OI(Volume)'!$A$7:$O$427,12)</f>
        <v>74250</v>
      </c>
      <c r="L72" s="103">
        <f>VLOOKUP($A72,'OI(Value)'!$A$7:$O$306,8,0)</f>
        <v>530</v>
      </c>
      <c r="M72" s="103">
        <f>VLOOKUP($A72,'OI(Value)'!$A$7:$O$306,9,0)</f>
        <v>19</v>
      </c>
      <c r="N72" s="103">
        <f>VLOOKUP($A72,'OI(Value)'!$A$7:$O$306,11,0)</f>
        <v>283</v>
      </c>
      <c r="O72" s="103">
        <f>VLOOKUP($A72,'OI(Value)'!$A$7:$O$306,12,0)</f>
        <v>13</v>
      </c>
      <c r="P72" s="179">
        <f>VLOOKUP(A72,'OI(Value)'!A72:O273,8,0)</f>
        <v>530</v>
      </c>
      <c r="Q72" s="179">
        <f>VLOOKUP(A72,'OI(Value)'!A72:O273,9,0)</f>
        <v>19</v>
      </c>
      <c r="R72" s="179">
        <f>VLOOKUP(A72,'OI(Value)'!A72:O273,11,0)</f>
        <v>283</v>
      </c>
      <c r="S72" s="179">
        <f>VLOOKUP(A72,'OI(Value)'!A72:O273,11,0)</f>
        <v>283</v>
      </c>
    </row>
    <row r="73" spans="1:19" x14ac:dyDescent="0.25">
      <c r="A73" s="105" t="str">
        <f>'Data shares'!C68</f>
        <v>GMRAIRPORT</v>
      </c>
      <c r="B73" s="143">
        <f>VLOOKUP($A73,'Data shares'!$C:$FA,118)</f>
        <v>0.5</v>
      </c>
      <c r="C73" s="143">
        <f>VLOOKUP($A73,'Data shares'!$C:$FA,119)</f>
        <v>0.47</v>
      </c>
      <c r="D73" s="143">
        <f>VLOOKUP($A73,'Data shares'!$C:$FA,121)*100</f>
        <v>6.38</v>
      </c>
      <c r="E73" s="143">
        <f>VLOOKUP($A73,'Data shares'!$C:$FA,124)</f>
        <v>0.42</v>
      </c>
      <c r="F73" s="143">
        <f>VLOOKUP($A73,'Data shares'!$C:$FA,125)</f>
        <v>0.36</v>
      </c>
      <c r="G73" s="143">
        <f>VLOOKUP($A73,'Data shares'!$C:$FA,127)*100</f>
        <v>16.669999999999998</v>
      </c>
      <c r="H73" s="103">
        <f>VLOOKUP($A73,'OI(Volume)'!$A$7:$O$427,8)</f>
        <v>93206925</v>
      </c>
      <c r="I73" s="103">
        <f>VLOOKUP($A73,'OI(Volume)'!$A$7:$O$427,9)</f>
        <v>1234575</v>
      </c>
      <c r="J73" s="103">
        <f>VLOOKUP($A73,'OI(Volume)'!$A$7:$O$427,11)</f>
        <v>46725525</v>
      </c>
      <c r="K73" s="103">
        <f>VLOOKUP($A73,'OI(Volume)'!$A$7:$O$427,12)</f>
        <v>3138750</v>
      </c>
      <c r="L73" s="103">
        <f>VLOOKUP($A73,'OI(Value)'!$A$7:$O$306,8,0)</f>
        <v>862</v>
      </c>
      <c r="M73" s="103">
        <f>VLOOKUP($A73,'OI(Value)'!$A$7:$O$306,9,0)</f>
        <v>11</v>
      </c>
      <c r="N73" s="103">
        <f>VLOOKUP($A73,'OI(Value)'!$A$7:$O$306,11,0)</f>
        <v>432</v>
      </c>
      <c r="O73" s="103">
        <f>VLOOKUP($A73,'OI(Value)'!$A$7:$O$306,12,0)</f>
        <v>29</v>
      </c>
      <c r="P73" s="179">
        <f>VLOOKUP(A73,'OI(Value)'!A73:O274,8,0)</f>
        <v>862</v>
      </c>
      <c r="Q73" s="179">
        <f>VLOOKUP(A73,'OI(Value)'!A73:O274,9,0)</f>
        <v>11</v>
      </c>
      <c r="R73" s="179">
        <f>VLOOKUP(A73,'OI(Value)'!A73:O274,11,0)</f>
        <v>432</v>
      </c>
      <c r="S73" s="179">
        <f>VLOOKUP(A73,'OI(Value)'!A73:O274,11,0)</f>
        <v>432</v>
      </c>
    </row>
    <row r="74" spans="1:19" x14ac:dyDescent="0.25">
      <c r="A74" s="105" t="str">
        <f>'Data shares'!C69</f>
        <v>GODREJCP</v>
      </c>
      <c r="B74" s="143">
        <f>VLOOKUP($A74,'Data shares'!$C:$FA,118)</f>
        <v>0.76</v>
      </c>
      <c r="C74" s="143">
        <f>VLOOKUP($A74,'Data shares'!$C:$FA,119)</f>
        <v>0.7</v>
      </c>
      <c r="D74" s="143">
        <f>VLOOKUP($A74,'Data shares'!$C:$FA,121)*100</f>
        <v>8.57</v>
      </c>
      <c r="E74" s="143">
        <f>VLOOKUP($A74,'Data shares'!$C:$FA,124)</f>
        <v>0.5</v>
      </c>
      <c r="F74" s="143">
        <f>VLOOKUP($A74,'Data shares'!$C:$FA,125)</f>
        <v>0.56999999999999995</v>
      </c>
      <c r="G74" s="143">
        <f>VLOOKUP($A74,'Data shares'!$C:$FA,127)*100</f>
        <v>-12.280000000000001</v>
      </c>
      <c r="H74" s="103">
        <f>VLOOKUP($A74,'OI(Volume)'!$A$7:$O$427,8)</f>
        <v>2907500</v>
      </c>
      <c r="I74" s="103">
        <f>VLOOKUP($A74,'OI(Volume)'!$A$7:$O$427,9)</f>
        <v>-385000</v>
      </c>
      <c r="J74" s="103">
        <f>VLOOKUP($A74,'OI(Volume)'!$A$7:$O$427,11)</f>
        <v>2205500</v>
      </c>
      <c r="K74" s="103">
        <f>VLOOKUP($A74,'OI(Volume)'!$A$7:$O$427,12)</f>
        <v>-103500</v>
      </c>
      <c r="L74" s="103">
        <f>VLOOKUP($A74,'OI(Value)'!$A$7:$O$306,8,0)</f>
        <v>328</v>
      </c>
      <c r="M74" s="103">
        <f>VLOOKUP($A74,'OI(Value)'!$A$7:$O$306,9,0)</f>
        <v>-43</v>
      </c>
      <c r="N74" s="103">
        <f>VLOOKUP($A74,'OI(Value)'!$A$7:$O$306,11,0)</f>
        <v>249</v>
      </c>
      <c r="O74" s="103">
        <f>VLOOKUP($A74,'OI(Value)'!$A$7:$O$306,12,0)</f>
        <v>-12</v>
      </c>
      <c r="P74" s="179">
        <f>VLOOKUP(A74,'OI(Value)'!A74:O275,8,0)</f>
        <v>328</v>
      </c>
      <c r="Q74" s="179">
        <f>VLOOKUP(A74,'OI(Value)'!A74:O275,9,0)</f>
        <v>-43</v>
      </c>
      <c r="R74" s="179">
        <f>VLOOKUP(A74,'OI(Value)'!A74:O275,11,0)</f>
        <v>249</v>
      </c>
      <c r="S74" s="179">
        <f>VLOOKUP(A74,'OI(Value)'!A74:O275,11,0)</f>
        <v>249</v>
      </c>
    </row>
    <row r="75" spans="1:19" x14ac:dyDescent="0.25">
      <c r="A75" s="105" t="str">
        <f>'Data shares'!C70</f>
        <v>GODREJPROP</v>
      </c>
      <c r="B75" s="143">
        <f>VLOOKUP($A75,'Data shares'!$C:$FA,118)</f>
        <v>0.94</v>
      </c>
      <c r="C75" s="143">
        <f>VLOOKUP($A75,'Data shares'!$C:$FA,119)</f>
        <v>1.02</v>
      </c>
      <c r="D75" s="143">
        <f>VLOOKUP($A75,'Data shares'!$C:$FA,121)*100</f>
        <v>-7.84</v>
      </c>
      <c r="E75" s="143">
        <f>VLOOKUP($A75,'Data shares'!$C:$FA,124)</f>
        <v>0.54</v>
      </c>
      <c r="F75" s="143">
        <f>VLOOKUP($A75,'Data shares'!$C:$FA,125)</f>
        <v>0.81</v>
      </c>
      <c r="G75" s="143">
        <f>VLOOKUP($A75,'Data shares'!$C:$FA,127)*100</f>
        <v>-33.33</v>
      </c>
      <c r="H75" s="103">
        <f>VLOOKUP($A75,'OI(Volume)'!$A$7:$O$427,8)</f>
        <v>2709850</v>
      </c>
      <c r="I75" s="103">
        <f>VLOOKUP($A75,'OI(Volume)'!$A$7:$O$427,9)</f>
        <v>-3575</v>
      </c>
      <c r="J75" s="103">
        <f>VLOOKUP($A75,'OI(Volume)'!$A$7:$O$427,11)</f>
        <v>2538250</v>
      </c>
      <c r="K75" s="103">
        <f>VLOOKUP($A75,'OI(Volume)'!$A$7:$O$427,12)</f>
        <v>-230725</v>
      </c>
      <c r="L75" s="103">
        <f>VLOOKUP($A75,'OI(Value)'!$A$7:$O$306,8,0)</f>
        <v>628</v>
      </c>
      <c r="M75" s="103">
        <f>VLOOKUP($A75,'OI(Value)'!$A$7:$O$306,9,0)</f>
        <v>-1</v>
      </c>
      <c r="N75" s="103">
        <f>VLOOKUP($A75,'OI(Value)'!$A$7:$O$306,11,0)</f>
        <v>588</v>
      </c>
      <c r="O75" s="103">
        <f>VLOOKUP($A75,'OI(Value)'!$A$7:$O$306,12,0)</f>
        <v>-53</v>
      </c>
      <c r="P75" s="179">
        <f>VLOOKUP(A75,'OI(Value)'!A75:O276,8,0)</f>
        <v>628</v>
      </c>
      <c r="Q75" s="179">
        <f>VLOOKUP(A75,'OI(Value)'!A75:O276,9,0)</f>
        <v>-1</v>
      </c>
      <c r="R75" s="179">
        <f>VLOOKUP(A75,'OI(Value)'!A75:O276,11,0)</f>
        <v>588</v>
      </c>
      <c r="S75" s="179">
        <f>VLOOKUP(A75,'OI(Value)'!A75:O276,11,0)</f>
        <v>588</v>
      </c>
    </row>
    <row r="76" spans="1:19" x14ac:dyDescent="0.25">
      <c r="A76" s="105" t="str">
        <f>'Data shares'!C71</f>
        <v>GRASIM</v>
      </c>
      <c r="B76" s="143">
        <f>VLOOKUP($A76,'Data shares'!$C:$FA,118)</f>
        <v>0.63</v>
      </c>
      <c r="C76" s="143">
        <f>VLOOKUP($A76,'Data shares'!$C:$FA,119)</f>
        <v>0.6</v>
      </c>
      <c r="D76" s="143">
        <f>VLOOKUP($A76,'Data shares'!$C:$FA,121)*100</f>
        <v>5</v>
      </c>
      <c r="E76" s="143">
        <f>VLOOKUP($A76,'Data shares'!$C:$FA,124)</f>
        <v>0.36</v>
      </c>
      <c r="F76" s="143">
        <f>VLOOKUP($A76,'Data shares'!$C:$FA,125)</f>
        <v>0.55000000000000004</v>
      </c>
      <c r="G76" s="143">
        <f>VLOOKUP($A76,'Data shares'!$C:$FA,127)*100</f>
        <v>-34.549999999999997</v>
      </c>
      <c r="H76" s="103">
        <f>VLOOKUP($A76,'OI(Volume)'!$A$7:$O$427,8)</f>
        <v>2206000</v>
      </c>
      <c r="I76" s="103">
        <f>VLOOKUP($A76,'OI(Volume)'!$A$7:$O$427,9)</f>
        <v>378000</v>
      </c>
      <c r="J76" s="103">
        <f>VLOOKUP($A76,'OI(Volume)'!$A$7:$O$427,11)</f>
        <v>1381000</v>
      </c>
      <c r="K76" s="103">
        <f>VLOOKUP($A76,'OI(Volume)'!$A$7:$O$427,12)</f>
        <v>284000</v>
      </c>
      <c r="L76" s="103">
        <f>VLOOKUP($A76,'OI(Value)'!$A$7:$O$306,8,0)</f>
        <v>645</v>
      </c>
      <c r="M76" s="103">
        <f>VLOOKUP($A76,'OI(Value)'!$A$7:$O$306,9,0)</f>
        <v>110</v>
      </c>
      <c r="N76" s="103">
        <f>VLOOKUP($A76,'OI(Value)'!$A$7:$O$306,11,0)</f>
        <v>404</v>
      </c>
      <c r="O76" s="103">
        <f>VLOOKUP($A76,'OI(Value)'!$A$7:$O$306,12,0)</f>
        <v>83</v>
      </c>
      <c r="P76" s="179">
        <f>VLOOKUP(A76,'OI(Value)'!A76:O277,8,0)</f>
        <v>645</v>
      </c>
      <c r="Q76" s="179">
        <f>VLOOKUP(A76,'OI(Value)'!A76:O277,9,0)</f>
        <v>110</v>
      </c>
      <c r="R76" s="179">
        <f>VLOOKUP(A76,'OI(Value)'!A76:O277,11,0)</f>
        <v>404</v>
      </c>
      <c r="S76" s="179">
        <f>VLOOKUP(A76,'OI(Value)'!A76:O277,11,0)</f>
        <v>404</v>
      </c>
    </row>
    <row r="77" spans="1:19" x14ac:dyDescent="0.25">
      <c r="A77" s="105" t="str">
        <f>'Data shares'!C72</f>
        <v>HAL</v>
      </c>
      <c r="B77" s="143">
        <f>VLOOKUP($A77,'Data shares'!$C:$FA,118)</f>
        <v>0.52</v>
      </c>
      <c r="C77" s="143">
        <f>VLOOKUP($A77,'Data shares'!$C:$FA,119)</f>
        <v>0.51</v>
      </c>
      <c r="D77" s="143">
        <f>VLOOKUP($A77,'Data shares'!$C:$FA,121)*100</f>
        <v>1.96</v>
      </c>
      <c r="E77" s="143">
        <f>VLOOKUP($A77,'Data shares'!$C:$FA,124)</f>
        <v>0.41</v>
      </c>
      <c r="F77" s="143">
        <f>VLOOKUP($A77,'Data shares'!$C:$FA,125)</f>
        <v>0.33</v>
      </c>
      <c r="G77" s="143">
        <f>VLOOKUP($A77,'Data shares'!$C:$FA,127)*100</f>
        <v>24.240000000000002</v>
      </c>
      <c r="H77" s="103">
        <f>VLOOKUP($A77,'OI(Volume)'!$A$7:$O$427,8)</f>
        <v>4930200</v>
      </c>
      <c r="I77" s="103">
        <f>VLOOKUP($A77,'OI(Volume)'!$A$7:$O$427,9)</f>
        <v>-182400</v>
      </c>
      <c r="J77" s="103">
        <f>VLOOKUP($A77,'OI(Volume)'!$A$7:$O$427,11)</f>
        <v>2582100</v>
      </c>
      <c r="K77" s="103">
        <f>VLOOKUP($A77,'OI(Volume)'!$A$7:$O$427,12)</f>
        <v>-44850</v>
      </c>
      <c r="L77" s="103">
        <f>VLOOKUP($A77,'OI(Value)'!$A$7:$O$306,8,0)</f>
        <v>2349</v>
      </c>
      <c r="M77" s="103">
        <f>VLOOKUP($A77,'OI(Value)'!$A$7:$O$306,9,0)</f>
        <v>-87</v>
      </c>
      <c r="N77" s="103">
        <f>VLOOKUP($A77,'OI(Value)'!$A$7:$O$306,11,0)</f>
        <v>1230</v>
      </c>
      <c r="O77" s="103">
        <f>VLOOKUP($A77,'OI(Value)'!$A$7:$O$306,12,0)</f>
        <v>-21</v>
      </c>
      <c r="P77" s="179">
        <f>VLOOKUP(A77,'OI(Value)'!A77:O278,8,0)</f>
        <v>2349</v>
      </c>
      <c r="Q77" s="179">
        <f>VLOOKUP(A77,'OI(Value)'!A77:O278,9,0)</f>
        <v>-87</v>
      </c>
      <c r="R77" s="179">
        <f>VLOOKUP(A77,'OI(Value)'!A77:O278,11,0)</f>
        <v>1230</v>
      </c>
      <c r="S77" s="179">
        <f>VLOOKUP(A77,'OI(Value)'!A77:O278,11,0)</f>
        <v>1230</v>
      </c>
    </row>
    <row r="78" spans="1:19" x14ac:dyDescent="0.25">
      <c r="A78" s="105" t="str">
        <f>'Data shares'!C73</f>
        <v>HAVELLS</v>
      </c>
      <c r="B78" s="143">
        <f>VLOOKUP($A78,'Data shares'!$C:$FA,118)</f>
        <v>0.64</v>
      </c>
      <c r="C78" s="143">
        <f>VLOOKUP($A78,'Data shares'!$C:$FA,119)</f>
        <v>0.62</v>
      </c>
      <c r="D78" s="143">
        <f>VLOOKUP($A78,'Data shares'!$C:$FA,121)*100</f>
        <v>3.2300000000000004</v>
      </c>
      <c r="E78" s="143">
        <f>VLOOKUP($A78,'Data shares'!$C:$FA,124)</f>
        <v>0.82</v>
      </c>
      <c r="F78" s="143">
        <f>VLOOKUP($A78,'Data shares'!$C:$FA,125)</f>
        <v>0.48</v>
      </c>
      <c r="G78" s="143">
        <f>VLOOKUP($A78,'Data shares'!$C:$FA,127)*100</f>
        <v>70.83</v>
      </c>
      <c r="H78" s="103">
        <f>VLOOKUP($A78,'OI(Volume)'!$A$7:$O$427,8)</f>
        <v>2551000</v>
      </c>
      <c r="I78" s="103">
        <f>VLOOKUP($A78,'OI(Volume)'!$A$7:$O$427,9)</f>
        <v>-385500</v>
      </c>
      <c r="J78" s="103">
        <f>VLOOKUP($A78,'OI(Volume)'!$A$7:$O$427,11)</f>
        <v>1625500</v>
      </c>
      <c r="K78" s="103">
        <f>VLOOKUP($A78,'OI(Volume)'!$A$7:$O$427,12)</f>
        <v>-203000</v>
      </c>
      <c r="L78" s="103">
        <f>VLOOKUP($A78,'OI(Value)'!$A$7:$O$306,8,0)</f>
        <v>381</v>
      </c>
      <c r="M78" s="103">
        <f>VLOOKUP($A78,'OI(Value)'!$A$7:$O$306,9,0)</f>
        <v>-58</v>
      </c>
      <c r="N78" s="103">
        <f>VLOOKUP($A78,'OI(Value)'!$A$7:$O$306,11,0)</f>
        <v>243</v>
      </c>
      <c r="O78" s="103">
        <f>VLOOKUP($A78,'OI(Value)'!$A$7:$O$306,12,0)</f>
        <v>-30</v>
      </c>
      <c r="P78" s="179">
        <f>VLOOKUP(A78,'OI(Value)'!A78:O279,8,0)</f>
        <v>381</v>
      </c>
      <c r="Q78" s="179">
        <f>VLOOKUP(A78,'OI(Value)'!A78:O279,9,0)</f>
        <v>-58</v>
      </c>
      <c r="R78" s="179">
        <f>VLOOKUP(A78,'OI(Value)'!A78:O279,11,0)</f>
        <v>243</v>
      </c>
      <c r="S78" s="179">
        <f>VLOOKUP(A78,'OI(Value)'!A78:O279,11,0)</f>
        <v>243</v>
      </c>
    </row>
    <row r="79" spans="1:19" x14ac:dyDescent="0.25">
      <c r="A79" s="105" t="str">
        <f>'Data shares'!C74</f>
        <v>HCLTECH</v>
      </c>
      <c r="B79" s="143">
        <f>VLOOKUP($A79,'Data shares'!$C:$FA,118)</f>
        <v>0.67</v>
      </c>
      <c r="C79" s="143">
        <f>VLOOKUP($A79,'Data shares'!$C:$FA,119)</f>
        <v>0.63</v>
      </c>
      <c r="D79" s="143">
        <f>VLOOKUP($A79,'Data shares'!$C:$FA,121)*100</f>
        <v>6.35</v>
      </c>
      <c r="E79" s="143">
        <f>VLOOKUP($A79,'Data shares'!$C:$FA,124)</f>
        <v>0.56000000000000005</v>
      </c>
      <c r="F79" s="143">
        <f>VLOOKUP($A79,'Data shares'!$C:$FA,125)</f>
        <v>0.67</v>
      </c>
      <c r="G79" s="143">
        <f>VLOOKUP($A79,'Data shares'!$C:$FA,127)*100</f>
        <v>-16.420000000000002</v>
      </c>
      <c r="H79" s="103">
        <f>VLOOKUP($A79,'OI(Volume)'!$A$7:$O$427,8)</f>
        <v>7290500</v>
      </c>
      <c r="I79" s="103">
        <f>VLOOKUP($A79,'OI(Volume)'!$A$7:$O$427,9)</f>
        <v>-727650</v>
      </c>
      <c r="J79" s="103">
        <f>VLOOKUP($A79,'OI(Volume)'!$A$7:$O$427,11)</f>
        <v>4918550</v>
      </c>
      <c r="K79" s="103">
        <f>VLOOKUP($A79,'OI(Volume)'!$A$7:$O$427,12)</f>
        <v>-129150</v>
      </c>
      <c r="L79" s="103">
        <f>VLOOKUP($A79,'OI(Value)'!$A$7:$O$306,8,0)</f>
        <v>1119</v>
      </c>
      <c r="M79" s="103">
        <f>VLOOKUP($A79,'OI(Value)'!$A$7:$O$306,9,0)</f>
        <v>-112</v>
      </c>
      <c r="N79" s="103">
        <f>VLOOKUP($A79,'OI(Value)'!$A$7:$O$306,11,0)</f>
        <v>755</v>
      </c>
      <c r="O79" s="103">
        <f>VLOOKUP($A79,'OI(Value)'!$A$7:$O$306,12,0)</f>
        <v>-20</v>
      </c>
      <c r="P79" s="179">
        <f>VLOOKUP(A79,'OI(Value)'!A79:O280,8,0)</f>
        <v>1119</v>
      </c>
      <c r="Q79" s="179">
        <f>VLOOKUP(A79,'OI(Value)'!A79:O280,9,0)</f>
        <v>-112</v>
      </c>
      <c r="R79" s="179">
        <f>VLOOKUP(A79,'OI(Value)'!A79:O280,11,0)</f>
        <v>755</v>
      </c>
      <c r="S79" s="179">
        <f>VLOOKUP(A79,'OI(Value)'!A79:O280,11,0)</f>
        <v>755</v>
      </c>
    </row>
    <row r="80" spans="1:19" x14ac:dyDescent="0.25">
      <c r="A80" s="105" t="str">
        <f>'Data shares'!C75</f>
        <v>HDFCAMC</v>
      </c>
      <c r="B80" s="143">
        <f>VLOOKUP($A80,'Data shares'!$C:$FA,118)</f>
        <v>0.53</v>
      </c>
      <c r="C80" s="143">
        <f>VLOOKUP($A80,'Data shares'!$C:$FA,119)</f>
        <v>0.44</v>
      </c>
      <c r="D80" s="143">
        <f>VLOOKUP($A80,'Data shares'!$C:$FA,121)*100</f>
        <v>20.45</v>
      </c>
      <c r="E80" s="143">
        <f>VLOOKUP($A80,'Data shares'!$C:$FA,124)</f>
        <v>0.37</v>
      </c>
      <c r="F80" s="143">
        <f>VLOOKUP($A80,'Data shares'!$C:$FA,125)</f>
        <v>0.43</v>
      </c>
      <c r="G80" s="143">
        <f>VLOOKUP($A80,'Data shares'!$C:$FA,127)*100</f>
        <v>-13.950000000000001</v>
      </c>
      <c r="H80" s="103">
        <f>VLOOKUP($A80,'OI(Volume)'!$A$7:$O$427,8)</f>
        <v>1668000</v>
      </c>
      <c r="I80" s="103">
        <f>VLOOKUP($A80,'OI(Volume)'!$A$7:$O$427,9)</f>
        <v>-386100</v>
      </c>
      <c r="J80" s="103">
        <f>VLOOKUP($A80,'OI(Volume)'!$A$7:$O$427,11)</f>
        <v>890700</v>
      </c>
      <c r="K80" s="103">
        <f>VLOOKUP($A80,'OI(Volume)'!$A$7:$O$427,12)</f>
        <v>-20550</v>
      </c>
      <c r="L80" s="103">
        <f>VLOOKUP($A80,'OI(Value)'!$A$7:$O$306,8,0)</f>
        <v>929</v>
      </c>
      <c r="M80" s="103">
        <f>VLOOKUP($A80,'OI(Value)'!$A$7:$O$306,9,0)</f>
        <v>-215</v>
      </c>
      <c r="N80" s="103">
        <f>VLOOKUP($A80,'OI(Value)'!$A$7:$O$306,11,0)</f>
        <v>496</v>
      </c>
      <c r="O80" s="103">
        <f>VLOOKUP($A80,'OI(Value)'!$A$7:$O$306,12,0)</f>
        <v>-11</v>
      </c>
      <c r="P80" s="179">
        <f>VLOOKUP(A80,'OI(Value)'!A80:O281,8,0)</f>
        <v>929</v>
      </c>
      <c r="Q80" s="179">
        <f>VLOOKUP(A80,'OI(Value)'!A80:O281,9,0)</f>
        <v>-215</v>
      </c>
      <c r="R80" s="179">
        <f>VLOOKUP(A80,'OI(Value)'!A80:O281,11,0)</f>
        <v>496</v>
      </c>
      <c r="S80" s="179">
        <f>VLOOKUP(A80,'OI(Value)'!A80:O281,11,0)</f>
        <v>496</v>
      </c>
    </row>
    <row r="81" spans="1:19" x14ac:dyDescent="0.25">
      <c r="A81" s="105" t="str">
        <f>'Data shares'!C76</f>
        <v>HDFCBANK</v>
      </c>
      <c r="B81" s="143">
        <f>VLOOKUP($A81,'Data shares'!$C:$FA,118)</f>
        <v>0.94</v>
      </c>
      <c r="C81" s="143">
        <f>VLOOKUP($A81,'Data shares'!$C:$FA,119)</f>
        <v>0.87</v>
      </c>
      <c r="D81" s="143">
        <f>VLOOKUP($A81,'Data shares'!$C:$FA,121)*100</f>
        <v>8.0500000000000007</v>
      </c>
      <c r="E81" s="143">
        <f>VLOOKUP($A81,'Data shares'!$C:$FA,124)</f>
        <v>0.66</v>
      </c>
      <c r="F81" s="143">
        <f>VLOOKUP($A81,'Data shares'!$C:$FA,125)</f>
        <v>0.85</v>
      </c>
      <c r="G81" s="143">
        <f>VLOOKUP($A81,'Data shares'!$C:$FA,127)*100</f>
        <v>-22.35</v>
      </c>
      <c r="H81" s="103">
        <f>VLOOKUP($A81,'OI(Volume)'!$A$7:$O$427,8)</f>
        <v>33664400</v>
      </c>
      <c r="I81" s="103">
        <f>VLOOKUP($A81,'OI(Volume)'!$A$7:$O$427,9)</f>
        <v>-3918200</v>
      </c>
      <c r="J81" s="103">
        <f>VLOOKUP($A81,'OI(Volume)'!$A$7:$O$427,11)</f>
        <v>31660200</v>
      </c>
      <c r="K81" s="103">
        <f>VLOOKUP($A81,'OI(Volume)'!$A$7:$O$427,12)</f>
        <v>-1158300</v>
      </c>
      <c r="L81" s="103">
        <f>VLOOKUP($A81,'OI(Value)'!$A$7:$O$306,8,0)</f>
        <v>3381</v>
      </c>
      <c r="M81" s="103">
        <f>VLOOKUP($A81,'OI(Value)'!$A$7:$O$306,9,0)</f>
        <v>-394</v>
      </c>
      <c r="N81" s="103">
        <f>VLOOKUP($A81,'OI(Value)'!$A$7:$O$306,11,0)</f>
        <v>3180</v>
      </c>
      <c r="O81" s="103">
        <f>VLOOKUP($A81,'OI(Value)'!$A$7:$O$306,12,0)</f>
        <v>-116</v>
      </c>
      <c r="P81" s="179">
        <f>VLOOKUP(A81,'OI(Value)'!A81:O282,8,0)</f>
        <v>3381</v>
      </c>
      <c r="Q81" s="179">
        <f>VLOOKUP(A81,'OI(Value)'!A81:O282,9,0)</f>
        <v>-394</v>
      </c>
      <c r="R81" s="179">
        <f>VLOOKUP(A81,'OI(Value)'!A81:O282,11,0)</f>
        <v>3180</v>
      </c>
      <c r="S81" s="179">
        <f>VLOOKUP(A81,'OI(Value)'!A81:O282,11,0)</f>
        <v>3180</v>
      </c>
    </row>
    <row r="82" spans="1:19" x14ac:dyDescent="0.25">
      <c r="A82" s="105" t="str">
        <f>'Data shares'!C77</f>
        <v>HDFCLIFE</v>
      </c>
      <c r="B82" s="143">
        <f>VLOOKUP($A82,'Data shares'!$C:$FA,118)</f>
        <v>0.5</v>
      </c>
      <c r="C82" s="143">
        <f>VLOOKUP($A82,'Data shares'!$C:$FA,119)</f>
        <v>0.52</v>
      </c>
      <c r="D82" s="143">
        <f>VLOOKUP($A82,'Data shares'!$C:$FA,121)*100</f>
        <v>-3.85</v>
      </c>
      <c r="E82" s="143">
        <f>VLOOKUP($A82,'Data shares'!$C:$FA,124)</f>
        <v>0.44</v>
      </c>
      <c r="F82" s="143">
        <f>VLOOKUP($A82,'Data shares'!$C:$FA,125)</f>
        <v>0.34</v>
      </c>
      <c r="G82" s="143">
        <f>VLOOKUP($A82,'Data shares'!$C:$FA,127)*100</f>
        <v>29.409999999999997</v>
      </c>
      <c r="H82" s="103">
        <f>VLOOKUP($A82,'OI(Volume)'!$A$7:$O$427,8)</f>
        <v>12999800</v>
      </c>
      <c r="I82" s="103">
        <f>VLOOKUP($A82,'OI(Volume)'!$A$7:$O$427,9)</f>
        <v>-585200</v>
      </c>
      <c r="J82" s="103">
        <f>VLOOKUP($A82,'OI(Volume)'!$A$7:$O$427,11)</f>
        <v>6524100</v>
      </c>
      <c r="K82" s="103">
        <f>VLOOKUP($A82,'OI(Volume)'!$A$7:$O$427,12)</f>
        <v>-578600</v>
      </c>
      <c r="L82" s="103">
        <f>VLOOKUP($A82,'OI(Value)'!$A$7:$O$306,8,0)</f>
        <v>961</v>
      </c>
      <c r="M82" s="103">
        <f>VLOOKUP($A82,'OI(Value)'!$A$7:$O$306,9,0)</f>
        <v>-43</v>
      </c>
      <c r="N82" s="103">
        <f>VLOOKUP($A82,'OI(Value)'!$A$7:$O$306,11,0)</f>
        <v>482</v>
      </c>
      <c r="O82" s="103">
        <f>VLOOKUP($A82,'OI(Value)'!$A$7:$O$306,12,0)</f>
        <v>-43</v>
      </c>
      <c r="P82" s="179">
        <f>VLOOKUP(A82,'OI(Value)'!A82:O283,8,0)</f>
        <v>961</v>
      </c>
      <c r="Q82" s="179">
        <f>VLOOKUP(A82,'OI(Value)'!A82:O283,9,0)</f>
        <v>-43</v>
      </c>
      <c r="R82" s="179">
        <f>VLOOKUP(A82,'OI(Value)'!A82:O283,11,0)</f>
        <v>482</v>
      </c>
      <c r="S82" s="179">
        <f>VLOOKUP(A82,'OI(Value)'!A82:O283,11,0)</f>
        <v>482</v>
      </c>
    </row>
    <row r="83" spans="1:19" x14ac:dyDescent="0.25">
      <c r="A83" s="105" t="str">
        <f>'Data shares'!C78</f>
        <v>HEROMOTOCO</v>
      </c>
      <c r="B83" s="143">
        <f>VLOOKUP($A83,'Data shares'!$C:$FA,118)</f>
        <v>0.78</v>
      </c>
      <c r="C83" s="143">
        <f>VLOOKUP($A83,'Data shares'!$C:$FA,119)</f>
        <v>0.66</v>
      </c>
      <c r="D83" s="143">
        <f>VLOOKUP($A83,'Data shares'!$C:$FA,121)*100</f>
        <v>18.18</v>
      </c>
      <c r="E83" s="143">
        <f>VLOOKUP($A83,'Data shares'!$C:$FA,124)</f>
        <v>0.54</v>
      </c>
      <c r="F83" s="143">
        <f>VLOOKUP($A83,'Data shares'!$C:$FA,125)</f>
        <v>0.53</v>
      </c>
      <c r="G83" s="143">
        <f>VLOOKUP($A83,'Data shares'!$C:$FA,127)*100</f>
        <v>1.8900000000000001</v>
      </c>
      <c r="H83" s="103">
        <f>VLOOKUP($A83,'OI(Volume)'!$A$7:$O$427,8)</f>
        <v>1947150</v>
      </c>
      <c r="I83" s="103">
        <f>VLOOKUP($A83,'OI(Volume)'!$A$7:$O$427,9)</f>
        <v>-392100</v>
      </c>
      <c r="J83" s="103">
        <f>VLOOKUP($A83,'OI(Volume)'!$A$7:$O$427,11)</f>
        <v>1525350</v>
      </c>
      <c r="K83" s="103">
        <f>VLOOKUP($A83,'OI(Volume)'!$A$7:$O$427,12)</f>
        <v>-17700</v>
      </c>
      <c r="L83" s="103">
        <f>VLOOKUP($A83,'OI(Value)'!$A$7:$O$306,8,0)</f>
        <v>1100</v>
      </c>
      <c r="M83" s="103">
        <f>VLOOKUP($A83,'OI(Value)'!$A$7:$O$306,9,0)</f>
        <v>-222</v>
      </c>
      <c r="N83" s="103">
        <f>VLOOKUP($A83,'OI(Value)'!$A$7:$O$306,11,0)</f>
        <v>862</v>
      </c>
      <c r="O83" s="103">
        <f>VLOOKUP($A83,'OI(Value)'!$A$7:$O$306,12,0)</f>
        <v>-10</v>
      </c>
      <c r="P83" s="179">
        <f>VLOOKUP(A83,'OI(Value)'!A83:O284,8,0)</f>
        <v>1100</v>
      </c>
      <c r="Q83" s="179">
        <f>VLOOKUP(A83,'OI(Value)'!A83:O284,9,0)</f>
        <v>-222</v>
      </c>
      <c r="R83" s="179">
        <f>VLOOKUP(A83,'OI(Value)'!A83:O284,11,0)</f>
        <v>862</v>
      </c>
      <c r="S83" s="179">
        <f>VLOOKUP(A83,'OI(Value)'!A83:O284,11,0)</f>
        <v>862</v>
      </c>
    </row>
    <row r="84" spans="1:19" x14ac:dyDescent="0.25">
      <c r="A84" s="105" t="str">
        <f>'Data shares'!C79</f>
        <v>HFCL</v>
      </c>
      <c r="B84" s="143">
        <f>VLOOKUP($A84,'Data shares'!$C:$FA,118)</f>
        <v>0.49</v>
      </c>
      <c r="C84" s="143">
        <f>VLOOKUP($A84,'Data shares'!$C:$FA,119)</f>
        <v>0.51</v>
      </c>
      <c r="D84" s="143">
        <f>VLOOKUP($A84,'Data shares'!$C:$FA,121)*100</f>
        <v>-3.92</v>
      </c>
      <c r="E84" s="143">
        <f>VLOOKUP($A84,'Data shares'!$C:$FA,124)</f>
        <v>0.33</v>
      </c>
      <c r="F84" s="143">
        <f>VLOOKUP($A84,'Data shares'!$C:$FA,125)</f>
        <v>0.36</v>
      </c>
      <c r="G84" s="143">
        <f>VLOOKUP($A84,'Data shares'!$C:$FA,127)*100</f>
        <v>-8.33</v>
      </c>
      <c r="H84" s="103">
        <f>VLOOKUP($A84,'OI(Volume)'!$A$7:$O$427,8)</f>
        <v>62629500</v>
      </c>
      <c r="I84" s="103">
        <f>VLOOKUP($A84,'OI(Volume)'!$A$7:$O$427,9)</f>
        <v>6398400</v>
      </c>
      <c r="J84" s="103">
        <f>VLOOKUP($A84,'OI(Volume)'!$A$7:$O$427,11)</f>
        <v>30450450</v>
      </c>
      <c r="K84" s="103">
        <f>VLOOKUP($A84,'OI(Volume)'!$A$7:$O$427,12)</f>
        <v>2005950</v>
      </c>
      <c r="L84" s="103">
        <f>VLOOKUP($A84,'OI(Value)'!$A$7:$O$306,8,0)</f>
        <v>481</v>
      </c>
      <c r="M84" s="103">
        <f>VLOOKUP($A84,'OI(Value)'!$A$7:$O$306,9,0)</f>
        <v>49</v>
      </c>
      <c r="N84" s="103">
        <f>VLOOKUP($A84,'OI(Value)'!$A$7:$O$306,11,0)</f>
        <v>234</v>
      </c>
      <c r="O84" s="103">
        <f>VLOOKUP($A84,'OI(Value)'!$A$7:$O$306,12,0)</f>
        <v>15</v>
      </c>
      <c r="P84" s="179">
        <f>VLOOKUP(A84,'OI(Value)'!A84:O285,8,0)</f>
        <v>481</v>
      </c>
      <c r="Q84" s="179">
        <f>VLOOKUP(A84,'OI(Value)'!A84:O285,9,0)</f>
        <v>49</v>
      </c>
      <c r="R84" s="179">
        <f>VLOOKUP(A84,'OI(Value)'!A84:O285,11,0)</f>
        <v>234</v>
      </c>
      <c r="S84" s="179">
        <f>VLOOKUP(A84,'OI(Value)'!A84:O285,11,0)</f>
        <v>234</v>
      </c>
    </row>
    <row r="85" spans="1:19" x14ac:dyDescent="0.25">
      <c r="A85" s="105" t="str">
        <f>'Data shares'!C80</f>
        <v>HINDALCO</v>
      </c>
      <c r="B85" s="143">
        <f>VLOOKUP($A85,'Data shares'!$C:$FA,118)</f>
        <v>1.06</v>
      </c>
      <c r="C85" s="143">
        <f>VLOOKUP($A85,'Data shares'!$C:$FA,119)</f>
        <v>0.85</v>
      </c>
      <c r="D85" s="143">
        <f>VLOOKUP($A85,'Data shares'!$C:$FA,121)*100</f>
        <v>24.709999999999997</v>
      </c>
      <c r="E85" s="143">
        <f>VLOOKUP($A85,'Data shares'!$C:$FA,124)</f>
        <v>0.61</v>
      </c>
      <c r="F85" s="143">
        <f>VLOOKUP($A85,'Data shares'!$C:$FA,125)</f>
        <v>0.42</v>
      </c>
      <c r="G85" s="143">
        <f>VLOOKUP($A85,'Data shares'!$C:$FA,127)*100</f>
        <v>45.24</v>
      </c>
      <c r="H85" s="103">
        <f>VLOOKUP($A85,'OI(Volume)'!$A$7:$O$427,8)</f>
        <v>18016600</v>
      </c>
      <c r="I85" s="103">
        <f>VLOOKUP($A85,'OI(Volume)'!$A$7:$O$427,9)</f>
        <v>-2055200</v>
      </c>
      <c r="J85" s="103">
        <f>VLOOKUP($A85,'OI(Volume)'!$A$7:$O$427,11)</f>
        <v>19131000</v>
      </c>
      <c r="K85" s="103">
        <f>VLOOKUP($A85,'OI(Volume)'!$A$7:$O$427,12)</f>
        <v>1976800</v>
      </c>
      <c r="L85" s="103">
        <f>VLOOKUP($A85,'OI(Value)'!$A$7:$O$306,8,0)</f>
        <v>1515</v>
      </c>
      <c r="M85" s="103">
        <f>VLOOKUP($A85,'OI(Value)'!$A$7:$O$306,9,0)</f>
        <v>-173</v>
      </c>
      <c r="N85" s="103">
        <f>VLOOKUP($A85,'OI(Value)'!$A$7:$O$306,11,0)</f>
        <v>1609</v>
      </c>
      <c r="O85" s="103">
        <f>VLOOKUP($A85,'OI(Value)'!$A$7:$O$306,12,0)</f>
        <v>166</v>
      </c>
      <c r="P85" s="179">
        <f>VLOOKUP(A85,'OI(Value)'!A85:O286,8,0)</f>
        <v>1515</v>
      </c>
      <c r="Q85" s="179">
        <f>VLOOKUP(A85,'OI(Value)'!A85:O286,9,0)</f>
        <v>-173</v>
      </c>
      <c r="R85" s="179">
        <f>VLOOKUP(A85,'OI(Value)'!A85:O286,11,0)</f>
        <v>1609</v>
      </c>
      <c r="S85" s="179">
        <f>VLOOKUP(A85,'OI(Value)'!A85:O286,11,0)</f>
        <v>1609</v>
      </c>
    </row>
    <row r="86" spans="1:19" x14ac:dyDescent="0.25">
      <c r="A86" s="105" t="str">
        <f>'Data shares'!C81</f>
        <v>HINDPETRO</v>
      </c>
      <c r="B86" s="143">
        <f>VLOOKUP($A86,'Data shares'!$C:$FA,118)</f>
        <v>0.67</v>
      </c>
      <c r="C86" s="143">
        <f>VLOOKUP($A86,'Data shares'!$C:$FA,119)</f>
        <v>0.73</v>
      </c>
      <c r="D86" s="143">
        <f>VLOOKUP($A86,'Data shares'!$C:$FA,121)*100</f>
        <v>-8.2199999999999989</v>
      </c>
      <c r="E86" s="143">
        <f>VLOOKUP($A86,'Data shares'!$C:$FA,124)</f>
        <v>0.51</v>
      </c>
      <c r="F86" s="143">
        <f>VLOOKUP($A86,'Data shares'!$C:$FA,125)</f>
        <v>0.66</v>
      </c>
      <c r="G86" s="143">
        <f>VLOOKUP($A86,'Data shares'!$C:$FA,127)*100</f>
        <v>-22.73</v>
      </c>
      <c r="H86" s="103">
        <f>VLOOKUP($A86,'OI(Volume)'!$A$7:$O$427,8)</f>
        <v>19041075</v>
      </c>
      <c r="I86" s="103">
        <f>VLOOKUP($A86,'OI(Volume)'!$A$7:$O$427,9)</f>
        <v>1571400</v>
      </c>
      <c r="J86" s="103">
        <f>VLOOKUP($A86,'OI(Volume)'!$A$7:$O$427,11)</f>
        <v>12820275</v>
      </c>
      <c r="K86" s="103">
        <f>VLOOKUP($A86,'OI(Volume)'!$A$7:$O$427,12)</f>
        <v>109350</v>
      </c>
      <c r="L86" s="103">
        <f>VLOOKUP($A86,'OI(Value)'!$A$7:$O$306,8,0)</f>
        <v>863</v>
      </c>
      <c r="M86" s="103">
        <f>VLOOKUP($A86,'OI(Value)'!$A$7:$O$306,9,0)</f>
        <v>71</v>
      </c>
      <c r="N86" s="103">
        <f>VLOOKUP($A86,'OI(Value)'!$A$7:$O$306,11,0)</f>
        <v>581</v>
      </c>
      <c r="O86" s="103">
        <f>VLOOKUP($A86,'OI(Value)'!$A$7:$O$306,12,0)</f>
        <v>5</v>
      </c>
      <c r="P86" s="179">
        <f>VLOOKUP(A86,'OI(Value)'!A86:O287,8,0)</f>
        <v>863</v>
      </c>
      <c r="Q86" s="179">
        <f>VLOOKUP(A86,'OI(Value)'!A86:O287,9,0)</f>
        <v>71</v>
      </c>
      <c r="R86" s="179">
        <f>VLOOKUP(A86,'OI(Value)'!A86:O287,11,0)</f>
        <v>581</v>
      </c>
      <c r="S86" s="179">
        <f>VLOOKUP(A86,'OI(Value)'!A86:O287,11,0)</f>
        <v>581</v>
      </c>
    </row>
    <row r="87" spans="1:19" x14ac:dyDescent="0.25">
      <c r="A87" s="105" t="str">
        <f>'Data shares'!C82</f>
        <v>HINDUNILVR</v>
      </c>
      <c r="B87" s="143">
        <f>VLOOKUP($A87,'Data shares'!$C:$FA,118)</f>
        <v>0.47</v>
      </c>
      <c r="C87" s="143">
        <f>VLOOKUP($A87,'Data shares'!$C:$FA,119)</f>
        <v>0.44</v>
      </c>
      <c r="D87" s="143">
        <f>VLOOKUP($A87,'Data shares'!$C:$FA,121)*100</f>
        <v>6.8199999999999994</v>
      </c>
      <c r="E87" s="143">
        <f>VLOOKUP($A87,'Data shares'!$C:$FA,124)</f>
        <v>0.42</v>
      </c>
      <c r="F87" s="143">
        <f>VLOOKUP($A87,'Data shares'!$C:$FA,125)</f>
        <v>0.56999999999999995</v>
      </c>
      <c r="G87" s="143">
        <f>VLOOKUP($A87,'Data shares'!$C:$FA,127)*100</f>
        <v>-26.32</v>
      </c>
      <c r="H87" s="103">
        <f>VLOOKUP($A87,'OI(Volume)'!$A$7:$O$427,8)</f>
        <v>9993300</v>
      </c>
      <c r="I87" s="103">
        <f>VLOOKUP($A87,'OI(Volume)'!$A$7:$O$427,9)</f>
        <v>-1642800</v>
      </c>
      <c r="J87" s="103">
        <f>VLOOKUP($A87,'OI(Volume)'!$A$7:$O$427,11)</f>
        <v>4742700</v>
      </c>
      <c r="K87" s="103">
        <f>VLOOKUP($A87,'OI(Volume)'!$A$7:$O$427,12)</f>
        <v>-394500</v>
      </c>
      <c r="L87" s="103">
        <f>VLOOKUP($A87,'OI(Value)'!$A$7:$O$306,8,0)</f>
        <v>2516</v>
      </c>
      <c r="M87" s="103">
        <f>VLOOKUP($A87,'OI(Value)'!$A$7:$O$306,9,0)</f>
        <v>-414</v>
      </c>
      <c r="N87" s="103">
        <f>VLOOKUP($A87,'OI(Value)'!$A$7:$O$306,11,0)</f>
        <v>1194</v>
      </c>
      <c r="O87" s="103">
        <f>VLOOKUP($A87,'OI(Value)'!$A$7:$O$306,12,0)</f>
        <v>-99</v>
      </c>
      <c r="P87" s="179">
        <f>VLOOKUP(A87,'OI(Value)'!A87:O288,8,0)</f>
        <v>2516</v>
      </c>
      <c r="Q87" s="179">
        <f>VLOOKUP(A87,'OI(Value)'!A87:O288,9,0)</f>
        <v>-414</v>
      </c>
      <c r="R87" s="179">
        <f>VLOOKUP(A87,'OI(Value)'!A87:O288,11,0)</f>
        <v>1194</v>
      </c>
      <c r="S87" s="179">
        <f>VLOOKUP(A87,'OI(Value)'!A87:O288,11,0)</f>
        <v>1194</v>
      </c>
    </row>
    <row r="88" spans="1:19" x14ac:dyDescent="0.25">
      <c r="A88" s="105" t="str">
        <f>'Data shares'!C83</f>
        <v>HINDZINC</v>
      </c>
      <c r="B88" s="143">
        <f>VLOOKUP($A88,'Data shares'!$C:$FA,118)</f>
        <v>0.39</v>
      </c>
      <c r="C88" s="143">
        <f>VLOOKUP($A88,'Data shares'!$C:$FA,119)</f>
        <v>0.39</v>
      </c>
      <c r="D88" s="143">
        <f>VLOOKUP($A88,'Data shares'!$C:$FA,121)*100</f>
        <v>0</v>
      </c>
      <c r="E88" s="143">
        <f>VLOOKUP($A88,'Data shares'!$C:$FA,124)</f>
        <v>0.28999999999999998</v>
      </c>
      <c r="F88" s="143">
        <f>VLOOKUP($A88,'Data shares'!$C:$FA,125)</f>
        <v>0.32</v>
      </c>
      <c r="G88" s="143">
        <f>VLOOKUP($A88,'Data shares'!$C:$FA,127)*100</f>
        <v>-9.379999999999999</v>
      </c>
      <c r="H88" s="103">
        <f>VLOOKUP($A88,'OI(Volume)'!$A$7:$O$427,8)</f>
        <v>33166875</v>
      </c>
      <c r="I88" s="103">
        <f>VLOOKUP($A88,'OI(Volume)'!$A$7:$O$427,9)</f>
        <v>-1772575</v>
      </c>
      <c r="J88" s="103">
        <f>VLOOKUP($A88,'OI(Volume)'!$A$7:$O$427,11)</f>
        <v>13007050</v>
      </c>
      <c r="K88" s="103">
        <f>VLOOKUP($A88,'OI(Volume)'!$A$7:$O$427,12)</f>
        <v>-481425</v>
      </c>
      <c r="L88" s="103">
        <f>VLOOKUP($A88,'OI(Value)'!$A$7:$O$306,8,0)</f>
        <v>1602</v>
      </c>
      <c r="M88" s="103">
        <f>VLOOKUP($A88,'OI(Value)'!$A$7:$O$306,9,0)</f>
        <v>-86</v>
      </c>
      <c r="N88" s="103">
        <f>VLOOKUP($A88,'OI(Value)'!$A$7:$O$306,11,0)</f>
        <v>628</v>
      </c>
      <c r="O88" s="103">
        <f>VLOOKUP($A88,'OI(Value)'!$A$7:$O$306,12,0)</f>
        <v>-23</v>
      </c>
      <c r="P88" s="179">
        <f>VLOOKUP(A88,'OI(Value)'!A88:O289,8,0)</f>
        <v>1602</v>
      </c>
      <c r="Q88" s="179">
        <f>VLOOKUP(A88,'OI(Value)'!A88:O289,9,0)</f>
        <v>-86</v>
      </c>
      <c r="R88" s="179">
        <f>VLOOKUP(A88,'OI(Value)'!A88:O289,11,0)</f>
        <v>628</v>
      </c>
      <c r="S88" s="179">
        <f>VLOOKUP(A88,'OI(Value)'!A88:O289,11,0)</f>
        <v>628</v>
      </c>
    </row>
    <row r="89" spans="1:19" x14ac:dyDescent="0.25">
      <c r="A89" s="105" t="str">
        <f>'Data shares'!C84</f>
        <v>HUDCO</v>
      </c>
      <c r="B89" s="143">
        <f>VLOOKUP($A89,'Data shares'!$C:$FA,118)</f>
        <v>0.53</v>
      </c>
      <c r="C89" s="143">
        <f>VLOOKUP($A89,'Data shares'!$C:$FA,119)</f>
        <v>0.53</v>
      </c>
      <c r="D89" s="143">
        <f>VLOOKUP($A89,'Data shares'!$C:$FA,121)*100</f>
        <v>0</v>
      </c>
      <c r="E89" s="143">
        <f>VLOOKUP($A89,'Data shares'!$C:$FA,124)</f>
        <v>0.41</v>
      </c>
      <c r="F89" s="143">
        <f>VLOOKUP($A89,'Data shares'!$C:$FA,125)</f>
        <v>0.41</v>
      </c>
      <c r="G89" s="143">
        <f>VLOOKUP($A89,'Data shares'!$C:$FA,127)*100</f>
        <v>0</v>
      </c>
      <c r="H89" s="103">
        <f>VLOOKUP($A89,'OI(Volume)'!$A$7:$O$427,8)</f>
        <v>16403025</v>
      </c>
      <c r="I89" s="103">
        <f>VLOOKUP($A89,'OI(Volume)'!$A$7:$O$427,9)</f>
        <v>-255300</v>
      </c>
      <c r="J89" s="103">
        <f>VLOOKUP($A89,'OI(Volume)'!$A$7:$O$427,11)</f>
        <v>8716275</v>
      </c>
      <c r="K89" s="103">
        <f>VLOOKUP($A89,'OI(Volume)'!$A$7:$O$427,12)</f>
        <v>-61050</v>
      </c>
      <c r="L89" s="103">
        <f>VLOOKUP($A89,'OI(Value)'!$A$7:$O$306,8,0)</f>
        <v>373</v>
      </c>
      <c r="M89" s="103">
        <f>VLOOKUP($A89,'OI(Value)'!$A$7:$O$306,9,0)</f>
        <v>-6</v>
      </c>
      <c r="N89" s="103">
        <f>VLOOKUP($A89,'OI(Value)'!$A$7:$O$306,11,0)</f>
        <v>198</v>
      </c>
      <c r="O89" s="103">
        <f>VLOOKUP($A89,'OI(Value)'!$A$7:$O$306,12,0)</f>
        <v>-1</v>
      </c>
      <c r="P89" s="179">
        <f>VLOOKUP(A89,'OI(Value)'!A89:O290,8,0)</f>
        <v>373</v>
      </c>
      <c r="Q89" s="179">
        <f>VLOOKUP(A89,'OI(Value)'!A89:O290,9,0)</f>
        <v>-6</v>
      </c>
      <c r="R89" s="179">
        <f>VLOOKUP(A89,'OI(Value)'!A89:O290,11,0)</f>
        <v>198</v>
      </c>
      <c r="S89" s="179">
        <f>VLOOKUP(A89,'OI(Value)'!A89:O290,11,0)</f>
        <v>198</v>
      </c>
    </row>
    <row r="90" spans="1:19" x14ac:dyDescent="0.25">
      <c r="A90" s="105" t="str">
        <f>'Data shares'!C85</f>
        <v>ICICIBANK</v>
      </c>
      <c r="B90" s="143">
        <f>VLOOKUP($A90,'Data shares'!$C:$FA,118)</f>
        <v>0.56999999999999995</v>
      </c>
      <c r="C90" s="143">
        <f>VLOOKUP($A90,'Data shares'!$C:$FA,119)</f>
        <v>0.52</v>
      </c>
      <c r="D90" s="143">
        <f>VLOOKUP($A90,'Data shares'!$C:$FA,121)*100</f>
        <v>9.6199999999999992</v>
      </c>
      <c r="E90" s="143">
        <f>VLOOKUP($A90,'Data shares'!$C:$FA,124)</f>
        <v>0.56999999999999995</v>
      </c>
      <c r="F90" s="143">
        <f>VLOOKUP($A90,'Data shares'!$C:$FA,125)</f>
        <v>0.54</v>
      </c>
      <c r="G90" s="143">
        <f>VLOOKUP($A90,'Data shares'!$C:$FA,127)*100</f>
        <v>5.56</v>
      </c>
      <c r="H90" s="103">
        <f>VLOOKUP($A90,'OI(Volume)'!$A$7:$O$427,8)</f>
        <v>44241400</v>
      </c>
      <c r="I90" s="103">
        <f>VLOOKUP($A90,'OI(Volume)'!$A$7:$O$427,9)</f>
        <v>-4744600</v>
      </c>
      <c r="J90" s="103">
        <f>VLOOKUP($A90,'OI(Volume)'!$A$7:$O$427,11)</f>
        <v>25227300</v>
      </c>
      <c r="K90" s="103">
        <f>VLOOKUP($A90,'OI(Volume)'!$A$7:$O$427,12)</f>
        <v>-153300</v>
      </c>
      <c r="L90" s="103">
        <f>VLOOKUP($A90,'OI(Value)'!$A$7:$O$306,8,0)</f>
        <v>6096</v>
      </c>
      <c r="M90" s="103">
        <f>VLOOKUP($A90,'OI(Value)'!$A$7:$O$306,9,0)</f>
        <v>-654</v>
      </c>
      <c r="N90" s="103">
        <f>VLOOKUP($A90,'OI(Value)'!$A$7:$O$306,11,0)</f>
        <v>3476</v>
      </c>
      <c r="O90" s="103">
        <f>VLOOKUP($A90,'OI(Value)'!$A$7:$O$306,12,0)</f>
        <v>-21</v>
      </c>
      <c r="P90" s="179">
        <f>VLOOKUP(A90,'OI(Value)'!A90:O291,8,0)</f>
        <v>6096</v>
      </c>
      <c r="Q90" s="179">
        <f>VLOOKUP(A90,'OI(Value)'!A90:O291,9,0)</f>
        <v>-654</v>
      </c>
      <c r="R90" s="179">
        <f>VLOOKUP(A90,'OI(Value)'!A90:O291,11,0)</f>
        <v>3476</v>
      </c>
      <c r="S90" s="179">
        <f>VLOOKUP(A90,'OI(Value)'!A90:O291,11,0)</f>
        <v>3476</v>
      </c>
    </row>
    <row r="91" spans="1:19" x14ac:dyDescent="0.25">
      <c r="A91" s="105" t="str">
        <f>'Data shares'!C86</f>
        <v>ICICIGI</v>
      </c>
      <c r="B91" s="143">
        <f>VLOOKUP($A91,'Data shares'!$C:$FA,118)</f>
        <v>1.2</v>
      </c>
      <c r="C91" s="143">
        <f>VLOOKUP($A91,'Data shares'!$C:$FA,119)</f>
        <v>1.26</v>
      </c>
      <c r="D91" s="143">
        <f>VLOOKUP($A91,'Data shares'!$C:$FA,121)*100</f>
        <v>-4.7600000000000007</v>
      </c>
      <c r="E91" s="143">
        <f>VLOOKUP($A91,'Data shares'!$C:$FA,124)</f>
        <v>0.8</v>
      </c>
      <c r="F91" s="143">
        <f>VLOOKUP($A91,'Data shares'!$C:$FA,125)</f>
        <v>1.3</v>
      </c>
      <c r="G91" s="143">
        <f>VLOOKUP($A91,'Data shares'!$C:$FA,127)*100</f>
        <v>-38.46</v>
      </c>
      <c r="H91" s="103">
        <f>VLOOKUP($A91,'OI(Volume)'!$A$7:$O$427,8)</f>
        <v>1584700</v>
      </c>
      <c r="I91" s="103">
        <f>VLOOKUP($A91,'OI(Volume)'!$A$7:$O$427,9)</f>
        <v>-104650</v>
      </c>
      <c r="J91" s="103">
        <f>VLOOKUP($A91,'OI(Volume)'!$A$7:$O$427,11)</f>
        <v>1904825</v>
      </c>
      <c r="K91" s="103">
        <f>VLOOKUP($A91,'OI(Volume)'!$A$7:$O$427,12)</f>
        <v>-230100</v>
      </c>
      <c r="L91" s="103">
        <f>VLOOKUP($A91,'OI(Value)'!$A$7:$O$306,8,0)</f>
        <v>315</v>
      </c>
      <c r="M91" s="103">
        <f>VLOOKUP($A91,'OI(Value)'!$A$7:$O$306,9,0)</f>
        <v>-21</v>
      </c>
      <c r="N91" s="103">
        <f>VLOOKUP($A91,'OI(Value)'!$A$7:$O$306,11,0)</f>
        <v>379</v>
      </c>
      <c r="O91" s="103">
        <f>VLOOKUP($A91,'OI(Value)'!$A$7:$O$306,12,0)</f>
        <v>-46</v>
      </c>
      <c r="P91" s="179">
        <f>VLOOKUP(A91,'OI(Value)'!A91:O292,8,0)</f>
        <v>315</v>
      </c>
      <c r="Q91" s="179">
        <f>VLOOKUP(A91,'OI(Value)'!A91:O292,9,0)</f>
        <v>-21</v>
      </c>
      <c r="R91" s="179">
        <f>VLOOKUP(A91,'OI(Value)'!A91:O292,11,0)</f>
        <v>379</v>
      </c>
      <c r="S91" s="179">
        <f>VLOOKUP(A91,'OI(Value)'!A91:O292,11,0)</f>
        <v>379</v>
      </c>
    </row>
    <row r="92" spans="1:19" x14ac:dyDescent="0.25">
      <c r="A92" s="105" t="str">
        <f>'Data shares'!C87</f>
        <v>ICICIPRULI</v>
      </c>
      <c r="B92" s="143">
        <f>VLOOKUP($A92,'Data shares'!$C:$FA,118)</f>
        <v>0.59</v>
      </c>
      <c r="C92" s="143">
        <f>VLOOKUP($A92,'Data shares'!$C:$FA,119)</f>
        <v>0.6</v>
      </c>
      <c r="D92" s="143">
        <f>VLOOKUP($A92,'Data shares'!$C:$FA,121)*100</f>
        <v>-1.67</v>
      </c>
      <c r="E92" s="143">
        <f>VLOOKUP($A92,'Data shares'!$C:$FA,124)</f>
        <v>0.36</v>
      </c>
      <c r="F92" s="143">
        <f>VLOOKUP($A92,'Data shares'!$C:$FA,125)</f>
        <v>0.62</v>
      </c>
      <c r="G92" s="143">
        <f>VLOOKUP($A92,'Data shares'!$C:$FA,127)*100</f>
        <v>-41.94</v>
      </c>
      <c r="H92" s="103">
        <f>VLOOKUP($A92,'OI(Volume)'!$A$7:$O$427,8)</f>
        <v>4818325</v>
      </c>
      <c r="I92" s="103">
        <f>VLOOKUP($A92,'OI(Volume)'!$A$7:$O$427,9)</f>
        <v>-172050</v>
      </c>
      <c r="J92" s="103">
        <f>VLOOKUP($A92,'OI(Volume)'!$A$7:$O$427,11)</f>
        <v>2840675</v>
      </c>
      <c r="K92" s="103">
        <f>VLOOKUP($A92,'OI(Volume)'!$A$7:$O$427,12)</f>
        <v>-138750</v>
      </c>
      <c r="L92" s="103">
        <f>VLOOKUP($A92,'OI(Value)'!$A$7:$O$306,8,0)</f>
        <v>290</v>
      </c>
      <c r="M92" s="103">
        <f>VLOOKUP($A92,'OI(Value)'!$A$7:$O$306,9,0)</f>
        <v>-10</v>
      </c>
      <c r="N92" s="103">
        <f>VLOOKUP($A92,'OI(Value)'!$A$7:$O$306,11,0)</f>
        <v>171</v>
      </c>
      <c r="O92" s="103">
        <f>VLOOKUP($A92,'OI(Value)'!$A$7:$O$306,12,0)</f>
        <v>-8</v>
      </c>
      <c r="P92" s="179">
        <f>VLOOKUP(A92,'OI(Value)'!A92:O293,8,0)</f>
        <v>290</v>
      </c>
      <c r="Q92" s="179">
        <f>VLOOKUP(A92,'OI(Value)'!A92:O293,9,0)</f>
        <v>-10</v>
      </c>
      <c r="R92" s="179">
        <f>VLOOKUP(A92,'OI(Value)'!A92:O293,11,0)</f>
        <v>171</v>
      </c>
      <c r="S92" s="179">
        <f>VLOOKUP(A92,'OI(Value)'!A92:O293,11,0)</f>
        <v>171</v>
      </c>
    </row>
    <row r="93" spans="1:19" x14ac:dyDescent="0.25">
      <c r="A93" s="105" t="str">
        <f>'Data shares'!C88</f>
        <v>IDEA</v>
      </c>
      <c r="B93" s="143">
        <f>VLOOKUP($A93,'Data shares'!$C:$FA,118)</f>
        <v>0.78</v>
      </c>
      <c r="C93" s="143">
        <f>VLOOKUP($A93,'Data shares'!$C:$FA,119)</f>
        <v>0.69</v>
      </c>
      <c r="D93" s="143">
        <f>VLOOKUP($A93,'Data shares'!$C:$FA,121)*100</f>
        <v>13.04</v>
      </c>
      <c r="E93" s="143">
        <f>VLOOKUP($A93,'Data shares'!$C:$FA,124)</f>
        <v>0.3</v>
      </c>
      <c r="F93" s="143">
        <f>VLOOKUP($A93,'Data shares'!$C:$FA,125)</f>
        <v>0.38</v>
      </c>
      <c r="G93" s="143">
        <f>VLOOKUP($A93,'Data shares'!$C:$FA,127)*100</f>
        <v>-21.05</v>
      </c>
      <c r="H93" s="103">
        <f>VLOOKUP($A93,'OI(Volume)'!$A$7:$O$427,8)</f>
        <v>2429077875</v>
      </c>
      <c r="I93" s="103">
        <f>VLOOKUP($A93,'OI(Volume)'!$A$7:$O$427,9)</f>
        <v>45243675</v>
      </c>
      <c r="J93" s="103">
        <f>VLOOKUP($A93,'OI(Volume)'!$A$7:$O$427,11)</f>
        <v>1895659950</v>
      </c>
      <c r="K93" s="103">
        <f>VLOOKUP($A93,'OI(Volume)'!$A$7:$O$427,12)</f>
        <v>255451650</v>
      </c>
      <c r="L93" s="103">
        <f>VLOOKUP($A93,'OI(Value)'!$A$7:$O$306,8,0)</f>
        <v>2427</v>
      </c>
      <c r="M93" s="103">
        <f>VLOOKUP($A93,'OI(Value)'!$A$7:$O$306,9,0)</f>
        <v>45</v>
      </c>
      <c r="N93" s="103">
        <f>VLOOKUP($A93,'OI(Value)'!$A$7:$O$306,11,0)</f>
        <v>1894</v>
      </c>
      <c r="O93" s="103">
        <f>VLOOKUP($A93,'OI(Value)'!$A$7:$O$306,12,0)</f>
        <v>255</v>
      </c>
      <c r="P93" s="179">
        <f>VLOOKUP(A93,'OI(Value)'!A93:O294,8,0)</f>
        <v>2427</v>
      </c>
      <c r="Q93" s="179">
        <f>VLOOKUP(A93,'OI(Value)'!A93:O294,9,0)</f>
        <v>45</v>
      </c>
      <c r="R93" s="179">
        <f>VLOOKUP(A93,'OI(Value)'!A93:O294,11,0)</f>
        <v>1894</v>
      </c>
      <c r="S93" s="179">
        <f>VLOOKUP(A93,'OI(Value)'!A93:O294,11,0)</f>
        <v>1894</v>
      </c>
    </row>
    <row r="94" spans="1:19" x14ac:dyDescent="0.25">
      <c r="A94" s="105" t="str">
        <f>'Data shares'!C89</f>
        <v>IDFCFIRSTB</v>
      </c>
      <c r="B94" s="143">
        <f>VLOOKUP($A94,'Data shares'!$C:$FA,118)</f>
        <v>0.97</v>
      </c>
      <c r="C94" s="143">
        <f>VLOOKUP($A94,'Data shares'!$C:$FA,119)</f>
        <v>0.95</v>
      </c>
      <c r="D94" s="143">
        <f>VLOOKUP($A94,'Data shares'!$C:$FA,121)*100</f>
        <v>2.11</v>
      </c>
      <c r="E94" s="143">
        <f>VLOOKUP($A94,'Data shares'!$C:$FA,124)</f>
        <v>0.56000000000000005</v>
      </c>
      <c r="F94" s="143">
        <f>VLOOKUP($A94,'Data shares'!$C:$FA,125)</f>
        <v>0.49</v>
      </c>
      <c r="G94" s="143">
        <f>VLOOKUP($A94,'Data shares'!$C:$FA,127)*100</f>
        <v>14.29</v>
      </c>
      <c r="H94" s="103">
        <f>VLOOKUP($A94,'OI(Volume)'!$A$7:$O$427,8)</f>
        <v>145506200</v>
      </c>
      <c r="I94" s="103">
        <f>VLOOKUP($A94,'OI(Volume)'!$A$7:$O$427,9)</f>
        <v>-3153500</v>
      </c>
      <c r="J94" s="103">
        <f>VLOOKUP($A94,'OI(Volume)'!$A$7:$O$427,11)</f>
        <v>140905800</v>
      </c>
      <c r="K94" s="103">
        <f>VLOOKUP($A94,'OI(Volume)'!$A$7:$O$427,12)</f>
        <v>-315350</v>
      </c>
      <c r="L94" s="103">
        <f>VLOOKUP($A94,'OI(Value)'!$A$7:$O$306,8,0)</f>
        <v>1137</v>
      </c>
      <c r="M94" s="103">
        <f>VLOOKUP($A94,'OI(Value)'!$A$7:$O$306,9,0)</f>
        <v>-25</v>
      </c>
      <c r="N94" s="103">
        <f>VLOOKUP($A94,'OI(Value)'!$A$7:$O$306,11,0)</f>
        <v>1101</v>
      </c>
      <c r="O94" s="103">
        <f>VLOOKUP($A94,'OI(Value)'!$A$7:$O$306,12,0)</f>
        <v>-2</v>
      </c>
      <c r="P94" s="179">
        <f>VLOOKUP(A94,'OI(Value)'!A94:O295,8,0)</f>
        <v>1137</v>
      </c>
      <c r="Q94" s="179">
        <f>VLOOKUP(A94,'OI(Value)'!A94:O295,9,0)</f>
        <v>-25</v>
      </c>
      <c r="R94" s="179">
        <f>VLOOKUP(A94,'OI(Value)'!A94:O295,11,0)</f>
        <v>1101</v>
      </c>
      <c r="S94" s="179">
        <f>VLOOKUP(A94,'OI(Value)'!A94:O295,11,0)</f>
        <v>1101</v>
      </c>
    </row>
    <row r="95" spans="1:19" x14ac:dyDescent="0.25">
      <c r="A95" s="105" t="str">
        <f>'Data shares'!C90</f>
        <v>IEX</v>
      </c>
      <c r="B95" s="143">
        <f>VLOOKUP($A95,'Data shares'!$C:$FA,118)</f>
        <v>0.7</v>
      </c>
      <c r="C95" s="143">
        <f>VLOOKUP($A95,'Data shares'!$C:$FA,119)</f>
        <v>0.77</v>
      </c>
      <c r="D95" s="143">
        <f>VLOOKUP($A95,'Data shares'!$C:$FA,121)*100</f>
        <v>-9.09</v>
      </c>
      <c r="E95" s="143">
        <f>VLOOKUP($A95,'Data shares'!$C:$FA,124)</f>
        <v>0.4</v>
      </c>
      <c r="F95" s="143">
        <f>VLOOKUP($A95,'Data shares'!$C:$FA,125)</f>
        <v>0.43</v>
      </c>
      <c r="G95" s="143">
        <f>VLOOKUP($A95,'Data shares'!$C:$FA,127)*100</f>
        <v>-6.98</v>
      </c>
      <c r="H95" s="103">
        <f>VLOOKUP($A95,'OI(Volume)'!$A$7:$O$427,8)</f>
        <v>38883750</v>
      </c>
      <c r="I95" s="103">
        <f>VLOOKUP($A95,'OI(Volume)'!$A$7:$O$427,9)</f>
        <v>3960000</v>
      </c>
      <c r="J95" s="103">
        <f>VLOOKUP($A95,'OI(Volume)'!$A$7:$O$427,11)</f>
        <v>27405000</v>
      </c>
      <c r="K95" s="103">
        <f>VLOOKUP($A95,'OI(Volume)'!$A$7:$O$427,12)</f>
        <v>607500</v>
      </c>
      <c r="L95" s="103">
        <f>VLOOKUP($A95,'OI(Value)'!$A$7:$O$306,8,0)</f>
        <v>572</v>
      </c>
      <c r="M95" s="103">
        <f>VLOOKUP($A95,'OI(Value)'!$A$7:$O$306,9,0)</f>
        <v>58</v>
      </c>
      <c r="N95" s="103">
        <f>VLOOKUP($A95,'OI(Value)'!$A$7:$O$306,11,0)</f>
        <v>403</v>
      </c>
      <c r="O95" s="103">
        <f>VLOOKUP($A95,'OI(Value)'!$A$7:$O$306,12,0)</f>
        <v>9</v>
      </c>
      <c r="P95" s="179">
        <f>VLOOKUP(A95,'OI(Value)'!A95:O296,8,0)</f>
        <v>572</v>
      </c>
      <c r="Q95" s="179">
        <f>VLOOKUP(A95,'OI(Value)'!A95:O296,9,0)</f>
        <v>58</v>
      </c>
      <c r="R95" s="179">
        <f>VLOOKUP(A95,'OI(Value)'!A95:O296,11,0)</f>
        <v>403</v>
      </c>
      <c r="S95" s="179">
        <f>VLOOKUP(A95,'OI(Value)'!A95:O296,11,0)</f>
        <v>403</v>
      </c>
    </row>
    <row r="96" spans="1:19" x14ac:dyDescent="0.25">
      <c r="A96" s="105" t="str">
        <f>'Data shares'!C91</f>
        <v>IGL</v>
      </c>
      <c r="B96" s="143">
        <f>VLOOKUP($A96,'Data shares'!$C:$FA,118)</f>
        <v>0.53</v>
      </c>
      <c r="C96" s="143">
        <f>VLOOKUP($A96,'Data shares'!$C:$FA,119)</f>
        <v>0.52</v>
      </c>
      <c r="D96" s="143">
        <f>VLOOKUP($A96,'Data shares'!$C:$FA,121)*100</f>
        <v>1.92</v>
      </c>
      <c r="E96" s="143">
        <f>VLOOKUP($A96,'Data shares'!$C:$FA,124)</f>
        <v>0.34</v>
      </c>
      <c r="F96" s="143">
        <f>VLOOKUP($A96,'Data shares'!$C:$FA,125)</f>
        <v>0.4</v>
      </c>
      <c r="G96" s="143">
        <f>VLOOKUP($A96,'Data shares'!$C:$FA,127)*100</f>
        <v>-15</v>
      </c>
      <c r="H96" s="103">
        <f>VLOOKUP($A96,'OI(Volume)'!$A$7:$O$427,8)</f>
        <v>17630250</v>
      </c>
      <c r="I96" s="103">
        <f>VLOOKUP($A96,'OI(Volume)'!$A$7:$O$427,9)</f>
        <v>-1201750</v>
      </c>
      <c r="J96" s="103">
        <f>VLOOKUP($A96,'OI(Volume)'!$A$7:$O$427,11)</f>
        <v>9347250</v>
      </c>
      <c r="K96" s="103">
        <f>VLOOKUP($A96,'OI(Volume)'!$A$7:$O$427,12)</f>
        <v>-495000</v>
      </c>
      <c r="L96" s="103">
        <f>VLOOKUP($A96,'OI(Value)'!$A$7:$O$306,8,0)</f>
        <v>377</v>
      </c>
      <c r="M96" s="103">
        <f>VLOOKUP($A96,'OI(Value)'!$A$7:$O$306,9,0)</f>
        <v>-26</v>
      </c>
      <c r="N96" s="103">
        <f>VLOOKUP($A96,'OI(Value)'!$A$7:$O$306,11,0)</f>
        <v>200</v>
      </c>
      <c r="O96" s="103">
        <f>VLOOKUP($A96,'OI(Value)'!$A$7:$O$306,12,0)</f>
        <v>-11</v>
      </c>
      <c r="P96" s="179">
        <f>VLOOKUP(A96,'OI(Value)'!A96:O297,8,0)</f>
        <v>377</v>
      </c>
      <c r="Q96" s="179">
        <f>VLOOKUP(A96,'OI(Value)'!A96:O297,9,0)</f>
        <v>-26</v>
      </c>
      <c r="R96" s="179">
        <f>VLOOKUP(A96,'OI(Value)'!A96:O297,11,0)</f>
        <v>200</v>
      </c>
      <c r="S96" s="179">
        <f>VLOOKUP(A96,'OI(Value)'!A96:O297,11,0)</f>
        <v>200</v>
      </c>
    </row>
    <row r="97" spans="1:19" x14ac:dyDescent="0.25">
      <c r="A97" s="105" t="str">
        <f>'Data shares'!C92</f>
        <v>IIFL</v>
      </c>
      <c r="B97" s="143">
        <f>VLOOKUP($A97,'Data shares'!$C:$FA,118)</f>
        <v>0.61</v>
      </c>
      <c r="C97" s="143">
        <f>VLOOKUP($A97,'Data shares'!$C:$FA,119)</f>
        <v>0.68</v>
      </c>
      <c r="D97" s="143">
        <f>VLOOKUP($A97,'Data shares'!$C:$FA,121)*100</f>
        <v>-10.290000000000001</v>
      </c>
      <c r="E97" s="143">
        <f>VLOOKUP($A97,'Data shares'!$C:$FA,124)</f>
        <v>0.34</v>
      </c>
      <c r="F97" s="143">
        <f>VLOOKUP($A97,'Data shares'!$C:$FA,125)</f>
        <v>0.52</v>
      </c>
      <c r="G97" s="143">
        <f>VLOOKUP($A97,'Data shares'!$C:$FA,127)*100</f>
        <v>-34.619999999999997</v>
      </c>
      <c r="H97" s="103">
        <f>VLOOKUP($A97,'OI(Volume)'!$A$7:$O$427,8)</f>
        <v>4928550</v>
      </c>
      <c r="I97" s="103">
        <f>VLOOKUP($A97,'OI(Volume)'!$A$7:$O$427,9)</f>
        <v>646800</v>
      </c>
      <c r="J97" s="103">
        <f>VLOOKUP($A97,'OI(Volume)'!$A$7:$O$427,11)</f>
        <v>2988150</v>
      </c>
      <c r="K97" s="103">
        <f>VLOOKUP($A97,'OI(Volume)'!$A$7:$O$427,12)</f>
        <v>59400</v>
      </c>
      <c r="L97" s="103">
        <f>VLOOKUP($A97,'OI(Value)'!$A$7:$O$306,8,0)</f>
        <v>249</v>
      </c>
      <c r="M97" s="103">
        <f>VLOOKUP($A97,'OI(Value)'!$A$7:$O$306,9,0)</f>
        <v>33</v>
      </c>
      <c r="N97" s="103">
        <f>VLOOKUP($A97,'OI(Value)'!$A$7:$O$306,11,0)</f>
        <v>151</v>
      </c>
      <c r="O97" s="103">
        <f>VLOOKUP($A97,'OI(Value)'!$A$7:$O$306,12,0)</f>
        <v>3</v>
      </c>
      <c r="P97" s="179">
        <f>VLOOKUP(A97,'OI(Value)'!A97:O298,8,0)</f>
        <v>249</v>
      </c>
      <c r="Q97" s="179">
        <f>VLOOKUP(A97,'OI(Value)'!A97:O298,9,0)</f>
        <v>33</v>
      </c>
      <c r="R97" s="179">
        <f>VLOOKUP(A97,'OI(Value)'!A97:O298,11,0)</f>
        <v>151</v>
      </c>
      <c r="S97" s="179">
        <f>VLOOKUP(A97,'OI(Value)'!A97:O298,11,0)</f>
        <v>151</v>
      </c>
    </row>
    <row r="98" spans="1:19" x14ac:dyDescent="0.25">
      <c r="A98" s="105" t="str">
        <f>'Data shares'!C93</f>
        <v>INDHOTEL</v>
      </c>
      <c r="B98" s="143">
        <f>VLOOKUP($A98,'Data shares'!$C:$FA,118)</f>
        <v>0.76</v>
      </c>
      <c r="C98" s="143">
        <f>VLOOKUP($A98,'Data shares'!$C:$FA,119)</f>
        <v>0.6</v>
      </c>
      <c r="D98" s="143">
        <f>VLOOKUP($A98,'Data shares'!$C:$FA,121)*100</f>
        <v>26.669999999999998</v>
      </c>
      <c r="E98" s="143">
        <f>VLOOKUP($A98,'Data shares'!$C:$FA,124)</f>
        <v>0.62</v>
      </c>
      <c r="F98" s="143">
        <f>VLOOKUP($A98,'Data shares'!$C:$FA,125)</f>
        <v>0.5</v>
      </c>
      <c r="G98" s="143">
        <f>VLOOKUP($A98,'Data shares'!$C:$FA,127)*100</f>
        <v>24</v>
      </c>
      <c r="H98" s="103">
        <f>VLOOKUP($A98,'OI(Volume)'!$A$7:$O$427,8)</f>
        <v>9274000</v>
      </c>
      <c r="I98" s="103">
        <f>VLOOKUP($A98,'OI(Volume)'!$A$7:$O$427,9)</f>
        <v>-2302000</v>
      </c>
      <c r="J98" s="103">
        <f>VLOOKUP($A98,'OI(Volume)'!$A$7:$O$427,11)</f>
        <v>7078000</v>
      </c>
      <c r="K98" s="103">
        <f>VLOOKUP($A98,'OI(Volume)'!$A$7:$O$427,12)</f>
        <v>118000</v>
      </c>
      <c r="L98" s="103">
        <f>VLOOKUP($A98,'OI(Value)'!$A$7:$O$306,8,0)</f>
        <v>692</v>
      </c>
      <c r="M98" s="103">
        <f>VLOOKUP($A98,'OI(Value)'!$A$7:$O$306,9,0)</f>
        <v>-172</v>
      </c>
      <c r="N98" s="103">
        <f>VLOOKUP($A98,'OI(Value)'!$A$7:$O$306,11,0)</f>
        <v>528</v>
      </c>
      <c r="O98" s="103">
        <f>VLOOKUP($A98,'OI(Value)'!$A$7:$O$306,12,0)</f>
        <v>9</v>
      </c>
      <c r="P98" s="179">
        <f>VLOOKUP(A98,'OI(Value)'!A98:O299,8,0)</f>
        <v>692</v>
      </c>
      <c r="Q98" s="179">
        <f>VLOOKUP(A98,'OI(Value)'!A98:O299,9,0)</f>
        <v>-172</v>
      </c>
      <c r="R98" s="179">
        <f>VLOOKUP(A98,'OI(Value)'!A98:O299,11,0)</f>
        <v>528</v>
      </c>
      <c r="S98" s="179">
        <f>VLOOKUP(A98,'OI(Value)'!A98:O299,11,0)</f>
        <v>528</v>
      </c>
    </row>
    <row r="99" spans="1:19" x14ac:dyDescent="0.25">
      <c r="A99" s="105" t="str">
        <f>'Data shares'!C94</f>
        <v>INDIANB</v>
      </c>
      <c r="B99" s="143">
        <f>VLOOKUP($A99,'Data shares'!$C:$FA,118)</f>
        <v>1.19</v>
      </c>
      <c r="C99" s="143">
        <f>VLOOKUP($A99,'Data shares'!$C:$FA,119)</f>
        <v>1.1000000000000001</v>
      </c>
      <c r="D99" s="143">
        <f>VLOOKUP($A99,'Data shares'!$C:$FA,121)*100</f>
        <v>8.18</v>
      </c>
      <c r="E99" s="143">
        <f>VLOOKUP($A99,'Data shares'!$C:$FA,124)</f>
        <v>0.61</v>
      </c>
      <c r="F99" s="143">
        <f>VLOOKUP($A99,'Data shares'!$C:$FA,125)</f>
        <v>0.64</v>
      </c>
      <c r="G99" s="143">
        <f>VLOOKUP($A99,'Data shares'!$C:$FA,127)*100</f>
        <v>-4.6899999999999995</v>
      </c>
      <c r="H99" s="103">
        <f>VLOOKUP($A99,'OI(Volume)'!$A$7:$O$427,8)</f>
        <v>3986000</v>
      </c>
      <c r="I99" s="103">
        <f>VLOOKUP($A99,'OI(Volume)'!$A$7:$O$427,9)</f>
        <v>-462000</v>
      </c>
      <c r="J99" s="103">
        <f>VLOOKUP($A99,'OI(Volume)'!$A$7:$O$427,11)</f>
        <v>4740000</v>
      </c>
      <c r="K99" s="103">
        <f>VLOOKUP($A99,'OI(Volume)'!$A$7:$O$427,12)</f>
        <v>-161000</v>
      </c>
      <c r="L99" s="103">
        <f>VLOOKUP($A99,'OI(Value)'!$A$7:$O$306,8,0)</f>
        <v>331</v>
      </c>
      <c r="M99" s="103">
        <f>VLOOKUP($A99,'OI(Value)'!$A$7:$O$306,9,0)</f>
        <v>-38</v>
      </c>
      <c r="N99" s="103">
        <f>VLOOKUP($A99,'OI(Value)'!$A$7:$O$306,11,0)</f>
        <v>393</v>
      </c>
      <c r="O99" s="103">
        <f>VLOOKUP($A99,'OI(Value)'!$A$7:$O$306,12,0)</f>
        <v>-13</v>
      </c>
      <c r="P99" s="179">
        <f>VLOOKUP(A99,'OI(Value)'!A99:O300,8,0)</f>
        <v>331</v>
      </c>
      <c r="Q99" s="179">
        <f>VLOOKUP(A99,'OI(Value)'!A99:O300,9,0)</f>
        <v>-38</v>
      </c>
      <c r="R99" s="179">
        <f>VLOOKUP(A99,'OI(Value)'!A99:O300,11,0)</f>
        <v>393</v>
      </c>
      <c r="S99" s="179">
        <f>VLOOKUP(A99,'OI(Value)'!A99:O300,11,0)</f>
        <v>393</v>
      </c>
    </row>
    <row r="100" spans="1:19" x14ac:dyDescent="0.25">
      <c r="A100" s="105" t="str">
        <f>'Data shares'!C95</f>
        <v>INDIAVIX</v>
      </c>
      <c r="B100" s="143">
        <f>VLOOKUP($A100,'Data shares'!$C:$FA,118)</f>
        <v>0</v>
      </c>
      <c r="C100" s="143">
        <f>VLOOKUP($A100,'Data shares'!$C:$FA,119)</f>
        <v>0</v>
      </c>
      <c r="D100" s="143">
        <f>VLOOKUP($A100,'Data shares'!$C:$FA,121)*100</f>
        <v>0</v>
      </c>
      <c r="E100" s="143">
        <f>VLOOKUP($A100,'Data shares'!$C:$FA,124)</f>
        <v>0</v>
      </c>
      <c r="F100" s="143">
        <f>VLOOKUP($A100,'Data shares'!$C:$FA,125)</f>
        <v>0</v>
      </c>
      <c r="G100" s="143">
        <f>VLOOKUP($A100,'Data shares'!$C:$FA,127)*100</f>
        <v>0</v>
      </c>
      <c r="H100" s="103">
        <f>VLOOKUP($A100,'OI(Volume)'!$A$7:$O$427,8)</f>
        <v>0</v>
      </c>
      <c r="I100" s="103">
        <f>VLOOKUP($A100,'OI(Volume)'!$A$7:$O$427,9)</f>
        <v>0</v>
      </c>
      <c r="J100" s="103">
        <f>VLOOKUP($A100,'OI(Volume)'!$A$7:$O$427,11)</f>
        <v>0</v>
      </c>
      <c r="K100" s="103">
        <f>VLOOKUP($A100,'OI(Volume)'!$A$7:$O$427,12)</f>
        <v>0</v>
      </c>
      <c r="L100" s="103">
        <f>VLOOKUP($A100,'OI(Value)'!$A$7:$O$306,8,0)</f>
        <v>0</v>
      </c>
      <c r="M100" s="103">
        <f>VLOOKUP($A100,'OI(Value)'!$A$7:$O$306,9,0)</f>
        <v>0</v>
      </c>
      <c r="N100" s="103">
        <f>VLOOKUP($A100,'OI(Value)'!$A$7:$O$306,11,0)</f>
        <v>0</v>
      </c>
      <c r="O100" s="103">
        <f>VLOOKUP($A100,'OI(Value)'!$A$7:$O$306,12,0)</f>
        <v>0</v>
      </c>
      <c r="P100" s="179">
        <f>VLOOKUP(A100,'OI(Value)'!A100:O301,8,0)</f>
        <v>0</v>
      </c>
      <c r="Q100" s="179">
        <f>VLOOKUP(A100,'OI(Value)'!A100:O301,9,0)</f>
        <v>0</v>
      </c>
      <c r="R100" s="179">
        <f>VLOOKUP(A100,'OI(Value)'!A100:O301,11,0)</f>
        <v>0</v>
      </c>
      <c r="S100" s="179">
        <f>VLOOKUP(A100,'OI(Value)'!A100:O301,11,0)</f>
        <v>0</v>
      </c>
    </row>
    <row r="101" spans="1:19" x14ac:dyDescent="0.25">
      <c r="A101" s="105" t="str">
        <f>'Data shares'!C96</f>
        <v>INDIGO</v>
      </c>
      <c r="B101" s="143">
        <f>VLOOKUP($A101,'Data shares'!$C:$FA,118)</f>
        <v>0.91</v>
      </c>
      <c r="C101" s="143">
        <f>VLOOKUP($A101,'Data shares'!$C:$FA,119)</f>
        <v>0.77</v>
      </c>
      <c r="D101" s="143">
        <f>VLOOKUP($A101,'Data shares'!$C:$FA,121)*100</f>
        <v>18.18</v>
      </c>
      <c r="E101" s="143">
        <f>VLOOKUP($A101,'Data shares'!$C:$FA,124)</f>
        <v>0.73</v>
      </c>
      <c r="F101" s="143">
        <f>VLOOKUP($A101,'Data shares'!$C:$FA,125)</f>
        <v>0.64</v>
      </c>
      <c r="G101" s="143">
        <f>VLOOKUP($A101,'Data shares'!$C:$FA,127)*100</f>
        <v>14.06</v>
      </c>
      <c r="H101" s="103">
        <f>VLOOKUP($A101,'OI(Volume)'!$A$7:$O$427,8)</f>
        <v>1927200</v>
      </c>
      <c r="I101" s="103">
        <f>VLOOKUP($A101,'OI(Volume)'!$A$7:$O$427,9)</f>
        <v>-104250</v>
      </c>
      <c r="J101" s="103">
        <f>VLOOKUP($A101,'OI(Volume)'!$A$7:$O$427,11)</f>
        <v>1751400</v>
      </c>
      <c r="K101" s="103">
        <f>VLOOKUP($A101,'OI(Volume)'!$A$7:$O$427,12)</f>
        <v>185100</v>
      </c>
      <c r="L101" s="103">
        <f>VLOOKUP($A101,'OI(Value)'!$A$7:$O$306,8,0)</f>
        <v>1125</v>
      </c>
      <c r="M101" s="103">
        <f>VLOOKUP($A101,'OI(Value)'!$A$7:$O$306,9,0)</f>
        <v>-61</v>
      </c>
      <c r="N101" s="103">
        <f>VLOOKUP($A101,'OI(Value)'!$A$7:$O$306,11,0)</f>
        <v>1022</v>
      </c>
      <c r="O101" s="103">
        <f>VLOOKUP($A101,'OI(Value)'!$A$7:$O$306,12,0)</f>
        <v>108</v>
      </c>
      <c r="P101" s="179">
        <f>VLOOKUP(A101,'OI(Value)'!A101:O302,8,0)</f>
        <v>1125</v>
      </c>
      <c r="Q101" s="179">
        <f>VLOOKUP(A101,'OI(Value)'!A101:O302,9,0)</f>
        <v>-61</v>
      </c>
      <c r="R101" s="179">
        <f>VLOOKUP(A101,'OI(Value)'!A101:O302,11,0)</f>
        <v>1022</v>
      </c>
      <c r="S101" s="179">
        <f>VLOOKUP(A101,'OI(Value)'!A101:O302,11,0)</f>
        <v>1022</v>
      </c>
    </row>
    <row r="102" spans="1:19" x14ac:dyDescent="0.25">
      <c r="A102" s="105" t="str">
        <f>'Data shares'!C97</f>
        <v>INDUSINDBK</v>
      </c>
      <c r="B102" s="143">
        <f>VLOOKUP($A102,'Data shares'!$C:$FA,118)</f>
        <v>0.8</v>
      </c>
      <c r="C102" s="143">
        <f>VLOOKUP($A102,'Data shares'!$C:$FA,119)</f>
        <v>0.73</v>
      </c>
      <c r="D102" s="143">
        <f>VLOOKUP($A102,'Data shares'!$C:$FA,121)*100</f>
        <v>9.59</v>
      </c>
      <c r="E102" s="143">
        <f>VLOOKUP($A102,'Data shares'!$C:$FA,124)</f>
        <v>0.6</v>
      </c>
      <c r="F102" s="143">
        <f>VLOOKUP($A102,'Data shares'!$C:$FA,125)</f>
        <v>0.73</v>
      </c>
      <c r="G102" s="143">
        <f>VLOOKUP($A102,'Data shares'!$C:$FA,127)*100</f>
        <v>-17.810000000000002</v>
      </c>
      <c r="H102" s="103">
        <f>VLOOKUP($A102,'OI(Volume)'!$A$7:$O$427,8)</f>
        <v>19786900</v>
      </c>
      <c r="I102" s="103">
        <f>VLOOKUP($A102,'OI(Volume)'!$A$7:$O$427,9)</f>
        <v>-324100</v>
      </c>
      <c r="J102" s="103">
        <f>VLOOKUP($A102,'OI(Volume)'!$A$7:$O$427,11)</f>
        <v>15844500</v>
      </c>
      <c r="K102" s="103">
        <f>VLOOKUP($A102,'OI(Volume)'!$A$7:$O$427,12)</f>
        <v>1222900</v>
      </c>
      <c r="L102" s="103">
        <f>VLOOKUP($A102,'OI(Value)'!$A$7:$O$306,8,0)</f>
        <v>1524</v>
      </c>
      <c r="M102" s="103">
        <f>VLOOKUP($A102,'OI(Value)'!$A$7:$O$306,9,0)</f>
        <v>-25</v>
      </c>
      <c r="N102" s="103">
        <f>VLOOKUP($A102,'OI(Value)'!$A$7:$O$306,11,0)</f>
        <v>1220</v>
      </c>
      <c r="O102" s="103">
        <f>VLOOKUP($A102,'OI(Value)'!$A$7:$O$306,12,0)</f>
        <v>94</v>
      </c>
      <c r="P102" s="179">
        <f>VLOOKUP(A102,'OI(Value)'!A102:O303,8,0)</f>
        <v>1524</v>
      </c>
      <c r="Q102" s="179">
        <f>VLOOKUP(A102,'OI(Value)'!A102:O303,9,0)</f>
        <v>-25</v>
      </c>
      <c r="R102" s="179">
        <f>VLOOKUP(A102,'OI(Value)'!A102:O303,11,0)</f>
        <v>1220</v>
      </c>
      <c r="S102" s="179">
        <f>VLOOKUP(A102,'OI(Value)'!A102:O303,11,0)</f>
        <v>1220</v>
      </c>
    </row>
    <row r="103" spans="1:19" x14ac:dyDescent="0.25">
      <c r="A103" s="105" t="str">
        <f>'Data shares'!C98</f>
        <v>INDUSTOWER</v>
      </c>
      <c r="B103" s="143">
        <f>VLOOKUP($A103,'Data shares'!$C:$FA,118)</f>
        <v>0.78</v>
      </c>
      <c r="C103" s="143">
        <f>VLOOKUP($A103,'Data shares'!$C:$FA,119)</f>
        <v>0.72</v>
      </c>
      <c r="D103" s="143">
        <f>VLOOKUP($A103,'Data shares'!$C:$FA,121)*100</f>
        <v>8.33</v>
      </c>
      <c r="E103" s="143">
        <f>VLOOKUP($A103,'Data shares'!$C:$FA,124)</f>
        <v>0.44</v>
      </c>
      <c r="F103" s="143">
        <f>VLOOKUP($A103,'Data shares'!$C:$FA,125)</f>
        <v>0.39</v>
      </c>
      <c r="G103" s="143">
        <f>VLOOKUP($A103,'Data shares'!$C:$FA,127)*100</f>
        <v>12.82</v>
      </c>
      <c r="H103" s="103">
        <f>VLOOKUP($A103,'OI(Volume)'!$A$7:$O$427,8)</f>
        <v>30632300</v>
      </c>
      <c r="I103" s="103">
        <f>VLOOKUP($A103,'OI(Volume)'!$A$7:$O$427,9)</f>
        <v>9411200</v>
      </c>
      <c r="J103" s="103">
        <f>VLOOKUP($A103,'OI(Volume)'!$A$7:$O$427,11)</f>
        <v>23954700</v>
      </c>
      <c r="K103" s="103">
        <f>VLOOKUP($A103,'OI(Volume)'!$A$7:$O$427,12)</f>
        <v>8658100</v>
      </c>
      <c r="L103" s="103">
        <f>VLOOKUP($A103,'OI(Value)'!$A$7:$O$306,8,0)</f>
        <v>1140</v>
      </c>
      <c r="M103" s="103">
        <f>VLOOKUP($A103,'OI(Value)'!$A$7:$O$306,9,0)</f>
        <v>350</v>
      </c>
      <c r="N103" s="103">
        <f>VLOOKUP($A103,'OI(Value)'!$A$7:$O$306,11,0)</f>
        <v>891</v>
      </c>
      <c r="O103" s="103">
        <f>VLOOKUP($A103,'OI(Value)'!$A$7:$O$306,12,0)</f>
        <v>322</v>
      </c>
      <c r="P103" s="179">
        <f>VLOOKUP(A103,'OI(Value)'!A103:O304,8,0)</f>
        <v>1140</v>
      </c>
      <c r="Q103" s="179">
        <f>VLOOKUP(A103,'OI(Value)'!A103:O304,9,0)</f>
        <v>350</v>
      </c>
      <c r="R103" s="179">
        <f>VLOOKUP(A103,'OI(Value)'!A103:O304,11,0)</f>
        <v>891</v>
      </c>
      <c r="S103" s="179">
        <f>VLOOKUP(A103,'OI(Value)'!A103:O304,11,0)</f>
        <v>891</v>
      </c>
    </row>
    <row r="104" spans="1:19" x14ac:dyDescent="0.25">
      <c r="A104" s="105" t="str">
        <f>'Data shares'!C99</f>
        <v>INFY</v>
      </c>
      <c r="B104" s="143">
        <f>VLOOKUP($A104,'Data shares'!$C:$FA,118)</f>
        <v>0.42</v>
      </c>
      <c r="C104" s="143">
        <f>VLOOKUP($A104,'Data shares'!$C:$FA,119)</f>
        <v>0.43</v>
      </c>
      <c r="D104" s="143">
        <f>VLOOKUP($A104,'Data shares'!$C:$FA,121)*100</f>
        <v>-2.33</v>
      </c>
      <c r="E104" s="143">
        <f>VLOOKUP($A104,'Data shares'!$C:$FA,124)</f>
        <v>0.44</v>
      </c>
      <c r="F104" s="143">
        <f>VLOOKUP($A104,'Data shares'!$C:$FA,125)</f>
        <v>0.44</v>
      </c>
      <c r="G104" s="143">
        <f>VLOOKUP($A104,'Data shares'!$C:$FA,127)*100</f>
        <v>0</v>
      </c>
      <c r="H104" s="103">
        <f>VLOOKUP($A104,'OI(Volume)'!$A$7:$O$427,8)</f>
        <v>46368800</v>
      </c>
      <c r="I104" s="103">
        <f>VLOOKUP($A104,'OI(Volume)'!$A$7:$O$427,9)</f>
        <v>-3371200</v>
      </c>
      <c r="J104" s="103">
        <f>VLOOKUP($A104,'OI(Volume)'!$A$7:$O$427,11)</f>
        <v>19518000</v>
      </c>
      <c r="K104" s="103">
        <f>VLOOKUP($A104,'OI(Volume)'!$A$7:$O$427,12)</f>
        <v>-1923600</v>
      </c>
      <c r="L104" s="103">
        <f>VLOOKUP($A104,'OI(Value)'!$A$7:$O$306,8,0)</f>
        <v>6980</v>
      </c>
      <c r="M104" s="103">
        <f>VLOOKUP($A104,'OI(Value)'!$A$7:$O$306,9,0)</f>
        <v>-508</v>
      </c>
      <c r="N104" s="103">
        <f>VLOOKUP($A104,'OI(Value)'!$A$7:$O$306,11,0)</f>
        <v>2938</v>
      </c>
      <c r="O104" s="103">
        <f>VLOOKUP($A104,'OI(Value)'!$A$7:$O$306,12,0)</f>
        <v>-290</v>
      </c>
      <c r="P104" s="179">
        <f>VLOOKUP(A104,'OI(Value)'!A104:O305,8,0)</f>
        <v>6980</v>
      </c>
      <c r="Q104" s="179">
        <f>VLOOKUP(A104,'OI(Value)'!A104:O305,9,0)</f>
        <v>-508</v>
      </c>
      <c r="R104" s="179">
        <f>VLOOKUP(A104,'OI(Value)'!A104:O305,11,0)</f>
        <v>2938</v>
      </c>
      <c r="S104" s="179">
        <f>VLOOKUP(A104,'OI(Value)'!A104:O305,11,0)</f>
        <v>2938</v>
      </c>
    </row>
    <row r="105" spans="1:19" x14ac:dyDescent="0.25">
      <c r="A105" s="105" t="str">
        <f>'Data shares'!C100</f>
        <v>INOXWIND</v>
      </c>
      <c r="B105" s="143">
        <f>VLOOKUP($A105,'Data shares'!$C:$FA,118)</f>
        <v>0.6</v>
      </c>
      <c r="C105" s="143">
        <f>VLOOKUP($A105,'Data shares'!$C:$FA,119)</f>
        <v>0.57999999999999996</v>
      </c>
      <c r="D105" s="143">
        <f>VLOOKUP($A105,'Data shares'!$C:$FA,121)*100</f>
        <v>3.45</v>
      </c>
      <c r="E105" s="143">
        <f>VLOOKUP($A105,'Data shares'!$C:$FA,124)</f>
        <v>0.33</v>
      </c>
      <c r="F105" s="143">
        <f>VLOOKUP($A105,'Data shares'!$C:$FA,125)</f>
        <v>0.43</v>
      </c>
      <c r="G105" s="143">
        <f>VLOOKUP($A105,'Data shares'!$C:$FA,127)*100</f>
        <v>-23.26</v>
      </c>
      <c r="H105" s="103">
        <f>VLOOKUP($A105,'OI(Volume)'!$A$7:$O$427,8)</f>
        <v>22157984</v>
      </c>
      <c r="I105" s="103">
        <f>VLOOKUP($A105,'OI(Volume)'!$A$7:$O$427,9)</f>
        <v>-2313304</v>
      </c>
      <c r="J105" s="103">
        <f>VLOOKUP($A105,'OI(Volume)'!$A$7:$O$427,11)</f>
        <v>13261416</v>
      </c>
      <c r="K105" s="103">
        <f>VLOOKUP($A105,'OI(Volume)'!$A$7:$O$427,12)</f>
        <v>-909616</v>
      </c>
      <c r="L105" s="103">
        <f>VLOOKUP($A105,'OI(Value)'!$A$7:$O$306,8,0)</f>
        <v>340</v>
      </c>
      <c r="M105" s="103">
        <f>VLOOKUP($A105,'OI(Value)'!$A$7:$O$306,9,0)</f>
        <v>-35</v>
      </c>
      <c r="N105" s="103">
        <f>VLOOKUP($A105,'OI(Value)'!$A$7:$O$306,11,0)</f>
        <v>203</v>
      </c>
      <c r="O105" s="103">
        <f>VLOOKUP($A105,'OI(Value)'!$A$7:$O$306,12,0)</f>
        <v>-14</v>
      </c>
      <c r="P105" s="179">
        <f>VLOOKUP(A105,'OI(Value)'!A105:O306,8,0)</f>
        <v>340</v>
      </c>
      <c r="Q105" s="179">
        <f>VLOOKUP(A105,'OI(Value)'!A105:O306,9,0)</f>
        <v>-35</v>
      </c>
      <c r="R105" s="179">
        <f>VLOOKUP(A105,'OI(Value)'!A105:O306,11,0)</f>
        <v>203</v>
      </c>
      <c r="S105" s="179">
        <f>VLOOKUP(A105,'OI(Value)'!A105:O306,11,0)</f>
        <v>203</v>
      </c>
    </row>
    <row r="106" spans="1:19" x14ac:dyDescent="0.25">
      <c r="A106" s="105" t="str">
        <f>'Data shares'!C101</f>
        <v>IOC</v>
      </c>
      <c r="B106" s="143">
        <f>VLOOKUP($A106,'Data shares'!$C:$FA,118)</f>
        <v>0.69</v>
      </c>
      <c r="C106" s="143">
        <f>VLOOKUP($A106,'Data shares'!$C:$FA,119)</f>
        <v>0.68</v>
      </c>
      <c r="D106" s="143">
        <f>VLOOKUP($A106,'Data shares'!$C:$FA,121)*100</f>
        <v>1.47</v>
      </c>
      <c r="E106" s="143">
        <f>VLOOKUP($A106,'Data shares'!$C:$FA,124)</f>
        <v>0.38</v>
      </c>
      <c r="F106" s="143">
        <f>VLOOKUP($A106,'Data shares'!$C:$FA,125)</f>
        <v>0.52</v>
      </c>
      <c r="G106" s="143">
        <f>VLOOKUP($A106,'Data shares'!$C:$FA,127)*100</f>
        <v>-26.919999999999998</v>
      </c>
      <c r="H106" s="103">
        <f>VLOOKUP($A106,'OI(Volume)'!$A$7:$O$427,8)</f>
        <v>62317125</v>
      </c>
      <c r="I106" s="103">
        <f>VLOOKUP($A106,'OI(Volume)'!$A$7:$O$427,9)</f>
        <v>6030375</v>
      </c>
      <c r="J106" s="103">
        <f>VLOOKUP($A106,'OI(Volume)'!$A$7:$O$427,11)</f>
        <v>43119375</v>
      </c>
      <c r="K106" s="103">
        <f>VLOOKUP($A106,'OI(Volume)'!$A$7:$O$427,12)</f>
        <v>4792125</v>
      </c>
      <c r="L106" s="103">
        <f>VLOOKUP($A106,'OI(Value)'!$A$7:$O$306,8,0)</f>
        <v>967</v>
      </c>
      <c r="M106" s="103">
        <f>VLOOKUP($A106,'OI(Value)'!$A$7:$O$306,9,0)</f>
        <v>94</v>
      </c>
      <c r="N106" s="103">
        <f>VLOOKUP($A106,'OI(Value)'!$A$7:$O$306,11,0)</f>
        <v>669</v>
      </c>
      <c r="O106" s="103">
        <f>VLOOKUP($A106,'OI(Value)'!$A$7:$O$306,12,0)</f>
        <v>74</v>
      </c>
      <c r="P106" s="179">
        <f>VLOOKUP(A106,'OI(Value)'!A106:O307,8,0)</f>
        <v>967</v>
      </c>
      <c r="Q106" s="179">
        <f>VLOOKUP(A106,'OI(Value)'!A106:O307,9,0)</f>
        <v>94</v>
      </c>
      <c r="R106" s="179">
        <f>VLOOKUP(A106,'OI(Value)'!A106:O307,11,0)</f>
        <v>669</v>
      </c>
      <c r="S106" s="179">
        <f>VLOOKUP(A106,'OI(Value)'!A106:O307,11,0)</f>
        <v>669</v>
      </c>
    </row>
    <row r="107" spans="1:19" x14ac:dyDescent="0.25">
      <c r="A107" s="105" t="str">
        <f>'Data shares'!C102</f>
        <v>IRCTC</v>
      </c>
      <c r="B107" s="143">
        <f>VLOOKUP($A107,'Data shares'!$C:$FA,118)</f>
        <v>0.6</v>
      </c>
      <c r="C107" s="143">
        <f>VLOOKUP($A107,'Data shares'!$C:$FA,119)</f>
        <v>0.56000000000000005</v>
      </c>
      <c r="D107" s="143">
        <f>VLOOKUP($A107,'Data shares'!$C:$FA,121)*100</f>
        <v>7.1400000000000006</v>
      </c>
      <c r="E107" s="143">
        <f>VLOOKUP($A107,'Data shares'!$C:$FA,124)</f>
        <v>0.47</v>
      </c>
      <c r="F107" s="143">
        <f>VLOOKUP($A107,'Data shares'!$C:$FA,125)</f>
        <v>0.28999999999999998</v>
      </c>
      <c r="G107" s="143">
        <f>VLOOKUP($A107,'Data shares'!$C:$FA,127)*100</f>
        <v>62.07</v>
      </c>
      <c r="H107" s="103">
        <f>VLOOKUP($A107,'OI(Volume)'!$A$7:$O$427,8)</f>
        <v>8860250</v>
      </c>
      <c r="I107" s="103">
        <f>VLOOKUP($A107,'OI(Volume)'!$A$7:$O$427,9)</f>
        <v>-679000</v>
      </c>
      <c r="J107" s="103">
        <f>VLOOKUP($A107,'OI(Volume)'!$A$7:$O$427,11)</f>
        <v>5335750</v>
      </c>
      <c r="K107" s="103">
        <f>VLOOKUP($A107,'OI(Volume)'!$A$7:$O$427,12)</f>
        <v>28875</v>
      </c>
      <c r="L107" s="103">
        <f>VLOOKUP($A107,'OI(Value)'!$A$7:$O$306,8,0)</f>
        <v>641</v>
      </c>
      <c r="M107" s="103">
        <f>VLOOKUP($A107,'OI(Value)'!$A$7:$O$306,9,0)</f>
        <v>-49</v>
      </c>
      <c r="N107" s="103">
        <f>VLOOKUP($A107,'OI(Value)'!$A$7:$O$306,11,0)</f>
        <v>386</v>
      </c>
      <c r="O107" s="103">
        <f>VLOOKUP($A107,'OI(Value)'!$A$7:$O$306,12,0)</f>
        <v>2</v>
      </c>
      <c r="P107" s="179">
        <f>VLOOKUP(A107,'OI(Value)'!A107:O308,8,0)</f>
        <v>641</v>
      </c>
      <c r="Q107" s="179">
        <f>VLOOKUP(A107,'OI(Value)'!A107:O308,9,0)</f>
        <v>-49</v>
      </c>
      <c r="R107" s="179">
        <f>VLOOKUP(A107,'OI(Value)'!A107:O308,11,0)</f>
        <v>386</v>
      </c>
      <c r="S107" s="179">
        <f>VLOOKUP(A107,'OI(Value)'!A107:O308,11,0)</f>
        <v>386</v>
      </c>
    </row>
    <row r="108" spans="1:19" x14ac:dyDescent="0.25">
      <c r="A108" s="105" t="str">
        <f>'Data shares'!C103</f>
        <v>IREDA</v>
      </c>
      <c r="B108" s="143">
        <f>VLOOKUP($A108,'Data shares'!$C:$FA,118)</f>
        <v>0.52</v>
      </c>
      <c r="C108" s="143">
        <f>VLOOKUP($A108,'Data shares'!$C:$FA,119)</f>
        <v>0.47</v>
      </c>
      <c r="D108" s="143">
        <f>VLOOKUP($A108,'Data shares'!$C:$FA,121)*100</f>
        <v>10.639999999999999</v>
      </c>
      <c r="E108" s="143">
        <f>VLOOKUP($A108,'Data shares'!$C:$FA,124)</f>
        <v>0.34</v>
      </c>
      <c r="F108" s="143">
        <f>VLOOKUP($A108,'Data shares'!$C:$FA,125)</f>
        <v>0.34</v>
      </c>
      <c r="G108" s="143">
        <f>VLOOKUP($A108,'Data shares'!$C:$FA,127)*100</f>
        <v>0</v>
      </c>
      <c r="H108" s="103">
        <f>VLOOKUP($A108,'OI(Volume)'!$A$7:$O$427,8)</f>
        <v>29583750</v>
      </c>
      <c r="I108" s="103">
        <f>VLOOKUP($A108,'OI(Volume)'!$A$7:$O$427,9)</f>
        <v>-5026650</v>
      </c>
      <c r="J108" s="103">
        <f>VLOOKUP($A108,'OI(Volume)'!$A$7:$O$427,11)</f>
        <v>15525000</v>
      </c>
      <c r="K108" s="103">
        <f>VLOOKUP($A108,'OI(Volume)'!$A$7:$O$427,12)</f>
        <v>-855600</v>
      </c>
      <c r="L108" s="103">
        <f>VLOOKUP($A108,'OI(Value)'!$A$7:$O$306,8,0)</f>
        <v>455</v>
      </c>
      <c r="M108" s="103">
        <f>VLOOKUP($A108,'OI(Value)'!$A$7:$O$306,9,0)</f>
        <v>-77</v>
      </c>
      <c r="N108" s="103">
        <f>VLOOKUP($A108,'OI(Value)'!$A$7:$O$306,11,0)</f>
        <v>239</v>
      </c>
      <c r="O108" s="103">
        <f>VLOOKUP($A108,'OI(Value)'!$A$7:$O$306,12,0)</f>
        <v>-13</v>
      </c>
      <c r="P108" s="179">
        <f>VLOOKUP(A108,'OI(Value)'!A108:O309,8,0)</f>
        <v>455</v>
      </c>
      <c r="Q108" s="179">
        <f>VLOOKUP(A108,'OI(Value)'!A108:O309,9,0)</f>
        <v>-77</v>
      </c>
      <c r="R108" s="179">
        <f>VLOOKUP(A108,'OI(Value)'!A108:O309,11,0)</f>
        <v>239</v>
      </c>
      <c r="S108" s="179">
        <f>VLOOKUP(A108,'OI(Value)'!A108:O309,11,0)</f>
        <v>239</v>
      </c>
    </row>
    <row r="109" spans="1:19" x14ac:dyDescent="0.25">
      <c r="A109" s="105" t="str">
        <f>'Data shares'!C104</f>
        <v>IRFC</v>
      </c>
      <c r="B109" s="143">
        <f>VLOOKUP($A109,'Data shares'!$C:$FA,118)</f>
        <v>0.47</v>
      </c>
      <c r="C109" s="143">
        <f>VLOOKUP($A109,'Data shares'!$C:$FA,119)</f>
        <v>0.46</v>
      </c>
      <c r="D109" s="143">
        <f>VLOOKUP($A109,'Data shares'!$C:$FA,121)*100</f>
        <v>2.17</v>
      </c>
      <c r="E109" s="143">
        <f>VLOOKUP($A109,'Data shares'!$C:$FA,124)</f>
        <v>0.56999999999999995</v>
      </c>
      <c r="F109" s="143">
        <f>VLOOKUP($A109,'Data shares'!$C:$FA,125)</f>
        <v>0.39</v>
      </c>
      <c r="G109" s="143">
        <f>VLOOKUP($A109,'Data shares'!$C:$FA,127)*100</f>
        <v>46.150000000000006</v>
      </c>
      <c r="H109" s="103">
        <f>VLOOKUP($A109,'OI(Volume)'!$A$7:$O$427,8)</f>
        <v>37004750</v>
      </c>
      <c r="I109" s="103">
        <f>VLOOKUP($A109,'OI(Volume)'!$A$7:$O$427,9)</f>
        <v>-1028500</v>
      </c>
      <c r="J109" s="103">
        <f>VLOOKUP($A109,'OI(Volume)'!$A$7:$O$427,11)</f>
        <v>17255000</v>
      </c>
      <c r="K109" s="103">
        <f>VLOOKUP($A109,'OI(Volume)'!$A$7:$O$427,12)</f>
        <v>-246500</v>
      </c>
      <c r="L109" s="103">
        <f>VLOOKUP($A109,'OI(Value)'!$A$7:$O$306,8,0)</f>
        <v>458</v>
      </c>
      <c r="M109" s="103">
        <f>VLOOKUP($A109,'OI(Value)'!$A$7:$O$306,9,0)</f>
        <v>-13</v>
      </c>
      <c r="N109" s="103">
        <f>VLOOKUP($A109,'OI(Value)'!$A$7:$O$306,11,0)</f>
        <v>213</v>
      </c>
      <c r="O109" s="103">
        <f>VLOOKUP($A109,'OI(Value)'!$A$7:$O$306,12,0)</f>
        <v>-3</v>
      </c>
      <c r="P109" s="179">
        <f>VLOOKUP(A109,'OI(Value)'!A109:O310,8,0)</f>
        <v>458</v>
      </c>
      <c r="Q109" s="179">
        <f>VLOOKUP(A109,'OI(Value)'!A109:O310,9,0)</f>
        <v>-13</v>
      </c>
      <c r="R109" s="179">
        <f>VLOOKUP(A109,'OI(Value)'!A109:O310,11,0)</f>
        <v>213</v>
      </c>
      <c r="S109" s="179">
        <f>VLOOKUP(A109,'OI(Value)'!A109:O310,11,0)</f>
        <v>213</v>
      </c>
    </row>
    <row r="110" spans="1:19" x14ac:dyDescent="0.25">
      <c r="A110" s="105" t="str">
        <f>'Data shares'!C105</f>
        <v>ITC</v>
      </c>
      <c r="B110" s="143">
        <f>VLOOKUP($A110,'Data shares'!$C:$FA,118)</f>
        <v>0.9</v>
      </c>
      <c r="C110" s="143">
        <f>VLOOKUP($A110,'Data shares'!$C:$FA,119)</f>
        <v>0.82</v>
      </c>
      <c r="D110" s="143">
        <f>VLOOKUP($A110,'Data shares'!$C:$FA,121)*100</f>
        <v>9.76</v>
      </c>
      <c r="E110" s="143">
        <f>VLOOKUP($A110,'Data shares'!$C:$FA,124)</f>
        <v>0.68</v>
      </c>
      <c r="F110" s="143">
        <f>VLOOKUP($A110,'Data shares'!$C:$FA,125)</f>
        <v>0.67</v>
      </c>
      <c r="G110" s="143">
        <f>VLOOKUP($A110,'Data shares'!$C:$FA,127)*100</f>
        <v>1.49</v>
      </c>
      <c r="H110" s="103">
        <f>VLOOKUP($A110,'OI(Volume)'!$A$7:$O$427,8)</f>
        <v>38067200</v>
      </c>
      <c r="I110" s="103">
        <f>VLOOKUP($A110,'OI(Volume)'!$A$7:$O$427,9)</f>
        <v>-1968000</v>
      </c>
      <c r="J110" s="103">
        <f>VLOOKUP($A110,'OI(Volume)'!$A$7:$O$427,11)</f>
        <v>34427200</v>
      </c>
      <c r="K110" s="103">
        <f>VLOOKUP($A110,'OI(Volume)'!$A$7:$O$427,12)</f>
        <v>1548800</v>
      </c>
      <c r="L110" s="103">
        <f>VLOOKUP($A110,'OI(Value)'!$A$7:$O$306,8,0)</f>
        <v>1601</v>
      </c>
      <c r="M110" s="103">
        <f>VLOOKUP($A110,'OI(Value)'!$A$7:$O$306,9,0)</f>
        <v>-83</v>
      </c>
      <c r="N110" s="103">
        <f>VLOOKUP($A110,'OI(Value)'!$A$7:$O$306,11,0)</f>
        <v>1448</v>
      </c>
      <c r="O110" s="103">
        <f>VLOOKUP($A110,'OI(Value)'!$A$7:$O$306,12,0)</f>
        <v>65</v>
      </c>
      <c r="P110" s="179">
        <f>VLOOKUP(A110,'OI(Value)'!A110:O311,8,0)</f>
        <v>1601</v>
      </c>
      <c r="Q110" s="179">
        <f>VLOOKUP(A110,'OI(Value)'!A110:O311,9,0)</f>
        <v>-83</v>
      </c>
      <c r="R110" s="179">
        <f>VLOOKUP(A110,'OI(Value)'!A110:O311,11,0)</f>
        <v>1448</v>
      </c>
      <c r="S110" s="179">
        <f>VLOOKUP(A110,'OI(Value)'!A110:O311,11,0)</f>
        <v>1448</v>
      </c>
    </row>
    <row r="111" spans="1:19" x14ac:dyDescent="0.25">
      <c r="A111" s="105" t="str">
        <f>'Data shares'!C106</f>
        <v>JINDALSTEL</v>
      </c>
      <c r="B111" s="143">
        <f>VLOOKUP($A111,'Data shares'!$C:$FA,118)</f>
        <v>0.6</v>
      </c>
      <c r="C111" s="143">
        <f>VLOOKUP($A111,'Data shares'!$C:$FA,119)</f>
        <v>0.49</v>
      </c>
      <c r="D111" s="143">
        <f>VLOOKUP($A111,'Data shares'!$C:$FA,121)*100</f>
        <v>22.45</v>
      </c>
      <c r="E111" s="143">
        <f>VLOOKUP($A111,'Data shares'!$C:$FA,124)</f>
        <v>0.47</v>
      </c>
      <c r="F111" s="143">
        <f>VLOOKUP($A111,'Data shares'!$C:$FA,125)</f>
        <v>0.35</v>
      </c>
      <c r="G111" s="143">
        <f>VLOOKUP($A111,'Data shares'!$C:$FA,127)*100</f>
        <v>34.29</v>
      </c>
      <c r="H111" s="103">
        <f>VLOOKUP($A111,'OI(Volume)'!$A$7:$O$427,8)</f>
        <v>6412500</v>
      </c>
      <c r="I111" s="103">
        <f>VLOOKUP($A111,'OI(Volume)'!$A$7:$O$427,9)</f>
        <v>-1365625</v>
      </c>
      <c r="J111" s="103">
        <f>VLOOKUP($A111,'OI(Volume)'!$A$7:$O$427,11)</f>
        <v>3817500</v>
      </c>
      <c r="K111" s="103">
        <f>VLOOKUP($A111,'OI(Volume)'!$A$7:$O$427,12)</f>
        <v>29375</v>
      </c>
      <c r="L111" s="103">
        <f>VLOOKUP($A111,'OI(Value)'!$A$7:$O$306,8,0)</f>
        <v>663</v>
      </c>
      <c r="M111" s="103">
        <f>VLOOKUP($A111,'OI(Value)'!$A$7:$O$306,9,0)</f>
        <v>-141</v>
      </c>
      <c r="N111" s="103">
        <f>VLOOKUP($A111,'OI(Value)'!$A$7:$O$306,11,0)</f>
        <v>395</v>
      </c>
      <c r="O111" s="103">
        <f>VLOOKUP($A111,'OI(Value)'!$A$7:$O$306,12,0)</f>
        <v>3</v>
      </c>
      <c r="P111" s="179">
        <f>VLOOKUP(A111,'OI(Value)'!A111:O312,8,0)</f>
        <v>663</v>
      </c>
      <c r="Q111" s="179">
        <f>VLOOKUP(A111,'OI(Value)'!A111:O312,9,0)</f>
        <v>-141</v>
      </c>
      <c r="R111" s="179">
        <f>VLOOKUP(A111,'OI(Value)'!A111:O312,11,0)</f>
        <v>395</v>
      </c>
      <c r="S111" s="179">
        <f>VLOOKUP(A111,'OI(Value)'!A111:O312,11,0)</f>
        <v>395</v>
      </c>
    </row>
    <row r="112" spans="1:19" x14ac:dyDescent="0.25">
      <c r="A112" s="105" t="str">
        <f>'Data shares'!C107</f>
        <v>JIOFIN</v>
      </c>
      <c r="B112" s="143">
        <f>VLOOKUP($A112,'Data shares'!$C:$FA,118)</f>
        <v>0.55000000000000004</v>
      </c>
      <c r="C112" s="143">
        <f>VLOOKUP($A112,'Data shares'!$C:$FA,119)</f>
        <v>0.54</v>
      </c>
      <c r="D112" s="143">
        <f>VLOOKUP($A112,'Data shares'!$C:$FA,121)*100</f>
        <v>1.8499999999999999</v>
      </c>
      <c r="E112" s="143">
        <f>VLOOKUP($A112,'Data shares'!$C:$FA,124)</f>
        <v>0.52</v>
      </c>
      <c r="F112" s="143">
        <f>VLOOKUP($A112,'Data shares'!$C:$FA,125)</f>
        <v>0.42</v>
      </c>
      <c r="G112" s="143">
        <f>VLOOKUP($A112,'Data shares'!$C:$FA,127)*100</f>
        <v>23.810000000000002</v>
      </c>
      <c r="H112" s="103">
        <f>VLOOKUP($A112,'OI(Volume)'!$A$7:$O$427,8)</f>
        <v>77745050</v>
      </c>
      <c r="I112" s="103">
        <f>VLOOKUP($A112,'OI(Volume)'!$A$7:$O$427,9)</f>
        <v>-340750</v>
      </c>
      <c r="J112" s="103">
        <f>VLOOKUP($A112,'OI(Volume)'!$A$7:$O$427,11)</f>
        <v>42911000</v>
      </c>
      <c r="K112" s="103">
        <f>VLOOKUP($A112,'OI(Volume)'!$A$7:$O$427,12)</f>
        <v>441800</v>
      </c>
      <c r="L112" s="103">
        <f>VLOOKUP($A112,'OI(Value)'!$A$7:$O$306,8,0)</f>
        <v>2378</v>
      </c>
      <c r="M112" s="103">
        <f>VLOOKUP($A112,'OI(Value)'!$A$7:$O$306,9,0)</f>
        <v>-10</v>
      </c>
      <c r="N112" s="103">
        <f>VLOOKUP($A112,'OI(Value)'!$A$7:$O$306,11,0)</f>
        <v>1312</v>
      </c>
      <c r="O112" s="103">
        <f>VLOOKUP($A112,'OI(Value)'!$A$7:$O$306,12,0)</f>
        <v>14</v>
      </c>
      <c r="P112" s="179">
        <f>VLOOKUP(A112,'OI(Value)'!A112:O313,8,0)</f>
        <v>2378</v>
      </c>
      <c r="Q112" s="179">
        <f>VLOOKUP(A112,'OI(Value)'!A112:O313,9,0)</f>
        <v>-10</v>
      </c>
      <c r="R112" s="179">
        <f>VLOOKUP(A112,'OI(Value)'!A112:O313,11,0)</f>
        <v>1312</v>
      </c>
      <c r="S112" s="179">
        <f>VLOOKUP(A112,'OI(Value)'!A112:O313,11,0)</f>
        <v>1312</v>
      </c>
    </row>
    <row r="113" spans="1:19" x14ac:dyDescent="0.25">
      <c r="A113" s="105" t="str">
        <f>'Data shares'!C108</f>
        <v>JSWENERGY</v>
      </c>
      <c r="B113" s="143">
        <f>VLOOKUP($A113,'Data shares'!$C:$FA,118)</f>
        <v>0.37</v>
      </c>
      <c r="C113" s="143">
        <f>VLOOKUP($A113,'Data shares'!$C:$FA,119)</f>
        <v>0.34</v>
      </c>
      <c r="D113" s="143">
        <f>VLOOKUP($A113,'Data shares'!$C:$FA,121)*100</f>
        <v>8.82</v>
      </c>
      <c r="E113" s="143">
        <f>VLOOKUP($A113,'Data shares'!$C:$FA,124)</f>
        <v>0.41</v>
      </c>
      <c r="F113" s="143">
        <f>VLOOKUP($A113,'Data shares'!$C:$FA,125)</f>
        <v>0.31</v>
      </c>
      <c r="G113" s="143">
        <f>VLOOKUP($A113,'Data shares'!$C:$FA,127)*100</f>
        <v>32.26</v>
      </c>
      <c r="H113" s="103">
        <f>VLOOKUP($A113,'OI(Volume)'!$A$7:$O$427,8)</f>
        <v>13123000</v>
      </c>
      <c r="I113" s="103">
        <f>VLOOKUP($A113,'OI(Volume)'!$A$7:$O$427,9)</f>
        <v>-1257000</v>
      </c>
      <c r="J113" s="103">
        <f>VLOOKUP($A113,'OI(Volume)'!$A$7:$O$427,11)</f>
        <v>4907000</v>
      </c>
      <c r="K113" s="103">
        <f>VLOOKUP($A113,'OI(Volume)'!$A$7:$O$427,12)</f>
        <v>39000</v>
      </c>
      <c r="L113" s="103">
        <f>VLOOKUP($A113,'OI(Value)'!$A$7:$O$306,8,0)</f>
        <v>695</v>
      </c>
      <c r="M113" s="103">
        <f>VLOOKUP($A113,'OI(Value)'!$A$7:$O$306,9,0)</f>
        <v>-67</v>
      </c>
      <c r="N113" s="103">
        <f>VLOOKUP($A113,'OI(Value)'!$A$7:$O$306,11,0)</f>
        <v>260</v>
      </c>
      <c r="O113" s="103">
        <f>VLOOKUP($A113,'OI(Value)'!$A$7:$O$306,12,0)</f>
        <v>2</v>
      </c>
      <c r="P113" s="179">
        <f>VLOOKUP(A113,'OI(Value)'!A113:O314,8,0)</f>
        <v>695</v>
      </c>
      <c r="Q113" s="179">
        <f>VLOOKUP(A113,'OI(Value)'!A113:O314,9,0)</f>
        <v>-67</v>
      </c>
      <c r="R113" s="179">
        <f>VLOOKUP(A113,'OI(Value)'!A113:O314,11,0)</f>
        <v>260</v>
      </c>
      <c r="S113" s="179">
        <f>VLOOKUP(A113,'OI(Value)'!A113:O314,11,0)</f>
        <v>260</v>
      </c>
    </row>
    <row r="114" spans="1:19" x14ac:dyDescent="0.25">
      <c r="A114" s="105" t="str">
        <f>'Data shares'!C109</f>
        <v>JSWSTEEL</v>
      </c>
      <c r="B114" s="143">
        <f>VLOOKUP($A114,'Data shares'!$C:$FA,118)</f>
        <v>0.59</v>
      </c>
      <c r="C114" s="143">
        <f>VLOOKUP($A114,'Data shares'!$C:$FA,119)</f>
        <v>0.56000000000000005</v>
      </c>
      <c r="D114" s="143">
        <f>VLOOKUP($A114,'Data shares'!$C:$FA,121)*100</f>
        <v>5.36</v>
      </c>
      <c r="E114" s="143">
        <f>VLOOKUP($A114,'Data shares'!$C:$FA,124)</f>
        <v>0.52</v>
      </c>
      <c r="F114" s="143">
        <f>VLOOKUP($A114,'Data shares'!$C:$FA,125)</f>
        <v>0.51</v>
      </c>
      <c r="G114" s="143">
        <f>VLOOKUP($A114,'Data shares'!$C:$FA,127)*100</f>
        <v>1.96</v>
      </c>
      <c r="H114" s="103">
        <f>VLOOKUP($A114,'OI(Volume)'!$A$7:$O$427,8)</f>
        <v>9357525</v>
      </c>
      <c r="I114" s="103">
        <f>VLOOKUP($A114,'OI(Volume)'!$A$7:$O$427,9)</f>
        <v>-261900</v>
      </c>
      <c r="J114" s="103">
        <f>VLOOKUP($A114,'OI(Volume)'!$A$7:$O$427,11)</f>
        <v>5503275</v>
      </c>
      <c r="K114" s="103">
        <f>VLOOKUP($A114,'OI(Volume)'!$A$7:$O$427,12)</f>
        <v>103275</v>
      </c>
      <c r="L114" s="103">
        <f>VLOOKUP($A114,'OI(Value)'!$A$7:$O$306,8,0)</f>
        <v>1075</v>
      </c>
      <c r="M114" s="103">
        <f>VLOOKUP($A114,'OI(Value)'!$A$7:$O$306,9,0)</f>
        <v>-30</v>
      </c>
      <c r="N114" s="103">
        <f>VLOOKUP($A114,'OI(Value)'!$A$7:$O$306,11,0)</f>
        <v>632</v>
      </c>
      <c r="O114" s="103">
        <f>VLOOKUP($A114,'OI(Value)'!$A$7:$O$306,12,0)</f>
        <v>12</v>
      </c>
      <c r="P114" s="179">
        <f>VLOOKUP(A114,'OI(Value)'!A114:O315,8,0)</f>
        <v>1075</v>
      </c>
      <c r="Q114" s="179">
        <f>VLOOKUP(A114,'OI(Value)'!A114:O315,9,0)</f>
        <v>-30</v>
      </c>
      <c r="R114" s="179">
        <f>VLOOKUP(A114,'OI(Value)'!A114:O315,11,0)</f>
        <v>632</v>
      </c>
      <c r="S114" s="179">
        <f>VLOOKUP(A114,'OI(Value)'!A114:O315,11,0)</f>
        <v>632</v>
      </c>
    </row>
    <row r="115" spans="1:19" x14ac:dyDescent="0.25">
      <c r="A115" s="105" t="str">
        <f>'Data shares'!C110</f>
        <v>JUBLFOOD</v>
      </c>
      <c r="B115" s="143">
        <f>VLOOKUP($A115,'Data shares'!$C:$FA,118)</f>
        <v>0.59</v>
      </c>
      <c r="C115" s="143">
        <f>VLOOKUP($A115,'Data shares'!$C:$FA,119)</f>
        <v>0.53</v>
      </c>
      <c r="D115" s="143">
        <f>VLOOKUP($A115,'Data shares'!$C:$FA,121)*100</f>
        <v>11.32</v>
      </c>
      <c r="E115" s="143">
        <f>VLOOKUP($A115,'Data shares'!$C:$FA,124)</f>
        <v>0.44</v>
      </c>
      <c r="F115" s="143">
        <f>VLOOKUP($A115,'Data shares'!$C:$FA,125)</f>
        <v>0.5</v>
      </c>
      <c r="G115" s="143">
        <f>VLOOKUP($A115,'Data shares'!$C:$FA,127)*100</f>
        <v>-12</v>
      </c>
      <c r="H115" s="103">
        <f>VLOOKUP($A115,'OI(Volume)'!$A$7:$O$427,8)</f>
        <v>8368750</v>
      </c>
      <c r="I115" s="103">
        <f>VLOOKUP($A115,'OI(Volume)'!$A$7:$O$427,9)</f>
        <v>-1567500</v>
      </c>
      <c r="J115" s="103">
        <f>VLOOKUP($A115,'OI(Volume)'!$A$7:$O$427,11)</f>
        <v>4946250</v>
      </c>
      <c r="K115" s="103">
        <f>VLOOKUP($A115,'OI(Volume)'!$A$7:$O$427,12)</f>
        <v>-358750</v>
      </c>
      <c r="L115" s="103">
        <f>VLOOKUP($A115,'OI(Value)'!$A$7:$O$306,8,0)</f>
        <v>498</v>
      </c>
      <c r="M115" s="103">
        <f>VLOOKUP($A115,'OI(Value)'!$A$7:$O$306,9,0)</f>
        <v>-93</v>
      </c>
      <c r="N115" s="103">
        <f>VLOOKUP($A115,'OI(Value)'!$A$7:$O$306,11,0)</f>
        <v>294</v>
      </c>
      <c r="O115" s="103">
        <f>VLOOKUP($A115,'OI(Value)'!$A$7:$O$306,12,0)</f>
        <v>-21</v>
      </c>
      <c r="P115" s="179">
        <f>VLOOKUP(A115,'OI(Value)'!A115:O316,8,0)</f>
        <v>498</v>
      </c>
      <c r="Q115" s="179">
        <f>VLOOKUP(A115,'OI(Value)'!A115:O316,9,0)</f>
        <v>-93</v>
      </c>
      <c r="R115" s="179">
        <f>VLOOKUP(A115,'OI(Value)'!A115:O316,11,0)</f>
        <v>294</v>
      </c>
      <c r="S115" s="179">
        <f>VLOOKUP(A115,'OI(Value)'!A115:O316,11,0)</f>
        <v>294</v>
      </c>
    </row>
    <row r="116" spans="1:19" x14ac:dyDescent="0.25">
      <c r="A116" s="105" t="str">
        <f>'Data shares'!C111</f>
        <v>KALYANKJIL</v>
      </c>
      <c r="B116" s="143">
        <f>VLOOKUP($A116,'Data shares'!$C:$FA,118)</f>
        <v>0.75</v>
      </c>
      <c r="C116" s="143">
        <f>VLOOKUP($A116,'Data shares'!$C:$FA,119)</f>
        <v>0.61</v>
      </c>
      <c r="D116" s="143">
        <f>VLOOKUP($A116,'Data shares'!$C:$FA,121)*100</f>
        <v>22.95</v>
      </c>
      <c r="E116" s="143">
        <f>VLOOKUP($A116,'Data shares'!$C:$FA,124)</f>
        <v>0.43</v>
      </c>
      <c r="F116" s="143">
        <f>VLOOKUP($A116,'Data shares'!$C:$FA,125)</f>
        <v>0.38</v>
      </c>
      <c r="G116" s="143">
        <f>VLOOKUP($A116,'Data shares'!$C:$FA,127)*100</f>
        <v>13.16</v>
      </c>
      <c r="H116" s="103">
        <f>VLOOKUP($A116,'OI(Volume)'!$A$7:$O$427,8)</f>
        <v>9865300</v>
      </c>
      <c r="I116" s="103">
        <f>VLOOKUP($A116,'OI(Volume)'!$A$7:$O$427,9)</f>
        <v>-2949250</v>
      </c>
      <c r="J116" s="103">
        <f>VLOOKUP($A116,'OI(Volume)'!$A$7:$O$427,11)</f>
        <v>7435400</v>
      </c>
      <c r="K116" s="103">
        <f>VLOOKUP($A116,'OI(Volume)'!$A$7:$O$427,12)</f>
        <v>-413600</v>
      </c>
      <c r="L116" s="103">
        <f>VLOOKUP($A116,'OI(Value)'!$A$7:$O$306,8,0)</f>
        <v>500</v>
      </c>
      <c r="M116" s="103">
        <f>VLOOKUP($A116,'OI(Value)'!$A$7:$O$306,9,0)</f>
        <v>-149</v>
      </c>
      <c r="N116" s="103">
        <f>VLOOKUP($A116,'OI(Value)'!$A$7:$O$306,11,0)</f>
        <v>377</v>
      </c>
      <c r="O116" s="103">
        <f>VLOOKUP($A116,'OI(Value)'!$A$7:$O$306,12,0)</f>
        <v>-21</v>
      </c>
      <c r="P116" s="179">
        <f>VLOOKUP(A116,'OI(Value)'!A116:O317,8,0)</f>
        <v>500</v>
      </c>
      <c r="Q116" s="179">
        <f>VLOOKUP(A116,'OI(Value)'!A116:O317,9,0)</f>
        <v>-149</v>
      </c>
      <c r="R116" s="179">
        <f>VLOOKUP(A116,'OI(Value)'!A116:O317,11,0)</f>
        <v>377</v>
      </c>
      <c r="S116" s="179">
        <f>VLOOKUP(A116,'OI(Value)'!A116:O317,11,0)</f>
        <v>377</v>
      </c>
    </row>
    <row r="117" spans="1:19" x14ac:dyDescent="0.25">
      <c r="A117" s="105" t="str">
        <f>'Data shares'!C112</f>
        <v>KAYNES</v>
      </c>
      <c r="B117" s="143">
        <f>VLOOKUP($A117,'Data shares'!$C:$FA,118)</f>
        <v>0.41</v>
      </c>
      <c r="C117" s="143">
        <f>VLOOKUP($A117,'Data shares'!$C:$FA,119)</f>
        <v>0.41</v>
      </c>
      <c r="D117" s="143">
        <f>VLOOKUP($A117,'Data shares'!$C:$FA,121)*100</f>
        <v>0</v>
      </c>
      <c r="E117" s="143">
        <f>VLOOKUP($A117,'Data shares'!$C:$FA,124)</f>
        <v>0.34</v>
      </c>
      <c r="F117" s="143">
        <f>VLOOKUP($A117,'Data shares'!$C:$FA,125)</f>
        <v>0.36</v>
      </c>
      <c r="G117" s="143">
        <f>VLOOKUP($A117,'Data shares'!$C:$FA,127)*100</f>
        <v>-5.56</v>
      </c>
      <c r="H117" s="103">
        <f>VLOOKUP($A117,'OI(Volume)'!$A$7:$O$427,8)</f>
        <v>1707600</v>
      </c>
      <c r="I117" s="103">
        <f>VLOOKUP($A117,'OI(Volume)'!$A$7:$O$427,9)</f>
        <v>-266000</v>
      </c>
      <c r="J117" s="103">
        <f>VLOOKUP($A117,'OI(Volume)'!$A$7:$O$427,11)</f>
        <v>700800</v>
      </c>
      <c r="K117" s="103">
        <f>VLOOKUP($A117,'OI(Volume)'!$A$7:$O$427,12)</f>
        <v>-104100</v>
      </c>
      <c r="L117" s="103">
        <f>VLOOKUP($A117,'OI(Value)'!$A$7:$O$306,8,0)</f>
        <v>1150</v>
      </c>
      <c r="M117" s="103">
        <f>VLOOKUP($A117,'OI(Value)'!$A$7:$O$306,9,0)</f>
        <v>-179</v>
      </c>
      <c r="N117" s="103">
        <f>VLOOKUP($A117,'OI(Value)'!$A$7:$O$306,11,0)</f>
        <v>472</v>
      </c>
      <c r="O117" s="103">
        <f>VLOOKUP($A117,'OI(Value)'!$A$7:$O$306,12,0)</f>
        <v>-70</v>
      </c>
      <c r="P117" s="179">
        <f>VLOOKUP(A117,'OI(Value)'!A117:O318,8,0)</f>
        <v>1150</v>
      </c>
      <c r="Q117" s="179">
        <f>VLOOKUP(A117,'OI(Value)'!A117:O318,9,0)</f>
        <v>-179</v>
      </c>
      <c r="R117" s="179">
        <f>VLOOKUP(A117,'OI(Value)'!A117:O318,11,0)</f>
        <v>472</v>
      </c>
      <c r="S117" s="179">
        <f>VLOOKUP(A117,'OI(Value)'!A117:O318,11,0)</f>
        <v>472</v>
      </c>
    </row>
    <row r="118" spans="1:19" x14ac:dyDescent="0.25">
      <c r="A118" s="105" t="str">
        <f>'Data shares'!C113</f>
        <v>KEI</v>
      </c>
      <c r="B118" s="143">
        <f>VLOOKUP($A118,'Data shares'!$C:$FA,118)</f>
        <v>0.37</v>
      </c>
      <c r="C118" s="143">
        <f>VLOOKUP($A118,'Data shares'!$C:$FA,119)</f>
        <v>0.39</v>
      </c>
      <c r="D118" s="143">
        <f>VLOOKUP($A118,'Data shares'!$C:$FA,121)*100</f>
        <v>-5.13</v>
      </c>
      <c r="E118" s="143">
        <f>VLOOKUP($A118,'Data shares'!$C:$FA,124)</f>
        <v>0.26</v>
      </c>
      <c r="F118" s="143">
        <f>VLOOKUP($A118,'Data shares'!$C:$FA,125)</f>
        <v>0.48</v>
      </c>
      <c r="G118" s="143">
        <f>VLOOKUP($A118,'Data shares'!$C:$FA,127)*100</f>
        <v>-45.83</v>
      </c>
      <c r="H118" s="103">
        <f>VLOOKUP($A118,'OI(Volume)'!$A$7:$O$427,8)</f>
        <v>1269800</v>
      </c>
      <c r="I118" s="103">
        <f>VLOOKUP($A118,'OI(Volume)'!$A$7:$O$427,9)</f>
        <v>-233625</v>
      </c>
      <c r="J118" s="103">
        <f>VLOOKUP($A118,'OI(Volume)'!$A$7:$O$427,11)</f>
        <v>463925</v>
      </c>
      <c r="K118" s="103">
        <f>VLOOKUP($A118,'OI(Volume)'!$A$7:$O$427,12)</f>
        <v>-125300</v>
      </c>
      <c r="L118" s="103">
        <f>VLOOKUP($A118,'OI(Value)'!$A$7:$O$306,8,0)</f>
        <v>520</v>
      </c>
      <c r="M118" s="103">
        <f>VLOOKUP($A118,'OI(Value)'!$A$7:$O$306,9,0)</f>
        <v>-96</v>
      </c>
      <c r="N118" s="103">
        <f>VLOOKUP($A118,'OI(Value)'!$A$7:$O$306,11,0)</f>
        <v>190</v>
      </c>
      <c r="O118" s="103">
        <f>VLOOKUP($A118,'OI(Value)'!$A$7:$O$306,12,0)</f>
        <v>-51</v>
      </c>
      <c r="P118" s="179">
        <f>VLOOKUP(A118,'OI(Value)'!A118:O319,8,0)</f>
        <v>520</v>
      </c>
      <c r="Q118" s="179">
        <f>VLOOKUP(A118,'OI(Value)'!A118:O319,9,0)</f>
        <v>-96</v>
      </c>
      <c r="R118" s="179">
        <f>VLOOKUP(A118,'OI(Value)'!A118:O319,11,0)</f>
        <v>190</v>
      </c>
      <c r="S118" s="179">
        <f>VLOOKUP(A118,'OI(Value)'!A118:O319,11,0)</f>
        <v>190</v>
      </c>
    </row>
    <row r="119" spans="1:19" x14ac:dyDescent="0.25">
      <c r="A119" s="105" t="str">
        <f>'Data shares'!C114</f>
        <v>KFINTECH</v>
      </c>
      <c r="B119" s="143">
        <f>VLOOKUP($A119,'Data shares'!$C:$FA,118)</f>
        <v>0.63</v>
      </c>
      <c r="C119" s="143">
        <f>VLOOKUP($A119,'Data shares'!$C:$FA,119)</f>
        <v>0.72</v>
      </c>
      <c r="D119" s="143">
        <f>VLOOKUP($A119,'Data shares'!$C:$FA,121)*100</f>
        <v>-12.5</v>
      </c>
      <c r="E119" s="143">
        <f>VLOOKUP($A119,'Data shares'!$C:$FA,124)</f>
        <v>0.37</v>
      </c>
      <c r="F119" s="143">
        <f>VLOOKUP($A119,'Data shares'!$C:$FA,125)</f>
        <v>0.38</v>
      </c>
      <c r="G119" s="143">
        <f>VLOOKUP($A119,'Data shares'!$C:$FA,127)*100</f>
        <v>-2.63</v>
      </c>
      <c r="H119" s="103">
        <f>VLOOKUP($A119,'OI(Volume)'!$A$7:$O$427,8)</f>
        <v>3150900</v>
      </c>
      <c r="I119" s="103">
        <f>VLOOKUP($A119,'OI(Volume)'!$A$7:$O$427,9)</f>
        <v>752850</v>
      </c>
      <c r="J119" s="103">
        <f>VLOOKUP($A119,'OI(Volume)'!$A$7:$O$427,11)</f>
        <v>1996650</v>
      </c>
      <c r="K119" s="103">
        <f>VLOOKUP($A119,'OI(Volume)'!$A$7:$O$427,12)</f>
        <v>268650</v>
      </c>
      <c r="L119" s="103">
        <f>VLOOKUP($A119,'OI(Value)'!$A$7:$O$306,8,0)</f>
        <v>368</v>
      </c>
      <c r="M119" s="103">
        <f>VLOOKUP($A119,'OI(Value)'!$A$7:$O$306,9,0)</f>
        <v>88</v>
      </c>
      <c r="N119" s="103">
        <f>VLOOKUP($A119,'OI(Value)'!$A$7:$O$306,11,0)</f>
        <v>233</v>
      </c>
      <c r="O119" s="103">
        <f>VLOOKUP($A119,'OI(Value)'!$A$7:$O$306,12,0)</f>
        <v>31</v>
      </c>
      <c r="P119" s="179">
        <f>VLOOKUP(A119,'OI(Value)'!A119:O320,8,0)</f>
        <v>368</v>
      </c>
      <c r="Q119" s="179">
        <f>VLOOKUP(A119,'OI(Value)'!A119:O320,9,0)</f>
        <v>88</v>
      </c>
      <c r="R119" s="179">
        <f>VLOOKUP(A119,'OI(Value)'!A119:O320,11,0)</f>
        <v>233</v>
      </c>
      <c r="S119" s="179">
        <f>VLOOKUP(A119,'OI(Value)'!A119:O320,11,0)</f>
        <v>233</v>
      </c>
    </row>
    <row r="120" spans="1:19" x14ac:dyDescent="0.25">
      <c r="A120" s="105" t="str">
        <f>'Data shares'!C115</f>
        <v>KOTAKBANK</v>
      </c>
      <c r="B120" s="143">
        <f>VLOOKUP($A120,'Data shares'!$C:$FA,118)</f>
        <v>0.83</v>
      </c>
      <c r="C120" s="143">
        <f>VLOOKUP($A120,'Data shares'!$C:$FA,119)</f>
        <v>1.04</v>
      </c>
      <c r="D120" s="143">
        <f>VLOOKUP($A120,'Data shares'!$C:$FA,121)*100</f>
        <v>-20.190000000000001</v>
      </c>
      <c r="E120" s="143">
        <f>VLOOKUP($A120,'Data shares'!$C:$FA,124)</f>
        <v>0.7</v>
      </c>
      <c r="F120" s="143">
        <f>VLOOKUP($A120,'Data shares'!$C:$FA,125)</f>
        <v>0.74</v>
      </c>
      <c r="G120" s="143">
        <f>VLOOKUP($A120,'Data shares'!$C:$FA,127)*100</f>
        <v>-5.41</v>
      </c>
      <c r="H120" s="103">
        <f>VLOOKUP($A120,'OI(Volume)'!$A$7:$O$427,8)</f>
        <v>11509200</v>
      </c>
      <c r="I120" s="103">
        <f>VLOOKUP($A120,'OI(Volume)'!$A$7:$O$427,9)</f>
        <v>862000</v>
      </c>
      <c r="J120" s="103">
        <f>VLOOKUP($A120,'OI(Volume)'!$A$7:$O$427,11)</f>
        <v>9532400</v>
      </c>
      <c r="K120" s="103">
        <f>VLOOKUP($A120,'OI(Volume)'!$A$7:$O$427,12)</f>
        <v>-1585200</v>
      </c>
      <c r="L120" s="103">
        <f>VLOOKUP($A120,'OI(Value)'!$A$7:$O$306,8,0)</f>
        <v>2476</v>
      </c>
      <c r="M120" s="103">
        <f>VLOOKUP($A120,'OI(Value)'!$A$7:$O$306,9,0)</f>
        <v>185</v>
      </c>
      <c r="N120" s="103">
        <f>VLOOKUP($A120,'OI(Value)'!$A$7:$O$306,11,0)</f>
        <v>2051</v>
      </c>
      <c r="O120" s="103">
        <f>VLOOKUP($A120,'OI(Value)'!$A$7:$O$306,12,0)</f>
        <v>-341</v>
      </c>
      <c r="P120" s="179">
        <f>VLOOKUP(A120,'OI(Value)'!A120:O321,8,0)</f>
        <v>2476</v>
      </c>
      <c r="Q120" s="179">
        <f>VLOOKUP(A120,'OI(Value)'!A120:O321,9,0)</f>
        <v>185</v>
      </c>
      <c r="R120" s="179">
        <f>VLOOKUP(A120,'OI(Value)'!A120:O321,11,0)</f>
        <v>2051</v>
      </c>
      <c r="S120" s="179">
        <f>VLOOKUP(A120,'OI(Value)'!A120:O321,11,0)</f>
        <v>2051</v>
      </c>
    </row>
    <row r="121" spans="1:19" x14ac:dyDescent="0.25">
      <c r="A121" s="105" t="str">
        <f>'Data shares'!C116</f>
        <v>KPITTECH</v>
      </c>
      <c r="B121" s="143">
        <f>VLOOKUP($A121,'Data shares'!$C:$FA,118)</f>
        <v>0.78</v>
      </c>
      <c r="C121" s="143">
        <f>VLOOKUP($A121,'Data shares'!$C:$FA,119)</f>
        <v>0.53</v>
      </c>
      <c r="D121" s="143">
        <f>VLOOKUP($A121,'Data shares'!$C:$FA,121)*100</f>
        <v>47.17</v>
      </c>
      <c r="E121" s="143">
        <f>VLOOKUP($A121,'Data shares'!$C:$FA,124)</f>
        <v>0.35</v>
      </c>
      <c r="F121" s="143">
        <f>VLOOKUP($A121,'Data shares'!$C:$FA,125)</f>
        <v>0.46</v>
      </c>
      <c r="G121" s="143">
        <f>VLOOKUP($A121,'Data shares'!$C:$FA,127)*100</f>
        <v>-23.91</v>
      </c>
      <c r="H121" s="103">
        <f>VLOOKUP($A121,'OI(Volume)'!$A$7:$O$427,8)</f>
        <v>1878400</v>
      </c>
      <c r="I121" s="103">
        <f>VLOOKUP($A121,'OI(Volume)'!$A$7:$O$427,9)</f>
        <v>-852400</v>
      </c>
      <c r="J121" s="103">
        <f>VLOOKUP($A121,'OI(Volume)'!$A$7:$O$427,11)</f>
        <v>1471600</v>
      </c>
      <c r="K121" s="103">
        <f>VLOOKUP($A121,'OI(Volume)'!$A$7:$O$427,12)</f>
        <v>25600</v>
      </c>
      <c r="L121" s="103">
        <f>VLOOKUP($A121,'OI(Value)'!$A$7:$O$306,8,0)</f>
        <v>227</v>
      </c>
      <c r="M121" s="103">
        <f>VLOOKUP($A121,'OI(Value)'!$A$7:$O$306,9,0)</f>
        <v>-103</v>
      </c>
      <c r="N121" s="103">
        <f>VLOOKUP($A121,'OI(Value)'!$A$7:$O$306,11,0)</f>
        <v>178</v>
      </c>
      <c r="O121" s="103">
        <f>VLOOKUP($A121,'OI(Value)'!$A$7:$O$306,12,0)</f>
        <v>3</v>
      </c>
      <c r="P121" s="179">
        <f>VLOOKUP(A121,'OI(Value)'!A121:O322,8,0)</f>
        <v>227</v>
      </c>
      <c r="Q121" s="179">
        <f>VLOOKUP(A121,'OI(Value)'!A121:O322,9,0)</f>
        <v>-103</v>
      </c>
      <c r="R121" s="179">
        <f>VLOOKUP(A121,'OI(Value)'!A121:O322,11,0)</f>
        <v>178</v>
      </c>
      <c r="S121" s="179">
        <f>VLOOKUP(A121,'OI(Value)'!A121:O322,11,0)</f>
        <v>178</v>
      </c>
    </row>
    <row r="122" spans="1:19" x14ac:dyDescent="0.25">
      <c r="A122" s="105" t="str">
        <f>'Data shares'!C117</f>
        <v>LAURUSLABS</v>
      </c>
      <c r="B122" s="143">
        <f>VLOOKUP($A122,'Data shares'!$C:$FA,118)</f>
        <v>0.71</v>
      </c>
      <c r="C122" s="143">
        <f>VLOOKUP($A122,'Data shares'!$C:$FA,119)</f>
        <v>0.62</v>
      </c>
      <c r="D122" s="143">
        <f>VLOOKUP($A122,'Data shares'!$C:$FA,121)*100</f>
        <v>14.52</v>
      </c>
      <c r="E122" s="143">
        <f>VLOOKUP($A122,'Data shares'!$C:$FA,124)</f>
        <v>0.39</v>
      </c>
      <c r="F122" s="143">
        <f>VLOOKUP($A122,'Data shares'!$C:$FA,125)</f>
        <v>0.46</v>
      </c>
      <c r="G122" s="143">
        <f>VLOOKUP($A122,'Data shares'!$C:$FA,127)*100</f>
        <v>-15.22</v>
      </c>
      <c r="H122" s="103">
        <f>VLOOKUP($A122,'OI(Volume)'!$A$7:$O$427,8)</f>
        <v>18778200</v>
      </c>
      <c r="I122" s="103">
        <f>VLOOKUP($A122,'OI(Volume)'!$A$7:$O$427,9)</f>
        <v>-3918500</v>
      </c>
      <c r="J122" s="103">
        <f>VLOOKUP($A122,'OI(Volume)'!$A$7:$O$427,11)</f>
        <v>13256600</v>
      </c>
      <c r="K122" s="103">
        <f>VLOOKUP($A122,'OI(Volume)'!$A$7:$O$427,12)</f>
        <v>-834700</v>
      </c>
      <c r="L122" s="103">
        <f>VLOOKUP($A122,'OI(Value)'!$A$7:$O$306,8,0)</f>
        <v>1764</v>
      </c>
      <c r="M122" s="103">
        <f>VLOOKUP($A122,'OI(Value)'!$A$7:$O$306,9,0)</f>
        <v>-368</v>
      </c>
      <c r="N122" s="103">
        <f>VLOOKUP($A122,'OI(Value)'!$A$7:$O$306,11,0)</f>
        <v>1245</v>
      </c>
      <c r="O122" s="103">
        <f>VLOOKUP($A122,'OI(Value)'!$A$7:$O$306,12,0)</f>
        <v>-78</v>
      </c>
      <c r="P122" s="179">
        <f>VLOOKUP(A122,'OI(Value)'!A122:O323,8,0)</f>
        <v>1764</v>
      </c>
      <c r="Q122" s="179">
        <f>VLOOKUP(A122,'OI(Value)'!A122:O323,9,0)</f>
        <v>-368</v>
      </c>
      <c r="R122" s="179">
        <f>VLOOKUP(A122,'OI(Value)'!A122:O323,11,0)</f>
        <v>1245</v>
      </c>
      <c r="S122" s="179">
        <f>VLOOKUP(A122,'OI(Value)'!A122:O323,11,0)</f>
        <v>1245</v>
      </c>
    </row>
    <row r="123" spans="1:19" x14ac:dyDescent="0.25">
      <c r="A123" s="105" t="str">
        <f>'Data shares'!C118</f>
        <v>LICHSGFIN</v>
      </c>
      <c r="B123" s="143">
        <f>VLOOKUP($A123,'Data shares'!$C:$FA,118)</f>
        <v>0.8</v>
      </c>
      <c r="C123" s="143">
        <f>VLOOKUP($A123,'Data shares'!$C:$FA,119)</f>
        <v>0.71</v>
      </c>
      <c r="D123" s="143">
        <f>VLOOKUP($A123,'Data shares'!$C:$FA,121)*100</f>
        <v>12.68</v>
      </c>
      <c r="E123" s="143">
        <f>VLOOKUP($A123,'Data shares'!$C:$FA,124)</f>
        <v>0.56000000000000005</v>
      </c>
      <c r="F123" s="143">
        <f>VLOOKUP($A123,'Data shares'!$C:$FA,125)</f>
        <v>0.39</v>
      </c>
      <c r="G123" s="143">
        <f>VLOOKUP($A123,'Data shares'!$C:$FA,127)*100</f>
        <v>43.59</v>
      </c>
      <c r="H123" s="103">
        <f>VLOOKUP($A123,'OI(Volume)'!$A$7:$O$427,8)</f>
        <v>8998000</v>
      </c>
      <c r="I123" s="103">
        <f>VLOOKUP($A123,'OI(Volume)'!$A$7:$O$427,9)</f>
        <v>-420000</v>
      </c>
      <c r="J123" s="103">
        <f>VLOOKUP($A123,'OI(Volume)'!$A$7:$O$427,11)</f>
        <v>7181000</v>
      </c>
      <c r="K123" s="103">
        <f>VLOOKUP($A123,'OI(Volume)'!$A$7:$O$427,12)</f>
        <v>532000</v>
      </c>
      <c r="L123" s="103">
        <f>VLOOKUP($A123,'OI(Value)'!$A$7:$O$306,8,0)</f>
        <v>526</v>
      </c>
      <c r="M123" s="103">
        <f>VLOOKUP($A123,'OI(Value)'!$A$7:$O$306,9,0)</f>
        <v>-25</v>
      </c>
      <c r="N123" s="103">
        <f>VLOOKUP($A123,'OI(Value)'!$A$7:$O$306,11,0)</f>
        <v>420</v>
      </c>
      <c r="O123" s="103">
        <f>VLOOKUP($A123,'OI(Value)'!$A$7:$O$306,12,0)</f>
        <v>31</v>
      </c>
      <c r="P123" s="179">
        <f>VLOOKUP(A123,'OI(Value)'!A123:O324,8,0)</f>
        <v>526</v>
      </c>
      <c r="Q123" s="179">
        <f>VLOOKUP(A123,'OI(Value)'!A123:O324,9,0)</f>
        <v>-25</v>
      </c>
      <c r="R123" s="179">
        <f>VLOOKUP(A123,'OI(Value)'!A123:O324,11,0)</f>
        <v>420</v>
      </c>
      <c r="S123" s="179">
        <f>VLOOKUP(A123,'OI(Value)'!A123:O324,11,0)</f>
        <v>420</v>
      </c>
    </row>
    <row r="124" spans="1:19" x14ac:dyDescent="0.25">
      <c r="A124" s="105" t="str">
        <f>'Data shares'!C119</f>
        <v>LICI</v>
      </c>
      <c r="B124" s="143">
        <f>VLOOKUP($A124,'Data shares'!$C:$FA,118)</f>
        <v>0.54</v>
      </c>
      <c r="C124" s="143">
        <f>VLOOKUP($A124,'Data shares'!$C:$FA,119)</f>
        <v>0.5</v>
      </c>
      <c r="D124" s="143">
        <f>VLOOKUP($A124,'Data shares'!$C:$FA,121)*100</f>
        <v>8</v>
      </c>
      <c r="E124" s="143">
        <f>VLOOKUP($A124,'Data shares'!$C:$FA,124)</f>
        <v>0.79</v>
      </c>
      <c r="F124" s="143">
        <f>VLOOKUP($A124,'Data shares'!$C:$FA,125)</f>
        <v>0.54</v>
      </c>
      <c r="G124" s="143">
        <f>VLOOKUP($A124,'Data shares'!$C:$FA,127)*100</f>
        <v>46.300000000000004</v>
      </c>
      <c r="H124" s="103">
        <f>VLOOKUP($A124,'OI(Volume)'!$A$7:$O$427,8)</f>
        <v>4073300</v>
      </c>
      <c r="I124" s="103">
        <f>VLOOKUP($A124,'OI(Volume)'!$A$7:$O$427,9)</f>
        <v>-321300</v>
      </c>
      <c r="J124" s="103">
        <f>VLOOKUP($A124,'OI(Volume)'!$A$7:$O$427,11)</f>
        <v>2207800</v>
      </c>
      <c r="K124" s="103">
        <f>VLOOKUP($A124,'OI(Volume)'!$A$7:$O$427,12)</f>
        <v>14700</v>
      </c>
      <c r="L124" s="103">
        <f>VLOOKUP($A124,'OI(Value)'!$A$7:$O$306,8,0)</f>
        <v>366</v>
      </c>
      <c r="M124" s="103">
        <f>VLOOKUP($A124,'OI(Value)'!$A$7:$O$306,9,0)</f>
        <v>-29</v>
      </c>
      <c r="N124" s="103">
        <f>VLOOKUP($A124,'OI(Value)'!$A$7:$O$306,11,0)</f>
        <v>198</v>
      </c>
      <c r="O124" s="103">
        <f>VLOOKUP($A124,'OI(Value)'!$A$7:$O$306,12,0)</f>
        <v>1</v>
      </c>
      <c r="P124" s="179">
        <f>VLOOKUP(A124,'OI(Value)'!A124:O325,8,0)</f>
        <v>366</v>
      </c>
      <c r="Q124" s="179">
        <f>VLOOKUP(A124,'OI(Value)'!A124:O325,9,0)</f>
        <v>-29</v>
      </c>
      <c r="R124" s="179">
        <f>VLOOKUP(A124,'OI(Value)'!A124:O325,11,0)</f>
        <v>198</v>
      </c>
      <c r="S124" s="179">
        <f>VLOOKUP(A124,'OI(Value)'!A124:O325,11,0)</f>
        <v>198</v>
      </c>
    </row>
    <row r="125" spans="1:19" x14ac:dyDescent="0.25">
      <c r="A125" s="105" t="str">
        <f>'Data shares'!C120</f>
        <v>LODHA</v>
      </c>
      <c r="B125" s="143">
        <f>VLOOKUP($A125,'Data shares'!$C:$FA,118)</f>
        <v>0.57999999999999996</v>
      </c>
      <c r="C125" s="143">
        <f>VLOOKUP($A125,'Data shares'!$C:$FA,119)</f>
        <v>0.55000000000000004</v>
      </c>
      <c r="D125" s="143">
        <f>VLOOKUP($A125,'Data shares'!$C:$FA,121)*100</f>
        <v>5.45</v>
      </c>
      <c r="E125" s="143">
        <f>VLOOKUP($A125,'Data shares'!$C:$FA,124)</f>
        <v>0.76</v>
      </c>
      <c r="F125" s="143">
        <f>VLOOKUP($A125,'Data shares'!$C:$FA,125)</f>
        <v>0.34</v>
      </c>
      <c r="G125" s="143">
        <f>VLOOKUP($A125,'Data shares'!$C:$FA,127)*100</f>
        <v>123.53</v>
      </c>
      <c r="H125" s="103">
        <f>VLOOKUP($A125,'OI(Volume)'!$A$7:$O$427,8)</f>
        <v>3246300</v>
      </c>
      <c r="I125" s="103">
        <f>VLOOKUP($A125,'OI(Volume)'!$A$7:$O$427,9)</f>
        <v>-47700</v>
      </c>
      <c r="J125" s="103">
        <f>VLOOKUP($A125,'OI(Volume)'!$A$7:$O$427,11)</f>
        <v>1882350</v>
      </c>
      <c r="K125" s="103">
        <f>VLOOKUP($A125,'OI(Volume)'!$A$7:$O$427,12)</f>
        <v>54450</v>
      </c>
      <c r="L125" s="103">
        <f>VLOOKUP($A125,'OI(Value)'!$A$7:$O$306,8,0)</f>
        <v>382</v>
      </c>
      <c r="M125" s="103">
        <f>VLOOKUP($A125,'OI(Value)'!$A$7:$O$306,9,0)</f>
        <v>-6</v>
      </c>
      <c r="N125" s="103">
        <f>VLOOKUP($A125,'OI(Value)'!$A$7:$O$306,11,0)</f>
        <v>221</v>
      </c>
      <c r="O125" s="103">
        <f>VLOOKUP($A125,'OI(Value)'!$A$7:$O$306,12,0)</f>
        <v>6</v>
      </c>
      <c r="P125" s="179">
        <f>VLOOKUP(A125,'OI(Value)'!A125:O326,8,0)</f>
        <v>382</v>
      </c>
      <c r="Q125" s="179">
        <f>VLOOKUP(A125,'OI(Value)'!A125:O326,9,0)</f>
        <v>-6</v>
      </c>
      <c r="R125" s="179">
        <f>VLOOKUP(A125,'OI(Value)'!A125:O326,11,0)</f>
        <v>221</v>
      </c>
      <c r="S125" s="179">
        <f>VLOOKUP(A125,'OI(Value)'!A125:O326,11,0)</f>
        <v>221</v>
      </c>
    </row>
    <row r="126" spans="1:19" x14ac:dyDescent="0.25">
      <c r="A126" s="105" t="str">
        <f>'Data shares'!C121</f>
        <v>LT</v>
      </c>
      <c r="B126" s="143">
        <f>VLOOKUP($A126,'Data shares'!$C:$FA,118)</f>
        <v>0.65</v>
      </c>
      <c r="C126" s="143">
        <f>VLOOKUP($A126,'Data shares'!$C:$FA,119)</f>
        <v>0.65</v>
      </c>
      <c r="D126" s="143">
        <f>VLOOKUP($A126,'Data shares'!$C:$FA,121)*100</f>
        <v>0</v>
      </c>
      <c r="E126" s="143">
        <f>VLOOKUP($A126,'Data shares'!$C:$FA,124)</f>
        <v>0.61</v>
      </c>
      <c r="F126" s="143">
        <f>VLOOKUP($A126,'Data shares'!$C:$FA,125)</f>
        <v>0.67</v>
      </c>
      <c r="G126" s="143">
        <f>VLOOKUP($A126,'Data shares'!$C:$FA,127)*100</f>
        <v>-8.9599999999999991</v>
      </c>
      <c r="H126" s="103">
        <f>VLOOKUP($A126,'OI(Volume)'!$A$7:$O$427,8)</f>
        <v>8454950</v>
      </c>
      <c r="I126" s="103">
        <f>VLOOKUP($A126,'OI(Volume)'!$A$7:$O$427,9)</f>
        <v>-211925</v>
      </c>
      <c r="J126" s="103">
        <f>VLOOKUP($A126,'OI(Volume)'!$A$7:$O$427,11)</f>
        <v>5495875</v>
      </c>
      <c r="K126" s="103">
        <f>VLOOKUP($A126,'OI(Volume)'!$A$7:$O$427,12)</f>
        <v>-103075</v>
      </c>
      <c r="L126" s="103">
        <f>VLOOKUP($A126,'OI(Value)'!$A$7:$O$306,8,0)</f>
        <v>3320</v>
      </c>
      <c r="M126" s="103">
        <f>VLOOKUP($A126,'OI(Value)'!$A$7:$O$306,9,0)</f>
        <v>-83</v>
      </c>
      <c r="N126" s="103">
        <f>VLOOKUP($A126,'OI(Value)'!$A$7:$O$306,11,0)</f>
        <v>2158</v>
      </c>
      <c r="O126" s="103">
        <f>VLOOKUP($A126,'OI(Value)'!$A$7:$O$306,12,0)</f>
        <v>-40</v>
      </c>
      <c r="P126" s="179">
        <f>VLOOKUP(A126,'OI(Value)'!A126:O327,8,0)</f>
        <v>3320</v>
      </c>
      <c r="Q126" s="179">
        <f>VLOOKUP(A126,'OI(Value)'!A126:O327,9,0)</f>
        <v>-83</v>
      </c>
      <c r="R126" s="179">
        <f>VLOOKUP(A126,'OI(Value)'!A126:O327,11,0)</f>
        <v>2158</v>
      </c>
      <c r="S126" s="179">
        <f>VLOOKUP(A126,'OI(Value)'!A126:O327,11,0)</f>
        <v>2158</v>
      </c>
    </row>
    <row r="127" spans="1:19" x14ac:dyDescent="0.25">
      <c r="A127" s="105" t="str">
        <f>'Data shares'!C122</f>
        <v>LTF</v>
      </c>
      <c r="B127" s="143">
        <f>VLOOKUP($A127,'Data shares'!$C:$FA,118)</f>
        <v>0.93</v>
      </c>
      <c r="C127" s="143">
        <f>VLOOKUP($A127,'Data shares'!$C:$FA,119)</f>
        <v>0.91</v>
      </c>
      <c r="D127" s="143">
        <f>VLOOKUP($A127,'Data shares'!$C:$FA,121)*100</f>
        <v>2.1999999999999997</v>
      </c>
      <c r="E127" s="143">
        <f>VLOOKUP($A127,'Data shares'!$C:$FA,124)</f>
        <v>0.8</v>
      </c>
      <c r="F127" s="143">
        <f>VLOOKUP($A127,'Data shares'!$C:$FA,125)</f>
        <v>0.53</v>
      </c>
      <c r="G127" s="143">
        <f>VLOOKUP($A127,'Data shares'!$C:$FA,127)*100</f>
        <v>50.94</v>
      </c>
      <c r="H127" s="103">
        <f>VLOOKUP($A127,'OI(Volume)'!$A$7:$O$427,8)</f>
        <v>29337650</v>
      </c>
      <c r="I127" s="103">
        <f>VLOOKUP($A127,'OI(Volume)'!$A$7:$O$427,9)</f>
        <v>-1334138</v>
      </c>
      <c r="J127" s="103">
        <f>VLOOKUP($A127,'OI(Volume)'!$A$7:$O$427,11)</f>
        <v>27352060</v>
      </c>
      <c r="K127" s="103">
        <f>VLOOKUP($A127,'OI(Volume)'!$A$7:$O$427,12)</f>
        <v>-602370</v>
      </c>
      <c r="L127" s="103">
        <f>VLOOKUP($A127,'OI(Value)'!$A$7:$O$306,8,0)</f>
        <v>785</v>
      </c>
      <c r="M127" s="103">
        <f>VLOOKUP($A127,'OI(Value)'!$A$7:$O$306,9,0)</f>
        <v>-36</v>
      </c>
      <c r="N127" s="103">
        <f>VLOOKUP($A127,'OI(Value)'!$A$7:$O$306,11,0)</f>
        <v>732</v>
      </c>
      <c r="O127" s="103">
        <f>VLOOKUP($A127,'OI(Value)'!$A$7:$O$306,12,0)</f>
        <v>-16</v>
      </c>
      <c r="P127" s="179">
        <f>VLOOKUP(A127,'OI(Value)'!A127:O328,8,0)</f>
        <v>785</v>
      </c>
      <c r="Q127" s="179">
        <f>VLOOKUP(A127,'OI(Value)'!A127:O328,9,0)</f>
        <v>-36</v>
      </c>
      <c r="R127" s="179">
        <f>VLOOKUP(A127,'OI(Value)'!A127:O328,11,0)</f>
        <v>732</v>
      </c>
      <c r="S127" s="179">
        <f>VLOOKUP(A127,'OI(Value)'!A127:O328,11,0)</f>
        <v>732</v>
      </c>
    </row>
    <row r="128" spans="1:19" x14ac:dyDescent="0.25">
      <c r="A128" s="105" t="str">
        <f>'Data shares'!C123</f>
        <v>LTIM</v>
      </c>
      <c r="B128" s="143">
        <f>VLOOKUP($A128,'Data shares'!$C:$FA,118)</f>
        <v>0.71</v>
      </c>
      <c r="C128" s="143">
        <f>VLOOKUP($A128,'Data shares'!$C:$FA,119)</f>
        <v>0.59</v>
      </c>
      <c r="D128" s="143">
        <f>VLOOKUP($A128,'Data shares'!$C:$FA,121)*100</f>
        <v>20.34</v>
      </c>
      <c r="E128" s="143">
        <f>VLOOKUP($A128,'Data shares'!$C:$FA,124)</f>
        <v>0.64</v>
      </c>
      <c r="F128" s="143">
        <f>VLOOKUP($A128,'Data shares'!$C:$FA,125)</f>
        <v>0.54</v>
      </c>
      <c r="G128" s="143">
        <f>VLOOKUP($A128,'Data shares'!$C:$FA,127)*100</f>
        <v>18.52</v>
      </c>
      <c r="H128" s="103">
        <f>VLOOKUP($A128,'OI(Volume)'!$A$7:$O$427,8)</f>
        <v>1411050</v>
      </c>
      <c r="I128" s="103">
        <f>VLOOKUP($A128,'OI(Volume)'!$A$7:$O$427,9)</f>
        <v>-322050</v>
      </c>
      <c r="J128" s="103">
        <f>VLOOKUP($A128,'OI(Volume)'!$A$7:$O$427,11)</f>
        <v>1007700</v>
      </c>
      <c r="K128" s="103">
        <f>VLOOKUP($A128,'OI(Volume)'!$A$7:$O$427,12)</f>
        <v>-10800</v>
      </c>
      <c r="L128" s="103">
        <f>VLOOKUP($A128,'OI(Value)'!$A$7:$O$306,8,0)</f>
        <v>796</v>
      </c>
      <c r="M128" s="103">
        <f>VLOOKUP($A128,'OI(Value)'!$A$7:$O$306,9,0)</f>
        <v>-182</v>
      </c>
      <c r="N128" s="103">
        <f>VLOOKUP($A128,'OI(Value)'!$A$7:$O$306,11,0)</f>
        <v>568</v>
      </c>
      <c r="O128" s="103">
        <f>VLOOKUP($A128,'OI(Value)'!$A$7:$O$306,12,0)</f>
        <v>-6</v>
      </c>
      <c r="P128" s="179">
        <f>VLOOKUP(A128,'OI(Value)'!A128:O329,8,0)</f>
        <v>796</v>
      </c>
      <c r="Q128" s="179">
        <f>VLOOKUP(A128,'OI(Value)'!A128:O329,9,0)</f>
        <v>-182</v>
      </c>
      <c r="R128" s="179">
        <f>VLOOKUP(A128,'OI(Value)'!A128:O329,11,0)</f>
        <v>568</v>
      </c>
      <c r="S128" s="179">
        <f>VLOOKUP(A128,'OI(Value)'!A128:O329,11,0)</f>
        <v>568</v>
      </c>
    </row>
    <row r="129" spans="1:19" x14ac:dyDescent="0.25">
      <c r="A129" s="105" t="str">
        <f>'Data shares'!C124</f>
        <v>LUPIN</v>
      </c>
      <c r="B129" s="143">
        <f>VLOOKUP($A129,'Data shares'!$C:$FA,118)</f>
        <v>0.62</v>
      </c>
      <c r="C129" s="143">
        <f>VLOOKUP($A129,'Data shares'!$C:$FA,119)</f>
        <v>0.61</v>
      </c>
      <c r="D129" s="143">
        <f>VLOOKUP($A129,'Data shares'!$C:$FA,121)*100</f>
        <v>1.6400000000000001</v>
      </c>
      <c r="E129" s="143">
        <f>VLOOKUP($A129,'Data shares'!$C:$FA,124)</f>
        <v>0.54</v>
      </c>
      <c r="F129" s="143">
        <f>VLOOKUP($A129,'Data shares'!$C:$FA,125)</f>
        <v>0.44</v>
      </c>
      <c r="G129" s="143">
        <f>VLOOKUP($A129,'Data shares'!$C:$FA,127)*100</f>
        <v>22.73</v>
      </c>
      <c r="H129" s="103">
        <f>VLOOKUP($A129,'OI(Volume)'!$A$7:$O$427,8)</f>
        <v>3410625</v>
      </c>
      <c r="I129" s="103">
        <f>VLOOKUP($A129,'OI(Volume)'!$A$7:$O$427,9)</f>
        <v>-300475</v>
      </c>
      <c r="J129" s="103">
        <f>VLOOKUP($A129,'OI(Volume)'!$A$7:$O$427,11)</f>
        <v>2127550</v>
      </c>
      <c r="K129" s="103">
        <f>VLOOKUP($A129,'OI(Volume)'!$A$7:$O$427,12)</f>
        <v>-121975</v>
      </c>
      <c r="L129" s="103">
        <f>VLOOKUP($A129,'OI(Value)'!$A$7:$O$306,8,0)</f>
        <v>656</v>
      </c>
      <c r="M129" s="103">
        <f>VLOOKUP($A129,'OI(Value)'!$A$7:$O$306,9,0)</f>
        <v>-58</v>
      </c>
      <c r="N129" s="103">
        <f>VLOOKUP($A129,'OI(Value)'!$A$7:$O$306,11,0)</f>
        <v>409</v>
      </c>
      <c r="O129" s="103">
        <f>VLOOKUP($A129,'OI(Value)'!$A$7:$O$306,12,0)</f>
        <v>-23</v>
      </c>
      <c r="P129" s="179">
        <f>VLOOKUP(A129,'OI(Value)'!A129:O330,8,0)</f>
        <v>656</v>
      </c>
      <c r="Q129" s="179">
        <f>VLOOKUP(A129,'OI(Value)'!A129:O330,9,0)</f>
        <v>-58</v>
      </c>
      <c r="R129" s="179">
        <f>VLOOKUP(A129,'OI(Value)'!A129:O330,11,0)</f>
        <v>409</v>
      </c>
      <c r="S129" s="179">
        <f>VLOOKUP(A129,'OI(Value)'!A129:O330,11,0)</f>
        <v>409</v>
      </c>
    </row>
    <row r="130" spans="1:19" x14ac:dyDescent="0.25">
      <c r="A130" s="105" t="str">
        <f>'Data shares'!C125</f>
        <v>M&amp;M</v>
      </c>
      <c r="B130" s="143">
        <f>VLOOKUP($A130,'Data shares'!$C:$FA,118)</f>
        <v>0.76</v>
      </c>
      <c r="C130" s="143">
        <f>VLOOKUP($A130,'Data shares'!$C:$FA,119)</f>
        <v>0.74</v>
      </c>
      <c r="D130" s="143">
        <f>VLOOKUP($A130,'Data shares'!$C:$FA,121)*100</f>
        <v>2.7</v>
      </c>
      <c r="E130" s="143">
        <f>VLOOKUP($A130,'Data shares'!$C:$FA,124)</f>
        <v>0.79</v>
      </c>
      <c r="F130" s="143">
        <f>VLOOKUP($A130,'Data shares'!$C:$FA,125)</f>
        <v>0.66</v>
      </c>
      <c r="G130" s="143">
        <f>VLOOKUP($A130,'Data shares'!$C:$FA,127)*100</f>
        <v>19.7</v>
      </c>
      <c r="H130" s="103">
        <f>VLOOKUP($A130,'OI(Volume)'!$A$7:$O$427,8)</f>
        <v>4376800</v>
      </c>
      <c r="I130" s="103">
        <f>VLOOKUP($A130,'OI(Volume)'!$A$7:$O$427,9)</f>
        <v>-345600</v>
      </c>
      <c r="J130" s="103">
        <f>VLOOKUP($A130,'OI(Volume)'!$A$7:$O$427,11)</f>
        <v>3305200</v>
      </c>
      <c r="K130" s="103">
        <f>VLOOKUP($A130,'OI(Volume)'!$A$7:$O$427,12)</f>
        <v>-174800</v>
      </c>
      <c r="L130" s="103">
        <f>VLOOKUP($A130,'OI(Value)'!$A$7:$O$306,8,0)</f>
        <v>1582</v>
      </c>
      <c r="M130" s="103">
        <f>VLOOKUP($A130,'OI(Value)'!$A$7:$O$306,9,0)</f>
        <v>-125</v>
      </c>
      <c r="N130" s="103">
        <f>VLOOKUP($A130,'OI(Value)'!$A$7:$O$306,11,0)</f>
        <v>1195</v>
      </c>
      <c r="O130" s="103">
        <f>VLOOKUP($A130,'OI(Value)'!$A$7:$O$306,12,0)</f>
        <v>-63</v>
      </c>
      <c r="P130" s="179">
        <f>VLOOKUP(A130,'OI(Value)'!A130:O331,8,0)</f>
        <v>1582</v>
      </c>
      <c r="Q130" s="179">
        <f>VLOOKUP(A130,'OI(Value)'!A130:O331,9,0)</f>
        <v>-125</v>
      </c>
      <c r="R130" s="179">
        <f>VLOOKUP(A130,'OI(Value)'!A130:O331,11,0)</f>
        <v>1195</v>
      </c>
      <c r="S130" s="179">
        <f>VLOOKUP(A130,'OI(Value)'!A130:O331,11,0)</f>
        <v>1195</v>
      </c>
    </row>
    <row r="131" spans="1:19" x14ac:dyDescent="0.25">
      <c r="A131" s="105" t="str">
        <f>'Data shares'!C126</f>
        <v>MANAPPURAM</v>
      </c>
      <c r="B131" s="143">
        <f>VLOOKUP($A131,'Data shares'!$C:$FA,118)</f>
        <v>0.55000000000000004</v>
      </c>
      <c r="C131" s="143">
        <f>VLOOKUP($A131,'Data shares'!$C:$FA,119)</f>
        <v>0.57999999999999996</v>
      </c>
      <c r="D131" s="143">
        <f>VLOOKUP($A131,'Data shares'!$C:$FA,121)*100</f>
        <v>-5.17</v>
      </c>
      <c r="E131" s="143">
        <f>VLOOKUP($A131,'Data shares'!$C:$FA,124)</f>
        <v>0.69</v>
      </c>
      <c r="F131" s="143">
        <f>VLOOKUP($A131,'Data shares'!$C:$FA,125)</f>
        <v>0.67</v>
      </c>
      <c r="G131" s="143">
        <f>VLOOKUP($A131,'Data shares'!$C:$FA,127)*100</f>
        <v>2.9899999999999998</v>
      </c>
      <c r="H131" s="103">
        <f>VLOOKUP($A131,'OI(Volume)'!$A$7:$O$427,8)</f>
        <v>14952000</v>
      </c>
      <c r="I131" s="103">
        <f>VLOOKUP($A131,'OI(Volume)'!$A$7:$O$427,9)</f>
        <v>-231000</v>
      </c>
      <c r="J131" s="103">
        <f>VLOOKUP($A131,'OI(Volume)'!$A$7:$O$427,11)</f>
        <v>8223000</v>
      </c>
      <c r="K131" s="103">
        <f>VLOOKUP($A131,'OI(Volume)'!$A$7:$O$427,12)</f>
        <v>-564000</v>
      </c>
      <c r="L131" s="103">
        <f>VLOOKUP($A131,'OI(Value)'!$A$7:$O$306,8,0)</f>
        <v>413</v>
      </c>
      <c r="M131" s="103">
        <f>VLOOKUP($A131,'OI(Value)'!$A$7:$O$306,9,0)</f>
        <v>-6</v>
      </c>
      <c r="N131" s="103">
        <f>VLOOKUP($A131,'OI(Value)'!$A$7:$O$306,11,0)</f>
        <v>227</v>
      </c>
      <c r="O131" s="103">
        <f>VLOOKUP($A131,'OI(Value)'!$A$7:$O$306,12,0)</f>
        <v>-16</v>
      </c>
      <c r="P131" s="179">
        <f>VLOOKUP(A131,'OI(Value)'!A131:O332,8,0)</f>
        <v>413</v>
      </c>
      <c r="Q131" s="179">
        <f>VLOOKUP(A131,'OI(Value)'!A131:O332,9,0)</f>
        <v>-6</v>
      </c>
      <c r="R131" s="179">
        <f>VLOOKUP(A131,'OI(Value)'!A131:O332,11,0)</f>
        <v>227</v>
      </c>
      <c r="S131" s="179">
        <f>VLOOKUP(A131,'OI(Value)'!A131:O332,11,0)</f>
        <v>227</v>
      </c>
    </row>
    <row r="132" spans="1:19" x14ac:dyDescent="0.25">
      <c r="A132" s="105" t="str">
        <f>'Data shares'!C127</f>
        <v>MANKIND</v>
      </c>
      <c r="B132" s="143">
        <f>VLOOKUP($A132,'Data shares'!$C:$FA,118)</f>
        <v>0.46</v>
      </c>
      <c r="C132" s="143">
        <f>VLOOKUP($A132,'Data shares'!$C:$FA,119)</f>
        <v>0.42</v>
      </c>
      <c r="D132" s="143">
        <f>VLOOKUP($A132,'Data shares'!$C:$FA,121)*100</f>
        <v>9.5200000000000014</v>
      </c>
      <c r="E132" s="143">
        <f>VLOOKUP($A132,'Data shares'!$C:$FA,124)</f>
        <v>0.26</v>
      </c>
      <c r="F132" s="143">
        <f>VLOOKUP($A132,'Data shares'!$C:$FA,125)</f>
        <v>0.41</v>
      </c>
      <c r="G132" s="143">
        <f>VLOOKUP($A132,'Data shares'!$C:$FA,127)*100</f>
        <v>-36.590000000000003</v>
      </c>
      <c r="H132" s="103">
        <f>VLOOKUP($A132,'OI(Volume)'!$A$7:$O$427,8)</f>
        <v>816525</v>
      </c>
      <c r="I132" s="103">
        <f>VLOOKUP($A132,'OI(Volume)'!$A$7:$O$427,9)</f>
        <v>-110025</v>
      </c>
      <c r="J132" s="103">
        <f>VLOOKUP($A132,'OI(Volume)'!$A$7:$O$427,11)</f>
        <v>376425</v>
      </c>
      <c r="K132" s="103">
        <f>VLOOKUP($A132,'OI(Volume)'!$A$7:$O$427,12)</f>
        <v>-9675</v>
      </c>
      <c r="L132" s="103">
        <f>VLOOKUP($A132,'OI(Value)'!$A$7:$O$306,8,0)</f>
        <v>197</v>
      </c>
      <c r="M132" s="103">
        <f>VLOOKUP($A132,'OI(Value)'!$A$7:$O$306,9,0)</f>
        <v>-27</v>
      </c>
      <c r="N132" s="103">
        <f>VLOOKUP($A132,'OI(Value)'!$A$7:$O$306,11,0)</f>
        <v>91</v>
      </c>
      <c r="O132" s="103">
        <f>VLOOKUP($A132,'OI(Value)'!$A$7:$O$306,12,0)</f>
        <v>-2</v>
      </c>
      <c r="P132" s="179">
        <f>VLOOKUP(A132,'OI(Value)'!A132:O333,8,0)</f>
        <v>197</v>
      </c>
      <c r="Q132" s="179">
        <f>VLOOKUP(A132,'OI(Value)'!A132:O333,9,0)</f>
        <v>-27</v>
      </c>
      <c r="R132" s="179">
        <f>VLOOKUP(A132,'OI(Value)'!A132:O333,11,0)</f>
        <v>91</v>
      </c>
      <c r="S132" s="179">
        <f>VLOOKUP(A132,'OI(Value)'!A132:O333,11,0)</f>
        <v>91</v>
      </c>
    </row>
    <row r="133" spans="1:19" x14ac:dyDescent="0.25">
      <c r="A133" s="105" t="str">
        <f>'Data shares'!C128</f>
        <v>MARICO</v>
      </c>
      <c r="B133" s="143">
        <f>VLOOKUP($A133,'Data shares'!$C:$FA,118)</f>
        <v>0.76</v>
      </c>
      <c r="C133" s="143">
        <f>VLOOKUP($A133,'Data shares'!$C:$FA,119)</f>
        <v>0.76</v>
      </c>
      <c r="D133" s="143">
        <f>VLOOKUP($A133,'Data shares'!$C:$FA,121)*100</f>
        <v>0</v>
      </c>
      <c r="E133" s="143">
        <f>VLOOKUP($A133,'Data shares'!$C:$FA,124)</f>
        <v>0.57999999999999996</v>
      </c>
      <c r="F133" s="143">
        <f>VLOOKUP($A133,'Data shares'!$C:$FA,125)</f>
        <v>0.88</v>
      </c>
      <c r="G133" s="143">
        <f>VLOOKUP($A133,'Data shares'!$C:$FA,127)*100</f>
        <v>-34.089999999999996</v>
      </c>
      <c r="H133" s="103">
        <f>VLOOKUP($A133,'OI(Volume)'!$A$7:$O$427,8)</f>
        <v>2988000</v>
      </c>
      <c r="I133" s="103">
        <f>VLOOKUP($A133,'OI(Volume)'!$A$7:$O$427,9)</f>
        <v>-169200</v>
      </c>
      <c r="J133" s="103">
        <f>VLOOKUP($A133,'OI(Volume)'!$A$7:$O$427,11)</f>
        <v>2281200</v>
      </c>
      <c r="K133" s="103">
        <f>VLOOKUP($A133,'OI(Volume)'!$A$7:$O$427,12)</f>
        <v>-132000</v>
      </c>
      <c r="L133" s="103">
        <f>VLOOKUP($A133,'OI(Value)'!$A$7:$O$306,8,0)</f>
        <v>216</v>
      </c>
      <c r="M133" s="103">
        <f>VLOOKUP($A133,'OI(Value)'!$A$7:$O$306,9,0)</f>
        <v>-12</v>
      </c>
      <c r="N133" s="103">
        <f>VLOOKUP($A133,'OI(Value)'!$A$7:$O$306,11,0)</f>
        <v>165</v>
      </c>
      <c r="O133" s="103">
        <f>VLOOKUP($A133,'OI(Value)'!$A$7:$O$306,12,0)</f>
        <v>-10</v>
      </c>
      <c r="P133" s="179">
        <f>VLOOKUP(A133,'OI(Value)'!A133:O334,8,0)</f>
        <v>216</v>
      </c>
      <c r="Q133" s="179">
        <f>VLOOKUP(A133,'OI(Value)'!A133:O334,9,0)</f>
        <v>-12</v>
      </c>
      <c r="R133" s="179">
        <f>VLOOKUP(A133,'OI(Value)'!A133:O334,11,0)</f>
        <v>165</v>
      </c>
      <c r="S133" s="179">
        <f>VLOOKUP(A133,'OI(Value)'!A133:O334,11,0)</f>
        <v>165</v>
      </c>
    </row>
    <row r="134" spans="1:19" x14ac:dyDescent="0.25">
      <c r="A134" s="105" t="str">
        <f>'Data shares'!C129</f>
        <v>MARUTI</v>
      </c>
      <c r="B134" s="143">
        <f>VLOOKUP($A134,'Data shares'!$C:$FA,118)</f>
        <v>0.7</v>
      </c>
      <c r="C134" s="143">
        <f>VLOOKUP($A134,'Data shares'!$C:$FA,119)</f>
        <v>0.56999999999999995</v>
      </c>
      <c r="D134" s="143">
        <f>VLOOKUP($A134,'Data shares'!$C:$FA,121)*100</f>
        <v>22.81</v>
      </c>
      <c r="E134" s="143">
        <f>VLOOKUP($A134,'Data shares'!$C:$FA,124)</f>
        <v>0.53</v>
      </c>
      <c r="F134" s="143">
        <f>VLOOKUP($A134,'Data shares'!$C:$FA,125)</f>
        <v>0.6</v>
      </c>
      <c r="G134" s="143">
        <f>VLOOKUP($A134,'Data shares'!$C:$FA,127)*100</f>
        <v>-11.67</v>
      </c>
      <c r="H134" s="103">
        <f>VLOOKUP($A134,'OI(Volume)'!$A$7:$O$427,8)</f>
        <v>2309950</v>
      </c>
      <c r="I134" s="103">
        <f>VLOOKUP($A134,'OI(Volume)'!$A$7:$O$427,9)</f>
        <v>-645800</v>
      </c>
      <c r="J134" s="103">
        <f>VLOOKUP($A134,'OI(Volume)'!$A$7:$O$427,11)</f>
        <v>1610900</v>
      </c>
      <c r="K134" s="103">
        <f>VLOOKUP($A134,'OI(Volume)'!$A$7:$O$427,12)</f>
        <v>-77500</v>
      </c>
      <c r="L134" s="103">
        <f>VLOOKUP($A134,'OI(Value)'!$A$7:$O$306,8,0)</f>
        <v>3789</v>
      </c>
      <c r="M134" s="103">
        <f>VLOOKUP($A134,'OI(Value)'!$A$7:$O$306,9,0)</f>
        <v>-1059</v>
      </c>
      <c r="N134" s="103">
        <f>VLOOKUP($A134,'OI(Value)'!$A$7:$O$306,11,0)</f>
        <v>2643</v>
      </c>
      <c r="O134" s="103">
        <f>VLOOKUP($A134,'OI(Value)'!$A$7:$O$306,12,0)</f>
        <v>-127</v>
      </c>
      <c r="P134" s="179">
        <f>VLOOKUP(A134,'OI(Value)'!A134:O335,8,0)</f>
        <v>3789</v>
      </c>
      <c r="Q134" s="179">
        <f>VLOOKUP(A134,'OI(Value)'!A134:O335,9,0)</f>
        <v>-1059</v>
      </c>
      <c r="R134" s="179">
        <f>VLOOKUP(A134,'OI(Value)'!A134:O335,11,0)</f>
        <v>2643</v>
      </c>
      <c r="S134" s="179">
        <f>VLOOKUP(A134,'OI(Value)'!A134:O335,11,0)</f>
        <v>2643</v>
      </c>
    </row>
    <row r="135" spans="1:19" x14ac:dyDescent="0.25">
      <c r="A135" s="105" t="str">
        <f>'Data shares'!C130</f>
        <v>MAXHEALTH</v>
      </c>
      <c r="B135" s="143">
        <f>VLOOKUP($A135,'Data shares'!$C:$FA,118)</f>
        <v>0.68</v>
      </c>
      <c r="C135" s="143">
        <f>VLOOKUP($A135,'Data shares'!$C:$FA,119)</f>
        <v>0.77</v>
      </c>
      <c r="D135" s="143">
        <f>VLOOKUP($A135,'Data shares'!$C:$FA,121)*100</f>
        <v>-11.690000000000001</v>
      </c>
      <c r="E135" s="143">
        <f>VLOOKUP($A135,'Data shares'!$C:$FA,124)</f>
        <v>0.76</v>
      </c>
      <c r="F135" s="143">
        <f>VLOOKUP($A135,'Data shares'!$C:$FA,125)</f>
        <v>0.99</v>
      </c>
      <c r="G135" s="143">
        <f>VLOOKUP($A135,'Data shares'!$C:$FA,127)*100</f>
        <v>-23.23</v>
      </c>
      <c r="H135" s="103">
        <f>VLOOKUP($A135,'OI(Volume)'!$A$7:$O$427,8)</f>
        <v>3089625</v>
      </c>
      <c r="I135" s="103">
        <f>VLOOKUP($A135,'OI(Volume)'!$A$7:$O$427,9)</f>
        <v>-64050</v>
      </c>
      <c r="J135" s="103">
        <f>VLOOKUP($A135,'OI(Volume)'!$A$7:$O$427,11)</f>
        <v>2098425</v>
      </c>
      <c r="K135" s="103">
        <f>VLOOKUP($A135,'OI(Volume)'!$A$7:$O$427,12)</f>
        <v>-323400</v>
      </c>
      <c r="L135" s="103">
        <f>VLOOKUP($A135,'OI(Value)'!$A$7:$O$306,8,0)</f>
        <v>367</v>
      </c>
      <c r="M135" s="103">
        <f>VLOOKUP($A135,'OI(Value)'!$A$7:$O$306,9,0)</f>
        <v>-8</v>
      </c>
      <c r="N135" s="103">
        <f>VLOOKUP($A135,'OI(Value)'!$A$7:$O$306,11,0)</f>
        <v>249</v>
      </c>
      <c r="O135" s="103">
        <f>VLOOKUP($A135,'OI(Value)'!$A$7:$O$306,12,0)</f>
        <v>-38</v>
      </c>
      <c r="P135" s="179">
        <f>VLOOKUP(A135,'OI(Value)'!A135:O336,8,0)</f>
        <v>367</v>
      </c>
      <c r="Q135" s="179">
        <f>VLOOKUP(A135,'OI(Value)'!A135:O336,9,0)</f>
        <v>-8</v>
      </c>
      <c r="R135" s="179">
        <f>VLOOKUP(A135,'OI(Value)'!A135:O336,11,0)</f>
        <v>249</v>
      </c>
      <c r="S135" s="179">
        <f>VLOOKUP(A135,'OI(Value)'!A135:O336,11,0)</f>
        <v>249</v>
      </c>
    </row>
    <row r="136" spans="1:19" x14ac:dyDescent="0.25">
      <c r="A136" s="105" t="str">
        <f>'Data shares'!C131</f>
        <v>MAZDOCK</v>
      </c>
      <c r="B136" s="143">
        <f>VLOOKUP($A136,'Data shares'!$C:$FA,118)</f>
        <v>0.56999999999999995</v>
      </c>
      <c r="C136" s="143">
        <f>VLOOKUP($A136,'Data shares'!$C:$FA,119)</f>
        <v>0.53</v>
      </c>
      <c r="D136" s="143">
        <f>VLOOKUP($A136,'Data shares'!$C:$FA,121)*100</f>
        <v>7.55</v>
      </c>
      <c r="E136" s="143">
        <f>VLOOKUP($A136,'Data shares'!$C:$FA,124)</f>
        <v>0.46</v>
      </c>
      <c r="F136" s="143">
        <f>VLOOKUP($A136,'Data shares'!$C:$FA,125)</f>
        <v>0.31</v>
      </c>
      <c r="G136" s="143">
        <f>VLOOKUP($A136,'Data shares'!$C:$FA,127)*100</f>
        <v>48.39</v>
      </c>
      <c r="H136" s="103">
        <f>VLOOKUP($A136,'OI(Volume)'!$A$7:$O$427,8)</f>
        <v>3117100</v>
      </c>
      <c r="I136" s="103">
        <f>VLOOKUP($A136,'OI(Volume)'!$A$7:$O$427,9)</f>
        <v>198450</v>
      </c>
      <c r="J136" s="103">
        <f>VLOOKUP($A136,'OI(Volume)'!$A$7:$O$427,11)</f>
        <v>1762950</v>
      </c>
      <c r="K136" s="103">
        <f>VLOOKUP($A136,'OI(Volume)'!$A$7:$O$427,12)</f>
        <v>222775</v>
      </c>
      <c r="L136" s="103">
        <f>VLOOKUP($A136,'OI(Value)'!$A$7:$O$306,8,0)</f>
        <v>876</v>
      </c>
      <c r="M136" s="103">
        <f>VLOOKUP($A136,'OI(Value)'!$A$7:$O$306,9,0)</f>
        <v>56</v>
      </c>
      <c r="N136" s="103">
        <f>VLOOKUP($A136,'OI(Value)'!$A$7:$O$306,11,0)</f>
        <v>495</v>
      </c>
      <c r="O136" s="103">
        <f>VLOOKUP($A136,'OI(Value)'!$A$7:$O$306,12,0)</f>
        <v>63</v>
      </c>
      <c r="P136" s="179">
        <f>VLOOKUP(A136,'OI(Value)'!A136:O337,8,0)</f>
        <v>876</v>
      </c>
      <c r="Q136" s="179">
        <f>VLOOKUP(A136,'OI(Value)'!A136:O337,9,0)</f>
        <v>56</v>
      </c>
      <c r="R136" s="179">
        <f>VLOOKUP(A136,'OI(Value)'!A136:O337,11,0)</f>
        <v>495</v>
      </c>
      <c r="S136" s="179">
        <f>VLOOKUP(A136,'OI(Value)'!A136:O337,11,0)</f>
        <v>495</v>
      </c>
    </row>
    <row r="137" spans="1:19" x14ac:dyDescent="0.25">
      <c r="A137" s="105" t="str">
        <f>'Data shares'!C132</f>
        <v>MCX</v>
      </c>
      <c r="B137" s="143">
        <f>VLOOKUP($A137,'Data shares'!$C:$FA,118)</f>
        <v>0.63</v>
      </c>
      <c r="C137" s="143">
        <f>VLOOKUP($A137,'Data shares'!$C:$FA,119)</f>
        <v>0.56999999999999995</v>
      </c>
      <c r="D137" s="143">
        <f>VLOOKUP($A137,'Data shares'!$C:$FA,121)*100</f>
        <v>10.530000000000001</v>
      </c>
      <c r="E137" s="143">
        <f>VLOOKUP($A137,'Data shares'!$C:$FA,124)</f>
        <v>0.4</v>
      </c>
      <c r="F137" s="143">
        <f>VLOOKUP($A137,'Data shares'!$C:$FA,125)</f>
        <v>0.62</v>
      </c>
      <c r="G137" s="143">
        <f>VLOOKUP($A137,'Data shares'!$C:$FA,127)*100</f>
        <v>-35.480000000000004</v>
      </c>
      <c r="H137" s="103">
        <f>VLOOKUP($A137,'OI(Volume)'!$A$7:$O$427,8)</f>
        <v>3805000</v>
      </c>
      <c r="I137" s="103">
        <f>VLOOKUP($A137,'OI(Volume)'!$A$7:$O$427,9)</f>
        <v>-384625</v>
      </c>
      <c r="J137" s="103">
        <f>VLOOKUP($A137,'OI(Volume)'!$A$7:$O$427,11)</f>
        <v>2379125</v>
      </c>
      <c r="K137" s="103">
        <f>VLOOKUP($A137,'OI(Volume)'!$A$7:$O$427,12)</f>
        <v>-7250</v>
      </c>
      <c r="L137" s="103">
        <f>VLOOKUP($A137,'OI(Value)'!$A$7:$O$306,8,0)</f>
        <v>3543</v>
      </c>
      <c r="M137" s="103">
        <f>VLOOKUP($A137,'OI(Value)'!$A$7:$O$306,9,0)</f>
        <v>-358</v>
      </c>
      <c r="N137" s="103">
        <f>VLOOKUP($A137,'OI(Value)'!$A$7:$O$306,11,0)</f>
        <v>2215</v>
      </c>
      <c r="O137" s="103">
        <f>VLOOKUP($A137,'OI(Value)'!$A$7:$O$306,12,0)</f>
        <v>-7</v>
      </c>
      <c r="P137" s="179">
        <f>VLOOKUP(A137,'OI(Value)'!A137:O338,8,0)</f>
        <v>3543</v>
      </c>
      <c r="Q137" s="179">
        <f>VLOOKUP(A137,'OI(Value)'!A137:O338,9,0)</f>
        <v>-358</v>
      </c>
      <c r="R137" s="179">
        <f>VLOOKUP(A137,'OI(Value)'!A137:O338,11,0)</f>
        <v>2215</v>
      </c>
      <c r="S137" s="179">
        <f>VLOOKUP(A137,'OI(Value)'!A137:O338,11,0)</f>
        <v>2215</v>
      </c>
    </row>
    <row r="138" spans="1:19" x14ac:dyDescent="0.25">
      <c r="A138" s="105" t="str">
        <f>'Data shares'!C133</f>
        <v>MFSL</v>
      </c>
      <c r="B138" s="143">
        <f>VLOOKUP($A138,'Data shares'!$C:$FA,118)</f>
        <v>0.71</v>
      </c>
      <c r="C138" s="143">
        <f>VLOOKUP($A138,'Data shares'!$C:$FA,119)</f>
        <v>0.76</v>
      </c>
      <c r="D138" s="143">
        <f>VLOOKUP($A138,'Data shares'!$C:$FA,121)*100</f>
        <v>-6.58</v>
      </c>
      <c r="E138" s="143">
        <f>VLOOKUP($A138,'Data shares'!$C:$FA,124)</f>
        <v>0.45</v>
      </c>
      <c r="F138" s="143">
        <f>VLOOKUP($A138,'Data shares'!$C:$FA,125)</f>
        <v>0.47</v>
      </c>
      <c r="G138" s="143">
        <f>VLOOKUP($A138,'Data shares'!$C:$FA,127)*100</f>
        <v>-4.26</v>
      </c>
      <c r="H138" s="103">
        <f>VLOOKUP($A138,'OI(Volume)'!$A$7:$O$427,8)</f>
        <v>1679200</v>
      </c>
      <c r="I138" s="103">
        <f>VLOOKUP($A138,'OI(Volume)'!$A$7:$O$427,9)</f>
        <v>-43200</v>
      </c>
      <c r="J138" s="103">
        <f>VLOOKUP($A138,'OI(Volume)'!$A$7:$O$427,11)</f>
        <v>1194400</v>
      </c>
      <c r="K138" s="103">
        <f>VLOOKUP($A138,'OI(Volume)'!$A$7:$O$427,12)</f>
        <v>-108000</v>
      </c>
      <c r="L138" s="103">
        <f>VLOOKUP($A138,'OI(Value)'!$A$7:$O$306,8,0)</f>
        <v>254</v>
      </c>
      <c r="M138" s="103">
        <f>VLOOKUP($A138,'OI(Value)'!$A$7:$O$306,9,0)</f>
        <v>-7</v>
      </c>
      <c r="N138" s="103">
        <f>VLOOKUP($A138,'OI(Value)'!$A$7:$O$306,11,0)</f>
        <v>181</v>
      </c>
      <c r="O138" s="103">
        <f>VLOOKUP($A138,'OI(Value)'!$A$7:$O$306,12,0)</f>
        <v>-16</v>
      </c>
      <c r="P138" s="179">
        <f>VLOOKUP(A138,'OI(Value)'!A138:O339,8,0)</f>
        <v>254</v>
      </c>
      <c r="Q138" s="179">
        <f>VLOOKUP(A138,'OI(Value)'!A138:O339,9,0)</f>
        <v>-7</v>
      </c>
      <c r="R138" s="179">
        <f>VLOOKUP(A138,'OI(Value)'!A138:O339,11,0)</f>
        <v>181</v>
      </c>
      <c r="S138" s="179">
        <f>VLOOKUP(A138,'OI(Value)'!A138:O339,11,0)</f>
        <v>181</v>
      </c>
    </row>
    <row r="139" spans="1:19" x14ac:dyDescent="0.25">
      <c r="A139" s="105" t="str">
        <f>'Data shares'!C134</f>
        <v>MIDCPNIFTY</v>
      </c>
      <c r="B139" s="143">
        <f>VLOOKUP($A139,'Data shares'!$C:$FA,118)</f>
        <v>1.19</v>
      </c>
      <c r="C139" s="143">
        <f>VLOOKUP($A139,'Data shares'!$C:$FA,119)</f>
        <v>0.89</v>
      </c>
      <c r="D139" s="143">
        <f>VLOOKUP($A139,'Data shares'!$C:$FA,121)*100</f>
        <v>33.71</v>
      </c>
      <c r="E139" s="143">
        <f>VLOOKUP($A139,'Data shares'!$C:$FA,124)</f>
        <v>0.84</v>
      </c>
      <c r="F139" s="143">
        <f>VLOOKUP($A139,'Data shares'!$C:$FA,125)</f>
        <v>1</v>
      </c>
      <c r="G139" s="143">
        <f>VLOOKUP($A139,'Data shares'!$C:$FA,127)*100</f>
        <v>-16</v>
      </c>
      <c r="H139" s="103">
        <f>VLOOKUP($A139,'OI(Volume)'!$A$7:$O$427,8)</f>
        <v>12992840</v>
      </c>
      <c r="I139" s="103">
        <f>VLOOKUP($A139,'OI(Volume)'!$A$7:$O$427,9)</f>
        <v>-768040</v>
      </c>
      <c r="J139" s="103">
        <f>VLOOKUP($A139,'OI(Volume)'!$A$7:$O$427,11)</f>
        <v>15490860</v>
      </c>
      <c r="K139" s="103">
        <f>VLOOKUP($A139,'OI(Volume)'!$A$7:$O$427,12)</f>
        <v>3306660</v>
      </c>
      <c r="L139" s="103">
        <f>VLOOKUP($A139,'OI(Value)'!$A$7:$O$306,8,0)</f>
        <v>17369</v>
      </c>
      <c r="M139" s="103">
        <f>VLOOKUP($A139,'OI(Value)'!$A$7:$O$306,9,0)</f>
        <v>-1027</v>
      </c>
      <c r="N139" s="103">
        <f>VLOOKUP($A139,'OI(Value)'!$A$7:$O$306,11,0)</f>
        <v>20708</v>
      </c>
      <c r="O139" s="103">
        <f>VLOOKUP($A139,'OI(Value)'!$A$7:$O$306,12,0)</f>
        <v>4420</v>
      </c>
      <c r="P139" s="179">
        <f>VLOOKUP(A139,'OI(Value)'!A139:O340,8,0)</f>
        <v>17369</v>
      </c>
      <c r="Q139" s="179">
        <f>VLOOKUP(A139,'OI(Value)'!A139:O340,9,0)</f>
        <v>-1027</v>
      </c>
      <c r="R139" s="179">
        <f>VLOOKUP(A139,'OI(Value)'!A139:O340,11,0)</f>
        <v>20708</v>
      </c>
      <c r="S139" s="179">
        <f>VLOOKUP(A139,'OI(Value)'!A139:O340,11,0)</f>
        <v>20708</v>
      </c>
    </row>
    <row r="140" spans="1:19" x14ac:dyDescent="0.25">
      <c r="A140" s="105" t="str">
        <f>'Data shares'!C135</f>
        <v>MOTHERSON</v>
      </c>
      <c r="B140" s="143">
        <f>VLOOKUP($A140,'Data shares'!$C:$FA,118)</f>
        <v>0.52</v>
      </c>
      <c r="C140" s="143">
        <f>VLOOKUP($A140,'Data shares'!$C:$FA,119)</f>
        <v>0.49</v>
      </c>
      <c r="D140" s="143">
        <f>VLOOKUP($A140,'Data shares'!$C:$FA,121)*100</f>
        <v>6.12</v>
      </c>
      <c r="E140" s="143">
        <f>VLOOKUP($A140,'Data shares'!$C:$FA,124)</f>
        <v>0.55000000000000004</v>
      </c>
      <c r="F140" s="143">
        <f>VLOOKUP($A140,'Data shares'!$C:$FA,125)</f>
        <v>0.41</v>
      </c>
      <c r="G140" s="143">
        <f>VLOOKUP($A140,'Data shares'!$C:$FA,127)*100</f>
        <v>34.150000000000006</v>
      </c>
      <c r="H140" s="103">
        <f>VLOOKUP($A140,'OI(Volume)'!$A$7:$O$427,8)</f>
        <v>91143000</v>
      </c>
      <c r="I140" s="103">
        <f>VLOOKUP($A140,'OI(Volume)'!$A$7:$O$427,9)</f>
        <v>-3972900</v>
      </c>
      <c r="J140" s="103">
        <f>VLOOKUP($A140,'OI(Volume)'!$A$7:$O$427,11)</f>
        <v>47016750</v>
      </c>
      <c r="K140" s="103">
        <f>VLOOKUP($A140,'OI(Volume)'!$A$7:$O$427,12)</f>
        <v>658050</v>
      </c>
      <c r="L140" s="103">
        <f>VLOOKUP($A140,'OI(Value)'!$A$7:$O$306,8,0)</f>
        <v>976</v>
      </c>
      <c r="M140" s="103">
        <f>VLOOKUP($A140,'OI(Value)'!$A$7:$O$306,9,0)</f>
        <v>-43</v>
      </c>
      <c r="N140" s="103">
        <f>VLOOKUP($A140,'OI(Value)'!$A$7:$O$306,11,0)</f>
        <v>503</v>
      </c>
      <c r="O140" s="103">
        <f>VLOOKUP($A140,'OI(Value)'!$A$7:$O$306,12,0)</f>
        <v>7</v>
      </c>
      <c r="P140" s="179">
        <f>VLOOKUP(A140,'OI(Value)'!A140:O341,8,0)</f>
        <v>976</v>
      </c>
      <c r="Q140" s="179">
        <f>VLOOKUP(A140,'OI(Value)'!A140:O341,9,0)</f>
        <v>-43</v>
      </c>
      <c r="R140" s="179">
        <f>VLOOKUP(A140,'OI(Value)'!A140:O341,11,0)</f>
        <v>503</v>
      </c>
      <c r="S140" s="179">
        <f>VLOOKUP(A140,'OI(Value)'!A140:O341,11,0)</f>
        <v>503</v>
      </c>
    </row>
    <row r="141" spans="1:19" x14ac:dyDescent="0.25">
      <c r="A141" s="105" t="str">
        <f>'Data shares'!C136</f>
        <v>MPHASIS</v>
      </c>
      <c r="B141" s="143">
        <f>VLOOKUP($A141,'Data shares'!$C:$FA,118)</f>
        <v>0.9</v>
      </c>
      <c r="C141" s="143">
        <f>VLOOKUP($A141,'Data shares'!$C:$FA,119)</f>
        <v>0.65</v>
      </c>
      <c r="D141" s="143">
        <f>VLOOKUP($A141,'Data shares'!$C:$FA,121)*100</f>
        <v>38.46</v>
      </c>
      <c r="E141" s="143">
        <f>VLOOKUP($A141,'Data shares'!$C:$FA,124)</f>
        <v>0.37</v>
      </c>
      <c r="F141" s="143">
        <f>VLOOKUP($A141,'Data shares'!$C:$FA,125)</f>
        <v>0.38</v>
      </c>
      <c r="G141" s="143">
        <f>VLOOKUP($A141,'Data shares'!$C:$FA,127)*100</f>
        <v>-2.63</v>
      </c>
      <c r="H141" s="103">
        <f>VLOOKUP($A141,'OI(Volume)'!$A$7:$O$427,8)</f>
        <v>866800</v>
      </c>
      <c r="I141" s="103">
        <f>VLOOKUP($A141,'OI(Volume)'!$A$7:$O$427,9)</f>
        <v>-326700</v>
      </c>
      <c r="J141" s="103">
        <f>VLOOKUP($A141,'OI(Volume)'!$A$7:$O$427,11)</f>
        <v>784300</v>
      </c>
      <c r="K141" s="103">
        <f>VLOOKUP($A141,'OI(Volume)'!$A$7:$O$427,12)</f>
        <v>14300</v>
      </c>
      <c r="L141" s="103">
        <f>VLOOKUP($A141,'OI(Value)'!$A$7:$O$306,8,0)</f>
        <v>250</v>
      </c>
      <c r="M141" s="103">
        <f>VLOOKUP($A141,'OI(Value)'!$A$7:$O$306,9,0)</f>
        <v>-94</v>
      </c>
      <c r="N141" s="103">
        <f>VLOOKUP($A141,'OI(Value)'!$A$7:$O$306,11,0)</f>
        <v>227</v>
      </c>
      <c r="O141" s="103">
        <f>VLOOKUP($A141,'OI(Value)'!$A$7:$O$306,12,0)</f>
        <v>4</v>
      </c>
      <c r="P141" s="179">
        <f>VLOOKUP(A141,'OI(Value)'!A141:O342,8,0)</f>
        <v>250</v>
      </c>
      <c r="Q141" s="179">
        <f>VLOOKUP(A141,'OI(Value)'!A141:O342,9,0)</f>
        <v>-94</v>
      </c>
      <c r="R141" s="179">
        <f>VLOOKUP(A141,'OI(Value)'!A141:O342,11,0)</f>
        <v>227</v>
      </c>
      <c r="S141" s="179">
        <f>VLOOKUP(A141,'OI(Value)'!A141:O342,11,0)</f>
        <v>227</v>
      </c>
    </row>
    <row r="142" spans="1:19" x14ac:dyDescent="0.25">
      <c r="A142" s="105" t="str">
        <f>'Data shares'!C137</f>
        <v>MUTHOOTFIN</v>
      </c>
      <c r="B142" s="143">
        <f>VLOOKUP($A142,'Data shares'!$C:$FA,118)</f>
        <v>0.63</v>
      </c>
      <c r="C142" s="143">
        <f>VLOOKUP($A142,'Data shares'!$C:$FA,119)</f>
        <v>0.63</v>
      </c>
      <c r="D142" s="143">
        <f>VLOOKUP($A142,'Data shares'!$C:$FA,121)*100</f>
        <v>0</v>
      </c>
      <c r="E142" s="143">
        <f>VLOOKUP($A142,'Data shares'!$C:$FA,124)</f>
        <v>0.77</v>
      </c>
      <c r="F142" s="143">
        <f>VLOOKUP($A142,'Data shares'!$C:$FA,125)</f>
        <v>0.75</v>
      </c>
      <c r="G142" s="143">
        <f>VLOOKUP($A142,'Data shares'!$C:$FA,127)*100</f>
        <v>2.67</v>
      </c>
      <c r="H142" s="103">
        <f>VLOOKUP($A142,'OI(Volume)'!$A$7:$O$427,8)</f>
        <v>2841025</v>
      </c>
      <c r="I142" s="103">
        <f>VLOOKUP($A142,'OI(Volume)'!$A$7:$O$427,9)</f>
        <v>-467225</v>
      </c>
      <c r="J142" s="103">
        <f>VLOOKUP($A142,'OI(Volume)'!$A$7:$O$427,11)</f>
        <v>1794375</v>
      </c>
      <c r="K142" s="103">
        <f>VLOOKUP($A142,'OI(Volume)'!$A$7:$O$427,12)</f>
        <v>-302225</v>
      </c>
      <c r="L142" s="103">
        <f>VLOOKUP($A142,'OI(Value)'!$A$7:$O$306,8,0)</f>
        <v>896</v>
      </c>
      <c r="M142" s="103">
        <f>VLOOKUP($A142,'OI(Value)'!$A$7:$O$306,9,0)</f>
        <v>-147</v>
      </c>
      <c r="N142" s="103">
        <f>VLOOKUP($A142,'OI(Value)'!$A$7:$O$306,11,0)</f>
        <v>566</v>
      </c>
      <c r="O142" s="103">
        <f>VLOOKUP($A142,'OI(Value)'!$A$7:$O$306,12,0)</f>
        <v>-95</v>
      </c>
      <c r="P142" s="179">
        <f>VLOOKUP(A142,'OI(Value)'!A142:O343,8,0)</f>
        <v>896</v>
      </c>
      <c r="Q142" s="179">
        <f>VLOOKUP(A142,'OI(Value)'!A142:O343,9,0)</f>
        <v>-147</v>
      </c>
      <c r="R142" s="179">
        <f>VLOOKUP(A142,'OI(Value)'!A142:O343,11,0)</f>
        <v>566</v>
      </c>
      <c r="S142" s="179">
        <f>VLOOKUP(A142,'OI(Value)'!A142:O343,11,0)</f>
        <v>566</v>
      </c>
    </row>
    <row r="143" spans="1:19" x14ac:dyDescent="0.25">
      <c r="A143" s="105" t="str">
        <f>'Data shares'!C138</f>
        <v>NATIONALUM</v>
      </c>
      <c r="B143" s="143">
        <f>VLOOKUP($A143,'Data shares'!$C:$FA,118)</f>
        <v>0.9</v>
      </c>
      <c r="C143" s="143">
        <f>VLOOKUP($A143,'Data shares'!$C:$FA,119)</f>
        <v>0.83</v>
      </c>
      <c r="D143" s="143">
        <f>VLOOKUP($A143,'Data shares'!$C:$FA,121)*100</f>
        <v>8.43</v>
      </c>
      <c r="E143" s="143">
        <f>VLOOKUP($A143,'Data shares'!$C:$FA,124)</f>
        <v>0.51</v>
      </c>
      <c r="F143" s="143">
        <f>VLOOKUP($A143,'Data shares'!$C:$FA,125)</f>
        <v>0.47</v>
      </c>
      <c r="G143" s="143">
        <f>VLOOKUP($A143,'Data shares'!$C:$FA,127)*100</f>
        <v>8.51</v>
      </c>
      <c r="H143" s="103">
        <f>VLOOKUP($A143,'OI(Volume)'!$A$7:$O$427,8)</f>
        <v>34087500</v>
      </c>
      <c r="I143" s="103">
        <f>VLOOKUP($A143,'OI(Volume)'!$A$7:$O$427,9)</f>
        <v>-3153750</v>
      </c>
      <c r="J143" s="103">
        <f>VLOOKUP($A143,'OI(Volume)'!$A$7:$O$427,11)</f>
        <v>30757500</v>
      </c>
      <c r="K143" s="103">
        <f>VLOOKUP($A143,'OI(Volume)'!$A$7:$O$427,12)</f>
        <v>-15000</v>
      </c>
      <c r="L143" s="103">
        <f>VLOOKUP($A143,'OI(Value)'!$A$7:$O$306,8,0)</f>
        <v>812</v>
      </c>
      <c r="M143" s="103">
        <f>VLOOKUP($A143,'OI(Value)'!$A$7:$O$306,9,0)</f>
        <v>-75</v>
      </c>
      <c r="N143" s="103">
        <f>VLOOKUP($A143,'OI(Value)'!$A$7:$O$306,11,0)</f>
        <v>733</v>
      </c>
      <c r="O143" s="103">
        <f>VLOOKUP($A143,'OI(Value)'!$A$7:$O$306,12,0)</f>
        <v>0</v>
      </c>
      <c r="P143" s="179">
        <f>VLOOKUP(A143,'OI(Value)'!A143:O344,8,0)</f>
        <v>812</v>
      </c>
      <c r="Q143" s="179">
        <f>VLOOKUP(A143,'OI(Value)'!A143:O344,9,0)</f>
        <v>-75</v>
      </c>
      <c r="R143" s="179">
        <f>VLOOKUP(A143,'OI(Value)'!A143:O344,11,0)</f>
        <v>733</v>
      </c>
      <c r="S143" s="179">
        <f>VLOOKUP(A143,'OI(Value)'!A143:O344,11,0)</f>
        <v>733</v>
      </c>
    </row>
    <row r="144" spans="1:19" x14ac:dyDescent="0.25">
      <c r="A144" s="105" t="str">
        <f>'Data shares'!C139</f>
        <v>NAUKRI</v>
      </c>
      <c r="B144" s="143">
        <f>VLOOKUP($A144,'Data shares'!$C:$FA,118)</f>
        <v>0.63</v>
      </c>
      <c r="C144" s="143">
        <f>VLOOKUP($A144,'Data shares'!$C:$FA,119)</f>
        <v>0.61</v>
      </c>
      <c r="D144" s="143">
        <f>VLOOKUP($A144,'Data shares'!$C:$FA,121)*100</f>
        <v>3.2800000000000002</v>
      </c>
      <c r="E144" s="143">
        <f>VLOOKUP($A144,'Data shares'!$C:$FA,124)</f>
        <v>0.39</v>
      </c>
      <c r="F144" s="143">
        <f>VLOOKUP($A144,'Data shares'!$C:$FA,125)</f>
        <v>0.28000000000000003</v>
      </c>
      <c r="G144" s="143">
        <f>VLOOKUP($A144,'Data shares'!$C:$FA,127)*100</f>
        <v>39.290000000000006</v>
      </c>
      <c r="H144" s="103">
        <f>VLOOKUP($A144,'OI(Volume)'!$A$7:$O$427,8)</f>
        <v>1945500</v>
      </c>
      <c r="I144" s="103">
        <f>VLOOKUP($A144,'OI(Volume)'!$A$7:$O$427,9)</f>
        <v>-230625</v>
      </c>
      <c r="J144" s="103">
        <f>VLOOKUP($A144,'OI(Volume)'!$A$7:$O$427,11)</f>
        <v>1218375</v>
      </c>
      <c r="K144" s="103">
        <f>VLOOKUP($A144,'OI(Volume)'!$A$7:$O$427,12)</f>
        <v>-113250</v>
      </c>
      <c r="L144" s="103">
        <f>VLOOKUP($A144,'OI(Value)'!$A$7:$O$306,8,0)</f>
        <v>266</v>
      </c>
      <c r="M144" s="103">
        <f>VLOOKUP($A144,'OI(Value)'!$A$7:$O$306,9,0)</f>
        <v>-32</v>
      </c>
      <c r="N144" s="103">
        <f>VLOOKUP($A144,'OI(Value)'!$A$7:$O$306,11,0)</f>
        <v>167</v>
      </c>
      <c r="O144" s="103">
        <f>VLOOKUP($A144,'OI(Value)'!$A$7:$O$306,12,0)</f>
        <v>-15</v>
      </c>
      <c r="P144" s="179">
        <f>VLOOKUP(A144,'OI(Value)'!A144:O345,8,0)</f>
        <v>266</v>
      </c>
      <c r="Q144" s="179">
        <f>VLOOKUP(A144,'OI(Value)'!A144:O345,9,0)</f>
        <v>-32</v>
      </c>
      <c r="R144" s="179">
        <f>VLOOKUP(A144,'OI(Value)'!A144:O345,11,0)</f>
        <v>167</v>
      </c>
      <c r="S144" s="179">
        <f>VLOOKUP(A144,'OI(Value)'!A144:O345,11,0)</f>
        <v>167</v>
      </c>
    </row>
    <row r="145" spans="1:19" x14ac:dyDescent="0.25">
      <c r="A145" s="105" t="str">
        <f>'Data shares'!C140</f>
        <v>NBCC</v>
      </c>
      <c r="B145" s="143">
        <f>VLOOKUP($A145,'Data shares'!$C:$FA,118)</f>
        <v>0.56999999999999995</v>
      </c>
      <c r="C145" s="143">
        <f>VLOOKUP($A145,'Data shares'!$C:$FA,119)</f>
        <v>0.54</v>
      </c>
      <c r="D145" s="143">
        <f>VLOOKUP($A145,'Data shares'!$C:$FA,121)*100</f>
        <v>5.56</v>
      </c>
      <c r="E145" s="143">
        <f>VLOOKUP($A145,'Data shares'!$C:$FA,124)</f>
        <v>0.48</v>
      </c>
      <c r="F145" s="143">
        <f>VLOOKUP($A145,'Data shares'!$C:$FA,125)</f>
        <v>0.43</v>
      </c>
      <c r="G145" s="143">
        <f>VLOOKUP($A145,'Data shares'!$C:$FA,127)*100</f>
        <v>11.63</v>
      </c>
      <c r="H145" s="103">
        <f>VLOOKUP($A145,'OI(Volume)'!$A$7:$O$427,8)</f>
        <v>29354000</v>
      </c>
      <c r="I145" s="103">
        <f>VLOOKUP($A145,'OI(Volume)'!$A$7:$O$427,9)</f>
        <v>-1007500</v>
      </c>
      <c r="J145" s="103">
        <f>VLOOKUP($A145,'OI(Volume)'!$A$7:$O$427,11)</f>
        <v>16861000</v>
      </c>
      <c r="K145" s="103">
        <f>VLOOKUP($A145,'OI(Volume)'!$A$7:$O$427,12)</f>
        <v>338000</v>
      </c>
      <c r="L145" s="103">
        <f>VLOOKUP($A145,'OI(Value)'!$A$7:$O$306,8,0)</f>
        <v>328</v>
      </c>
      <c r="M145" s="103">
        <f>VLOOKUP($A145,'OI(Value)'!$A$7:$O$306,9,0)</f>
        <v>-11</v>
      </c>
      <c r="N145" s="103">
        <f>VLOOKUP($A145,'OI(Value)'!$A$7:$O$306,11,0)</f>
        <v>188</v>
      </c>
      <c r="O145" s="103">
        <f>VLOOKUP($A145,'OI(Value)'!$A$7:$O$306,12,0)</f>
        <v>4</v>
      </c>
      <c r="P145" s="179">
        <f>VLOOKUP(A145,'OI(Value)'!A145:O346,8,0)</f>
        <v>328</v>
      </c>
      <c r="Q145" s="179">
        <f>VLOOKUP(A145,'OI(Value)'!A145:O346,9,0)</f>
        <v>-11</v>
      </c>
      <c r="R145" s="179">
        <f>VLOOKUP(A145,'OI(Value)'!A145:O346,11,0)</f>
        <v>188</v>
      </c>
      <c r="S145" s="179">
        <f>VLOOKUP(A145,'OI(Value)'!A145:O346,11,0)</f>
        <v>188</v>
      </c>
    </row>
    <row r="146" spans="1:19" x14ac:dyDescent="0.25">
      <c r="A146" s="105" t="str">
        <f>'Data shares'!C141</f>
        <v>NCC</v>
      </c>
      <c r="B146" s="143">
        <f>VLOOKUP($A146,'Data shares'!$C:$FA,118)</f>
        <v>0.59</v>
      </c>
      <c r="C146" s="143">
        <f>VLOOKUP($A146,'Data shares'!$C:$FA,119)</f>
        <v>0.48</v>
      </c>
      <c r="D146" s="143">
        <f>VLOOKUP($A146,'Data shares'!$C:$FA,121)*100</f>
        <v>22.919999999999998</v>
      </c>
      <c r="E146" s="143">
        <f>VLOOKUP($A146,'Data shares'!$C:$FA,124)</f>
        <v>0.33</v>
      </c>
      <c r="F146" s="143">
        <f>VLOOKUP($A146,'Data shares'!$C:$FA,125)</f>
        <v>0.48</v>
      </c>
      <c r="G146" s="143">
        <f>VLOOKUP($A146,'Data shares'!$C:$FA,127)*100</f>
        <v>-31.25</v>
      </c>
      <c r="H146" s="103">
        <f>VLOOKUP($A146,'OI(Volume)'!$A$7:$O$427,8)</f>
        <v>7584300</v>
      </c>
      <c r="I146" s="103">
        <f>VLOOKUP($A146,'OI(Volume)'!$A$7:$O$427,9)</f>
        <v>-1849500</v>
      </c>
      <c r="J146" s="103">
        <f>VLOOKUP($A146,'OI(Volume)'!$A$7:$O$427,11)</f>
        <v>4460400</v>
      </c>
      <c r="K146" s="103">
        <f>VLOOKUP($A146,'OI(Volume)'!$A$7:$O$427,12)</f>
        <v>-24300</v>
      </c>
      <c r="L146" s="103">
        <f>VLOOKUP($A146,'OI(Value)'!$A$7:$O$306,8,0)</f>
        <v>162</v>
      </c>
      <c r="M146" s="103">
        <f>VLOOKUP($A146,'OI(Value)'!$A$7:$O$306,9,0)</f>
        <v>-40</v>
      </c>
      <c r="N146" s="103">
        <f>VLOOKUP($A146,'OI(Value)'!$A$7:$O$306,11,0)</f>
        <v>95</v>
      </c>
      <c r="O146" s="103">
        <f>VLOOKUP($A146,'OI(Value)'!$A$7:$O$306,12,0)</f>
        <v>-1</v>
      </c>
      <c r="P146" s="179">
        <f>VLOOKUP(A146,'OI(Value)'!A146:O347,8,0)</f>
        <v>162</v>
      </c>
      <c r="Q146" s="179">
        <f>VLOOKUP(A146,'OI(Value)'!A146:O347,9,0)</f>
        <v>-40</v>
      </c>
      <c r="R146" s="179">
        <f>VLOOKUP(A146,'OI(Value)'!A146:O347,11,0)</f>
        <v>95</v>
      </c>
      <c r="S146" s="179">
        <f>VLOOKUP(A146,'OI(Value)'!A146:O347,11,0)</f>
        <v>95</v>
      </c>
    </row>
    <row r="147" spans="1:19" x14ac:dyDescent="0.25">
      <c r="A147" s="105" t="str">
        <f>'Data shares'!C142</f>
        <v>NESTLEIND</v>
      </c>
      <c r="B147" s="143">
        <f>VLOOKUP($A147,'Data shares'!$C:$FA,118)</f>
        <v>0.84</v>
      </c>
      <c r="C147" s="143">
        <f>VLOOKUP($A147,'Data shares'!$C:$FA,119)</f>
        <v>0.97</v>
      </c>
      <c r="D147" s="143">
        <f>VLOOKUP($A147,'Data shares'!$C:$FA,121)*100</f>
        <v>-13.4</v>
      </c>
      <c r="E147" s="143">
        <f>VLOOKUP($A147,'Data shares'!$C:$FA,124)</f>
        <v>0.67</v>
      </c>
      <c r="F147" s="143">
        <f>VLOOKUP($A147,'Data shares'!$C:$FA,125)</f>
        <v>0.84</v>
      </c>
      <c r="G147" s="143">
        <f>VLOOKUP($A147,'Data shares'!$C:$FA,127)*100</f>
        <v>-20.239999999999998</v>
      </c>
      <c r="H147" s="103">
        <f>VLOOKUP($A147,'OI(Volume)'!$A$7:$O$427,8)</f>
        <v>8064500</v>
      </c>
      <c r="I147" s="103">
        <f>VLOOKUP($A147,'OI(Volume)'!$A$7:$O$427,9)</f>
        <v>171500</v>
      </c>
      <c r="J147" s="103">
        <f>VLOOKUP($A147,'OI(Volume)'!$A$7:$O$427,11)</f>
        <v>6746000</v>
      </c>
      <c r="K147" s="103">
        <f>VLOOKUP($A147,'OI(Volume)'!$A$7:$O$427,12)</f>
        <v>-872500</v>
      </c>
      <c r="L147" s="103">
        <f>VLOOKUP($A147,'OI(Value)'!$A$7:$O$306,8,0)</f>
        <v>1036</v>
      </c>
      <c r="M147" s="103">
        <f>VLOOKUP($A147,'OI(Value)'!$A$7:$O$306,9,0)</f>
        <v>22</v>
      </c>
      <c r="N147" s="103">
        <f>VLOOKUP($A147,'OI(Value)'!$A$7:$O$306,11,0)</f>
        <v>867</v>
      </c>
      <c r="O147" s="103">
        <f>VLOOKUP($A147,'OI(Value)'!$A$7:$O$306,12,0)</f>
        <v>-112</v>
      </c>
      <c r="P147" s="179">
        <f>VLOOKUP(A147,'OI(Value)'!A147:O348,8,0)</f>
        <v>1036</v>
      </c>
      <c r="Q147" s="179">
        <f>VLOOKUP(A147,'OI(Value)'!A147:O348,9,0)</f>
        <v>22</v>
      </c>
      <c r="R147" s="179">
        <f>VLOOKUP(A147,'OI(Value)'!A147:O348,11,0)</f>
        <v>867</v>
      </c>
      <c r="S147" s="179">
        <f>VLOOKUP(A147,'OI(Value)'!A147:O348,11,0)</f>
        <v>867</v>
      </c>
    </row>
    <row r="148" spans="1:19" x14ac:dyDescent="0.25">
      <c r="A148" s="105" t="str">
        <f>'Data shares'!C143</f>
        <v>NHPC</v>
      </c>
      <c r="B148" s="143">
        <f>VLOOKUP($A148,'Data shares'!$C:$FA,118)</f>
        <v>0.41</v>
      </c>
      <c r="C148" s="143">
        <f>VLOOKUP($A148,'Data shares'!$C:$FA,119)</f>
        <v>0.41</v>
      </c>
      <c r="D148" s="143">
        <f>VLOOKUP($A148,'Data shares'!$C:$FA,121)*100</f>
        <v>0</v>
      </c>
      <c r="E148" s="143">
        <f>VLOOKUP($A148,'Data shares'!$C:$FA,124)</f>
        <v>0.37</v>
      </c>
      <c r="F148" s="143">
        <f>VLOOKUP($A148,'Data shares'!$C:$FA,125)</f>
        <v>0.5</v>
      </c>
      <c r="G148" s="143">
        <f>VLOOKUP($A148,'Data shares'!$C:$FA,127)*100</f>
        <v>-26</v>
      </c>
      <c r="H148" s="103">
        <f>VLOOKUP($A148,'OI(Volume)'!$A$7:$O$427,8)</f>
        <v>27481600</v>
      </c>
      <c r="I148" s="103">
        <f>VLOOKUP($A148,'OI(Volume)'!$A$7:$O$427,9)</f>
        <v>192000</v>
      </c>
      <c r="J148" s="103">
        <f>VLOOKUP($A148,'OI(Volume)'!$A$7:$O$427,11)</f>
        <v>11347200</v>
      </c>
      <c r="K148" s="103">
        <f>VLOOKUP($A148,'OI(Volume)'!$A$7:$O$427,12)</f>
        <v>256000</v>
      </c>
      <c r="L148" s="103">
        <f>VLOOKUP($A148,'OI(Value)'!$A$7:$O$306,8,0)</f>
        <v>234</v>
      </c>
      <c r="M148" s="103">
        <f>VLOOKUP($A148,'OI(Value)'!$A$7:$O$306,9,0)</f>
        <v>2</v>
      </c>
      <c r="N148" s="103">
        <f>VLOOKUP($A148,'OI(Value)'!$A$7:$O$306,11,0)</f>
        <v>97</v>
      </c>
      <c r="O148" s="103">
        <f>VLOOKUP($A148,'OI(Value)'!$A$7:$O$306,12,0)</f>
        <v>2</v>
      </c>
      <c r="P148" s="179">
        <f>VLOOKUP(A148,'OI(Value)'!A148:O349,8,0)</f>
        <v>234</v>
      </c>
      <c r="Q148" s="179">
        <f>VLOOKUP(A148,'OI(Value)'!A148:O349,9,0)</f>
        <v>2</v>
      </c>
      <c r="R148" s="179">
        <f>VLOOKUP(A148,'OI(Value)'!A148:O349,11,0)</f>
        <v>97</v>
      </c>
      <c r="S148" s="179">
        <f>VLOOKUP(A148,'OI(Value)'!A148:O349,11,0)</f>
        <v>97</v>
      </c>
    </row>
    <row r="149" spans="1:19" x14ac:dyDescent="0.25">
      <c r="A149" s="105" t="str">
        <f>'Data shares'!C144</f>
        <v>NIFTY</v>
      </c>
      <c r="B149" s="143">
        <f>VLOOKUP($A149,'Data shares'!$C:$FA,118)</f>
        <v>1.07</v>
      </c>
      <c r="C149" s="143">
        <f>VLOOKUP($A149,'Data shares'!$C:$FA,119)</f>
        <v>0.76</v>
      </c>
      <c r="D149" s="143">
        <f>VLOOKUP($A149,'Data shares'!$C:$FA,121)*100</f>
        <v>40.79</v>
      </c>
      <c r="E149" s="143">
        <f>VLOOKUP($A149,'Data shares'!$C:$FA,124)</f>
        <v>0.96</v>
      </c>
      <c r="F149" s="143">
        <f>VLOOKUP($A149,'Data shares'!$C:$FA,125)</f>
        <v>1.08</v>
      </c>
      <c r="G149" s="143">
        <f>VLOOKUP($A149,'Data shares'!$C:$FA,127)*100</f>
        <v>-11.110000000000001</v>
      </c>
      <c r="H149" s="103">
        <f>VLOOKUP($A149,'OI(Volume)'!$A$7:$O$427,8)</f>
        <v>291926750</v>
      </c>
      <c r="I149" s="103">
        <f>VLOOKUP($A149,'OI(Volume)'!$A$7:$O$427,9)</f>
        <v>-38083350</v>
      </c>
      <c r="J149" s="103">
        <f>VLOOKUP($A149,'OI(Volume)'!$A$7:$O$427,11)</f>
        <v>312848150</v>
      </c>
      <c r="K149" s="103">
        <f>VLOOKUP($A149,'OI(Volume)'!$A$7:$O$427,12)</f>
        <v>63577775</v>
      </c>
      <c r="L149" s="103">
        <f>VLOOKUP($A149,'OI(Value)'!$A$7:$O$306,8,0)</f>
        <v>759404</v>
      </c>
      <c r="M149" s="103">
        <f>VLOOKUP($A149,'OI(Value)'!$A$7:$O$306,9,0)</f>
        <v>-99068</v>
      </c>
      <c r="N149" s="103">
        <f>VLOOKUP($A149,'OI(Value)'!$A$7:$O$306,11,0)</f>
        <v>813828</v>
      </c>
      <c r="O149" s="103">
        <f>VLOOKUP($A149,'OI(Value)'!$A$7:$O$306,12,0)</f>
        <v>165388</v>
      </c>
      <c r="P149" s="179">
        <f>VLOOKUP(A149,'OI(Value)'!A149:O350,8,0)</f>
        <v>759404</v>
      </c>
      <c r="Q149" s="179">
        <f>VLOOKUP(A149,'OI(Value)'!A149:O350,9,0)</f>
        <v>-99068</v>
      </c>
      <c r="R149" s="179">
        <f>VLOOKUP(A149,'OI(Value)'!A149:O350,11,0)</f>
        <v>813828</v>
      </c>
      <c r="S149" s="179">
        <f>VLOOKUP(A149,'OI(Value)'!A149:O350,11,0)</f>
        <v>813828</v>
      </c>
    </row>
    <row r="150" spans="1:19" x14ac:dyDescent="0.25">
      <c r="A150" s="105" t="str">
        <f>'Data shares'!C145</f>
        <v>NIFTYNXT50</v>
      </c>
      <c r="B150" s="143">
        <f>VLOOKUP($A150,'Data shares'!$C:$FA,118)</f>
        <v>1.64</v>
      </c>
      <c r="C150" s="143">
        <f>VLOOKUP($A150,'Data shares'!$C:$FA,119)</f>
        <v>1.42</v>
      </c>
      <c r="D150" s="143">
        <f>VLOOKUP($A150,'Data shares'!$C:$FA,121)*100</f>
        <v>15.49</v>
      </c>
      <c r="E150" s="143">
        <f>VLOOKUP($A150,'Data shares'!$C:$FA,124)</f>
        <v>0.67</v>
      </c>
      <c r="F150" s="143">
        <f>VLOOKUP($A150,'Data shares'!$C:$FA,125)</f>
        <v>0.9</v>
      </c>
      <c r="G150" s="143">
        <f>VLOOKUP($A150,'Data shares'!$C:$FA,127)*100</f>
        <v>-25.56</v>
      </c>
      <c r="H150" s="103">
        <f>VLOOKUP($A150,'OI(Volume)'!$A$7:$O$427,8)</f>
        <v>15525</v>
      </c>
      <c r="I150" s="103">
        <f>VLOOKUP($A150,'OI(Volume)'!$A$7:$O$427,9)</f>
        <v>4250</v>
      </c>
      <c r="J150" s="103">
        <f>VLOOKUP($A150,'OI(Volume)'!$A$7:$O$427,11)</f>
        <v>25425</v>
      </c>
      <c r="K150" s="103">
        <f>VLOOKUP($A150,'OI(Volume)'!$A$7:$O$427,12)</f>
        <v>9400</v>
      </c>
      <c r="L150" s="103">
        <f>VLOOKUP($A150,'OI(Value)'!$A$7:$O$306,8,0)</f>
        <v>108</v>
      </c>
      <c r="M150" s="103">
        <f>VLOOKUP($A150,'OI(Value)'!$A$7:$O$306,9,0)</f>
        <v>30</v>
      </c>
      <c r="N150" s="103">
        <f>VLOOKUP($A150,'OI(Value)'!$A$7:$O$306,11,0)</f>
        <v>177</v>
      </c>
      <c r="O150" s="103">
        <f>VLOOKUP($A150,'OI(Value)'!$A$7:$O$306,12,0)</f>
        <v>65</v>
      </c>
      <c r="P150" s="179">
        <f>VLOOKUP(A150,'OI(Value)'!A150:O351,8,0)</f>
        <v>108</v>
      </c>
      <c r="Q150" s="179">
        <f>VLOOKUP(A150,'OI(Value)'!A150:O351,9,0)</f>
        <v>30</v>
      </c>
      <c r="R150" s="179">
        <f>VLOOKUP(A150,'OI(Value)'!A150:O351,11,0)</f>
        <v>177</v>
      </c>
      <c r="S150" s="179">
        <f>VLOOKUP(A150,'OI(Value)'!A150:O351,11,0)</f>
        <v>177</v>
      </c>
    </row>
    <row r="151" spans="1:19" x14ac:dyDescent="0.25">
      <c r="A151" s="105" t="str">
        <f>'Data shares'!C146</f>
        <v>NMDC</v>
      </c>
      <c r="B151" s="143">
        <f>VLOOKUP($A151,'Data shares'!$C:$FA,118)</f>
        <v>0.63</v>
      </c>
      <c r="C151" s="143">
        <f>VLOOKUP($A151,'Data shares'!$C:$FA,119)</f>
        <v>0.6</v>
      </c>
      <c r="D151" s="143">
        <f>VLOOKUP($A151,'Data shares'!$C:$FA,121)*100</f>
        <v>5</v>
      </c>
      <c r="E151" s="143">
        <f>VLOOKUP($A151,'Data shares'!$C:$FA,124)</f>
        <v>0.74</v>
      </c>
      <c r="F151" s="143">
        <f>VLOOKUP($A151,'Data shares'!$C:$FA,125)</f>
        <v>0.52</v>
      </c>
      <c r="G151" s="143">
        <f>VLOOKUP($A151,'Data shares'!$C:$FA,127)*100</f>
        <v>42.309999999999995</v>
      </c>
      <c r="H151" s="103">
        <f>VLOOKUP($A151,'OI(Volume)'!$A$7:$O$427,8)</f>
        <v>161392500</v>
      </c>
      <c r="I151" s="103">
        <f>VLOOKUP($A151,'OI(Volume)'!$A$7:$O$427,9)</f>
        <v>1026000</v>
      </c>
      <c r="J151" s="103">
        <f>VLOOKUP($A151,'OI(Volume)'!$A$7:$O$427,11)</f>
        <v>101034000</v>
      </c>
      <c r="K151" s="103">
        <f>VLOOKUP($A151,'OI(Volume)'!$A$7:$O$427,12)</f>
        <v>4698000</v>
      </c>
      <c r="L151" s="103">
        <f>VLOOKUP($A151,'OI(Value)'!$A$7:$O$306,8,0)</f>
        <v>1201</v>
      </c>
      <c r="M151" s="103">
        <f>VLOOKUP($A151,'OI(Value)'!$A$7:$O$306,9,0)</f>
        <v>8</v>
      </c>
      <c r="N151" s="103">
        <f>VLOOKUP($A151,'OI(Value)'!$A$7:$O$306,11,0)</f>
        <v>752</v>
      </c>
      <c r="O151" s="103">
        <f>VLOOKUP($A151,'OI(Value)'!$A$7:$O$306,12,0)</f>
        <v>35</v>
      </c>
      <c r="P151" s="179">
        <f>VLOOKUP(A151,'OI(Value)'!A151:O352,8,0)</f>
        <v>1201</v>
      </c>
      <c r="Q151" s="179">
        <f>VLOOKUP(A151,'OI(Value)'!A151:O352,9,0)</f>
        <v>8</v>
      </c>
      <c r="R151" s="179">
        <f>VLOOKUP(A151,'OI(Value)'!A151:O352,11,0)</f>
        <v>752</v>
      </c>
      <c r="S151" s="179">
        <f>VLOOKUP(A151,'OI(Value)'!A151:O352,11,0)</f>
        <v>752</v>
      </c>
    </row>
    <row r="152" spans="1:19" x14ac:dyDescent="0.25">
      <c r="A152" s="105" t="str">
        <f>'Data shares'!C147</f>
        <v>NTPC</v>
      </c>
      <c r="B152" s="143">
        <f>VLOOKUP($A152,'Data shares'!$C:$FA,118)</f>
        <v>0.44</v>
      </c>
      <c r="C152" s="143">
        <f>VLOOKUP($A152,'Data shares'!$C:$FA,119)</f>
        <v>0.39</v>
      </c>
      <c r="D152" s="143">
        <f>VLOOKUP($A152,'Data shares'!$C:$FA,121)*100</f>
        <v>12.82</v>
      </c>
      <c r="E152" s="143">
        <f>VLOOKUP($A152,'Data shares'!$C:$FA,124)</f>
        <v>0.61</v>
      </c>
      <c r="F152" s="143">
        <f>VLOOKUP($A152,'Data shares'!$C:$FA,125)</f>
        <v>0.51</v>
      </c>
      <c r="G152" s="143">
        <f>VLOOKUP($A152,'Data shares'!$C:$FA,127)*100</f>
        <v>19.61</v>
      </c>
      <c r="H152" s="103">
        <f>VLOOKUP($A152,'OI(Volume)'!$A$7:$O$427,8)</f>
        <v>47178000</v>
      </c>
      <c r="I152" s="103">
        <f>VLOOKUP($A152,'OI(Volume)'!$A$7:$O$427,9)</f>
        <v>-952500</v>
      </c>
      <c r="J152" s="103">
        <f>VLOOKUP($A152,'OI(Volume)'!$A$7:$O$427,11)</f>
        <v>20773500</v>
      </c>
      <c r="K152" s="103">
        <f>VLOOKUP($A152,'OI(Volume)'!$A$7:$O$427,12)</f>
        <v>1986000</v>
      </c>
      <c r="L152" s="103">
        <f>VLOOKUP($A152,'OI(Value)'!$A$7:$O$306,8,0)</f>
        <v>1612</v>
      </c>
      <c r="M152" s="103">
        <f>VLOOKUP($A152,'OI(Value)'!$A$7:$O$306,9,0)</f>
        <v>-33</v>
      </c>
      <c r="N152" s="103">
        <f>VLOOKUP($A152,'OI(Value)'!$A$7:$O$306,11,0)</f>
        <v>710</v>
      </c>
      <c r="O152" s="103">
        <f>VLOOKUP($A152,'OI(Value)'!$A$7:$O$306,12,0)</f>
        <v>68</v>
      </c>
      <c r="P152" s="179">
        <f>VLOOKUP(A152,'OI(Value)'!A152:O353,8,0)</f>
        <v>1612</v>
      </c>
      <c r="Q152" s="179">
        <f>VLOOKUP(A152,'OI(Value)'!A152:O353,9,0)</f>
        <v>-33</v>
      </c>
      <c r="R152" s="179">
        <f>VLOOKUP(A152,'OI(Value)'!A152:O353,11,0)</f>
        <v>710</v>
      </c>
      <c r="S152" s="179">
        <f>VLOOKUP(A152,'OI(Value)'!A152:O353,11,0)</f>
        <v>710</v>
      </c>
    </row>
    <row r="153" spans="1:19" x14ac:dyDescent="0.25">
      <c r="A153" s="105" t="str">
        <f>'Data shares'!C148</f>
        <v>NUVAMA</v>
      </c>
      <c r="B153" s="143">
        <f>VLOOKUP($A153,'Data shares'!$C:$FA,118)</f>
        <v>0.76</v>
      </c>
      <c r="C153" s="143">
        <f>VLOOKUP($A153,'Data shares'!$C:$FA,119)</f>
        <v>0.7</v>
      </c>
      <c r="D153" s="143">
        <f>VLOOKUP($A153,'Data shares'!$C:$FA,121)*100</f>
        <v>8.57</v>
      </c>
      <c r="E153" s="143">
        <f>VLOOKUP($A153,'Data shares'!$C:$FA,124)</f>
        <v>0.46</v>
      </c>
      <c r="F153" s="143">
        <f>VLOOKUP($A153,'Data shares'!$C:$FA,125)</f>
        <v>0.33</v>
      </c>
      <c r="G153" s="143">
        <f>VLOOKUP($A153,'Data shares'!$C:$FA,127)*100</f>
        <v>39.39</v>
      </c>
      <c r="H153" s="103">
        <f>VLOOKUP($A153,'OI(Volume)'!$A$7:$O$427,8)</f>
        <v>332400</v>
      </c>
      <c r="I153" s="103">
        <f>VLOOKUP($A153,'OI(Volume)'!$A$7:$O$427,9)</f>
        <v>-70125</v>
      </c>
      <c r="J153" s="103">
        <f>VLOOKUP($A153,'OI(Volume)'!$A$7:$O$427,11)</f>
        <v>253200</v>
      </c>
      <c r="K153" s="103">
        <f>VLOOKUP($A153,'OI(Volume)'!$A$7:$O$427,12)</f>
        <v>-28725</v>
      </c>
      <c r="L153" s="103">
        <f>VLOOKUP($A153,'OI(Value)'!$A$7:$O$306,8,0)</f>
        <v>247</v>
      </c>
      <c r="M153" s="103">
        <f>VLOOKUP($A153,'OI(Value)'!$A$7:$O$306,9,0)</f>
        <v>-52</v>
      </c>
      <c r="N153" s="103">
        <f>VLOOKUP($A153,'OI(Value)'!$A$7:$O$306,11,0)</f>
        <v>188</v>
      </c>
      <c r="O153" s="103">
        <f>VLOOKUP($A153,'OI(Value)'!$A$7:$O$306,12,0)</f>
        <v>-21</v>
      </c>
      <c r="P153" s="179">
        <f>VLOOKUP(A153,'OI(Value)'!A153:O354,8,0)</f>
        <v>247</v>
      </c>
      <c r="Q153" s="179">
        <f>VLOOKUP(A153,'OI(Value)'!A153:O354,9,0)</f>
        <v>-52</v>
      </c>
      <c r="R153" s="179">
        <f>VLOOKUP(A153,'OI(Value)'!A153:O354,11,0)</f>
        <v>188</v>
      </c>
      <c r="S153" s="179">
        <f>VLOOKUP(A153,'OI(Value)'!A153:O354,11,0)</f>
        <v>188</v>
      </c>
    </row>
    <row r="154" spans="1:19" x14ac:dyDescent="0.25">
      <c r="A154" s="105" t="str">
        <f>'Data shares'!C149</f>
        <v>NYKAA</v>
      </c>
      <c r="B154" s="143">
        <f>VLOOKUP($A154,'Data shares'!$C:$FA,118)</f>
        <v>0.78</v>
      </c>
      <c r="C154" s="143">
        <f>VLOOKUP($A154,'Data shares'!$C:$FA,119)</f>
        <v>0.74</v>
      </c>
      <c r="D154" s="143">
        <f>VLOOKUP($A154,'Data shares'!$C:$FA,121)*100</f>
        <v>5.41</v>
      </c>
      <c r="E154" s="143">
        <f>VLOOKUP($A154,'Data shares'!$C:$FA,124)</f>
        <v>0.76</v>
      </c>
      <c r="F154" s="143">
        <f>VLOOKUP($A154,'Data shares'!$C:$FA,125)</f>
        <v>0.96</v>
      </c>
      <c r="G154" s="143">
        <f>VLOOKUP($A154,'Data shares'!$C:$FA,127)*100</f>
        <v>-20.830000000000002</v>
      </c>
      <c r="H154" s="103">
        <f>VLOOKUP($A154,'OI(Volume)'!$A$7:$O$427,8)</f>
        <v>13587500</v>
      </c>
      <c r="I154" s="103">
        <f>VLOOKUP($A154,'OI(Volume)'!$A$7:$O$427,9)</f>
        <v>-537500</v>
      </c>
      <c r="J154" s="103">
        <f>VLOOKUP($A154,'OI(Volume)'!$A$7:$O$427,11)</f>
        <v>10534375</v>
      </c>
      <c r="K154" s="103">
        <f>VLOOKUP($A154,'OI(Volume)'!$A$7:$O$427,12)</f>
        <v>134375</v>
      </c>
      <c r="L154" s="103">
        <f>VLOOKUP($A154,'OI(Value)'!$A$7:$O$306,8,0)</f>
        <v>348</v>
      </c>
      <c r="M154" s="103">
        <f>VLOOKUP($A154,'OI(Value)'!$A$7:$O$306,9,0)</f>
        <v>-14</v>
      </c>
      <c r="N154" s="103">
        <f>VLOOKUP($A154,'OI(Value)'!$A$7:$O$306,11,0)</f>
        <v>269</v>
      </c>
      <c r="O154" s="103">
        <f>VLOOKUP($A154,'OI(Value)'!$A$7:$O$306,12,0)</f>
        <v>3</v>
      </c>
      <c r="P154" s="179">
        <f>VLOOKUP(A154,'OI(Value)'!A154:O355,8,0)</f>
        <v>348</v>
      </c>
      <c r="Q154" s="179">
        <f>VLOOKUP(A154,'OI(Value)'!A154:O355,9,0)</f>
        <v>-14</v>
      </c>
      <c r="R154" s="179">
        <f>VLOOKUP(A154,'OI(Value)'!A154:O355,11,0)</f>
        <v>269</v>
      </c>
      <c r="S154" s="179">
        <f>VLOOKUP(A154,'OI(Value)'!A154:O355,11,0)</f>
        <v>269</v>
      </c>
    </row>
    <row r="155" spans="1:19" x14ac:dyDescent="0.25">
      <c r="A155" s="105" t="str">
        <f>'Data shares'!C150</f>
        <v>OBEROIRLTY</v>
      </c>
      <c r="B155" s="143">
        <f>VLOOKUP($A155,'Data shares'!$C:$FA,118)</f>
        <v>0.7</v>
      </c>
      <c r="C155" s="143">
        <f>VLOOKUP($A155,'Data shares'!$C:$FA,119)</f>
        <v>0.65</v>
      </c>
      <c r="D155" s="143">
        <f>VLOOKUP($A155,'Data shares'!$C:$FA,121)*100</f>
        <v>7.6899999999999995</v>
      </c>
      <c r="E155" s="143">
        <f>VLOOKUP($A155,'Data shares'!$C:$FA,124)</f>
        <v>0.33</v>
      </c>
      <c r="F155" s="143">
        <f>VLOOKUP($A155,'Data shares'!$C:$FA,125)</f>
        <v>0.35</v>
      </c>
      <c r="G155" s="143">
        <f>VLOOKUP($A155,'Data shares'!$C:$FA,127)*100</f>
        <v>-5.71</v>
      </c>
      <c r="H155" s="103">
        <f>VLOOKUP($A155,'OI(Volume)'!$A$7:$O$427,8)</f>
        <v>2016000</v>
      </c>
      <c r="I155" s="103">
        <f>VLOOKUP($A155,'OI(Volume)'!$A$7:$O$427,9)</f>
        <v>-136150</v>
      </c>
      <c r="J155" s="103">
        <f>VLOOKUP($A155,'OI(Volume)'!$A$7:$O$427,11)</f>
        <v>1402100</v>
      </c>
      <c r="K155" s="103">
        <f>VLOOKUP($A155,'OI(Volume)'!$A$7:$O$427,12)</f>
        <v>5600</v>
      </c>
      <c r="L155" s="103">
        <f>VLOOKUP($A155,'OI(Value)'!$A$7:$O$306,8,0)</f>
        <v>349</v>
      </c>
      <c r="M155" s="103">
        <f>VLOOKUP($A155,'OI(Value)'!$A$7:$O$306,9,0)</f>
        <v>-24</v>
      </c>
      <c r="N155" s="103">
        <f>VLOOKUP($A155,'OI(Value)'!$A$7:$O$306,11,0)</f>
        <v>243</v>
      </c>
      <c r="O155" s="103">
        <f>VLOOKUP($A155,'OI(Value)'!$A$7:$O$306,12,0)</f>
        <v>1</v>
      </c>
      <c r="P155" s="179">
        <f>VLOOKUP(A155,'OI(Value)'!A155:O356,8,0)</f>
        <v>349</v>
      </c>
      <c r="Q155" s="179">
        <f>VLOOKUP(A155,'OI(Value)'!A155:O356,9,0)</f>
        <v>-24</v>
      </c>
      <c r="R155" s="179">
        <f>VLOOKUP(A155,'OI(Value)'!A155:O356,11,0)</f>
        <v>243</v>
      </c>
      <c r="S155" s="179">
        <f>VLOOKUP(A155,'OI(Value)'!A155:O356,11,0)</f>
        <v>243</v>
      </c>
    </row>
    <row r="156" spans="1:19" x14ac:dyDescent="0.25">
      <c r="A156" s="105" t="str">
        <f>'Data shares'!C151</f>
        <v>OFSS</v>
      </c>
      <c r="B156" s="143">
        <f>VLOOKUP($A156,'Data shares'!$C:$FA,118)</f>
        <v>0.53</v>
      </c>
      <c r="C156" s="143">
        <f>VLOOKUP($A156,'Data shares'!$C:$FA,119)</f>
        <v>0.48</v>
      </c>
      <c r="D156" s="143">
        <f>VLOOKUP($A156,'Data shares'!$C:$FA,121)*100</f>
        <v>10.42</v>
      </c>
      <c r="E156" s="143">
        <f>VLOOKUP($A156,'Data shares'!$C:$FA,124)</f>
        <v>0.36</v>
      </c>
      <c r="F156" s="143">
        <f>VLOOKUP($A156,'Data shares'!$C:$FA,125)</f>
        <v>0.43</v>
      </c>
      <c r="G156" s="143">
        <f>VLOOKUP($A156,'Data shares'!$C:$FA,127)*100</f>
        <v>-16.28</v>
      </c>
      <c r="H156" s="103">
        <f>VLOOKUP($A156,'OI(Volume)'!$A$7:$O$427,8)</f>
        <v>850050</v>
      </c>
      <c r="I156" s="103">
        <f>VLOOKUP($A156,'OI(Volume)'!$A$7:$O$427,9)</f>
        <v>-161100</v>
      </c>
      <c r="J156" s="103">
        <f>VLOOKUP($A156,'OI(Volume)'!$A$7:$O$427,11)</f>
        <v>447000</v>
      </c>
      <c r="K156" s="103">
        <f>VLOOKUP($A156,'OI(Volume)'!$A$7:$O$427,12)</f>
        <v>-39975</v>
      </c>
      <c r="L156" s="103">
        <f>VLOOKUP($A156,'OI(Value)'!$A$7:$O$306,8,0)</f>
        <v>741</v>
      </c>
      <c r="M156" s="103">
        <f>VLOOKUP($A156,'OI(Value)'!$A$7:$O$306,9,0)</f>
        <v>-140</v>
      </c>
      <c r="N156" s="103">
        <f>VLOOKUP($A156,'OI(Value)'!$A$7:$O$306,11,0)</f>
        <v>390</v>
      </c>
      <c r="O156" s="103">
        <f>VLOOKUP($A156,'OI(Value)'!$A$7:$O$306,12,0)</f>
        <v>-35</v>
      </c>
      <c r="P156" s="179">
        <f>VLOOKUP(A156,'OI(Value)'!A156:O357,8,0)</f>
        <v>741</v>
      </c>
      <c r="Q156" s="179">
        <f>VLOOKUP(A156,'OI(Value)'!A156:O357,9,0)</f>
        <v>-140</v>
      </c>
      <c r="R156" s="179">
        <f>VLOOKUP(A156,'OI(Value)'!A156:O357,11,0)</f>
        <v>390</v>
      </c>
      <c r="S156" s="179">
        <f>VLOOKUP(A156,'OI(Value)'!A156:O357,11,0)</f>
        <v>390</v>
      </c>
    </row>
    <row r="157" spans="1:19" x14ac:dyDescent="0.25">
      <c r="A157" s="105" t="str">
        <f>'Data shares'!C152</f>
        <v>OIL</v>
      </c>
      <c r="B157" s="143">
        <f>VLOOKUP($A157,'Data shares'!$C:$FA,118)</f>
        <v>0.65</v>
      </c>
      <c r="C157" s="143">
        <f>VLOOKUP($A157,'Data shares'!$C:$FA,119)</f>
        <v>0.51</v>
      </c>
      <c r="D157" s="143">
        <f>VLOOKUP($A157,'Data shares'!$C:$FA,121)*100</f>
        <v>27.450000000000003</v>
      </c>
      <c r="E157" s="143">
        <f>VLOOKUP($A157,'Data shares'!$C:$FA,124)</f>
        <v>0.3</v>
      </c>
      <c r="F157" s="143">
        <f>VLOOKUP($A157,'Data shares'!$C:$FA,125)</f>
        <v>0.25</v>
      </c>
      <c r="G157" s="143">
        <f>VLOOKUP($A157,'Data shares'!$C:$FA,127)*100</f>
        <v>20</v>
      </c>
      <c r="H157" s="103">
        <f>VLOOKUP($A157,'OI(Volume)'!$A$7:$O$427,8)</f>
        <v>5118400</v>
      </c>
      <c r="I157" s="103">
        <f>VLOOKUP($A157,'OI(Volume)'!$A$7:$O$427,9)</f>
        <v>-1457400</v>
      </c>
      <c r="J157" s="103">
        <f>VLOOKUP($A157,'OI(Volume)'!$A$7:$O$427,11)</f>
        <v>3323600</v>
      </c>
      <c r="K157" s="103">
        <f>VLOOKUP($A157,'OI(Volume)'!$A$7:$O$427,12)</f>
        <v>-49000</v>
      </c>
      <c r="L157" s="103">
        <f>VLOOKUP($A157,'OI(Value)'!$A$7:$O$306,8,0)</f>
        <v>216</v>
      </c>
      <c r="M157" s="103">
        <f>VLOOKUP($A157,'OI(Value)'!$A$7:$O$306,9,0)</f>
        <v>-62</v>
      </c>
      <c r="N157" s="103">
        <f>VLOOKUP($A157,'OI(Value)'!$A$7:$O$306,11,0)</f>
        <v>140</v>
      </c>
      <c r="O157" s="103">
        <f>VLOOKUP($A157,'OI(Value)'!$A$7:$O$306,12,0)</f>
        <v>-2</v>
      </c>
      <c r="P157" s="179">
        <f>VLOOKUP(A157,'OI(Value)'!A157:O358,8,0)</f>
        <v>216</v>
      </c>
      <c r="Q157" s="179">
        <f>VLOOKUP(A157,'OI(Value)'!A157:O358,9,0)</f>
        <v>-62</v>
      </c>
      <c r="R157" s="179">
        <f>VLOOKUP(A157,'OI(Value)'!A157:O358,11,0)</f>
        <v>140</v>
      </c>
      <c r="S157" s="179">
        <f>VLOOKUP(A157,'OI(Value)'!A157:O358,11,0)</f>
        <v>140</v>
      </c>
    </row>
    <row r="158" spans="1:19" x14ac:dyDescent="0.25">
      <c r="A158" s="105" t="str">
        <f>'Data shares'!C153</f>
        <v>ONGC</v>
      </c>
      <c r="B158" s="143">
        <f>VLOOKUP($A158,'Data shares'!$C:$FA,118)</f>
        <v>0.69</v>
      </c>
      <c r="C158" s="143">
        <f>VLOOKUP($A158,'Data shares'!$C:$FA,119)</f>
        <v>0.67</v>
      </c>
      <c r="D158" s="143">
        <f>VLOOKUP($A158,'Data shares'!$C:$FA,121)*100</f>
        <v>2.9899999999999998</v>
      </c>
      <c r="E158" s="143">
        <f>VLOOKUP($A158,'Data shares'!$C:$FA,124)</f>
        <v>0.56999999999999995</v>
      </c>
      <c r="F158" s="143">
        <f>VLOOKUP($A158,'Data shares'!$C:$FA,125)</f>
        <v>0.5</v>
      </c>
      <c r="G158" s="143">
        <f>VLOOKUP($A158,'Data shares'!$C:$FA,127)*100</f>
        <v>14.000000000000002</v>
      </c>
      <c r="H158" s="103">
        <f>VLOOKUP($A158,'OI(Volume)'!$A$7:$O$427,8)</f>
        <v>58428000</v>
      </c>
      <c r="I158" s="103">
        <f>VLOOKUP($A158,'OI(Volume)'!$A$7:$O$427,9)</f>
        <v>-4178250</v>
      </c>
      <c r="J158" s="103">
        <f>VLOOKUP($A158,'OI(Volume)'!$A$7:$O$427,11)</f>
        <v>40383000</v>
      </c>
      <c r="K158" s="103">
        <f>VLOOKUP($A158,'OI(Volume)'!$A$7:$O$427,12)</f>
        <v>-1568250</v>
      </c>
      <c r="L158" s="103">
        <f>VLOOKUP($A158,'OI(Value)'!$A$7:$O$306,8,0)</f>
        <v>1478</v>
      </c>
      <c r="M158" s="103">
        <f>VLOOKUP($A158,'OI(Value)'!$A$7:$O$306,9,0)</f>
        <v>-106</v>
      </c>
      <c r="N158" s="103">
        <f>VLOOKUP($A158,'OI(Value)'!$A$7:$O$306,11,0)</f>
        <v>1021</v>
      </c>
      <c r="O158" s="103">
        <f>VLOOKUP($A158,'OI(Value)'!$A$7:$O$306,12,0)</f>
        <v>-40</v>
      </c>
      <c r="P158" s="179">
        <f>VLOOKUP(A158,'OI(Value)'!A158:O359,8,0)</f>
        <v>1478</v>
      </c>
      <c r="Q158" s="179">
        <f>VLOOKUP(A158,'OI(Value)'!A158:O359,9,0)</f>
        <v>-106</v>
      </c>
      <c r="R158" s="179">
        <f>VLOOKUP(A158,'OI(Value)'!A158:O359,11,0)</f>
        <v>1021</v>
      </c>
      <c r="S158" s="179">
        <f>VLOOKUP(A158,'OI(Value)'!A158:O359,11,0)</f>
        <v>1021</v>
      </c>
    </row>
    <row r="159" spans="1:19" x14ac:dyDescent="0.25">
      <c r="A159" s="105" t="str">
        <f>'Data shares'!C154</f>
        <v>PAGEIND</v>
      </c>
      <c r="B159" s="143">
        <f>VLOOKUP($A159,'Data shares'!$C:$FA,118)</f>
        <v>0.46</v>
      </c>
      <c r="C159" s="143">
        <f>VLOOKUP($A159,'Data shares'!$C:$FA,119)</f>
        <v>0.4</v>
      </c>
      <c r="D159" s="143">
        <f>VLOOKUP($A159,'Data shares'!$C:$FA,121)*100</f>
        <v>15</v>
      </c>
      <c r="E159" s="143">
        <f>VLOOKUP($A159,'Data shares'!$C:$FA,124)</f>
        <v>0.75</v>
      </c>
      <c r="F159" s="143">
        <f>VLOOKUP($A159,'Data shares'!$C:$FA,125)</f>
        <v>0.73</v>
      </c>
      <c r="G159" s="143">
        <f>VLOOKUP($A159,'Data shares'!$C:$FA,127)*100</f>
        <v>2.74</v>
      </c>
      <c r="H159" s="103">
        <f>VLOOKUP($A159,'OI(Volume)'!$A$7:$O$427,8)</f>
        <v>89430</v>
      </c>
      <c r="I159" s="103">
        <f>VLOOKUP($A159,'OI(Volume)'!$A$7:$O$427,9)</f>
        <v>-18075</v>
      </c>
      <c r="J159" s="103">
        <f>VLOOKUP($A159,'OI(Volume)'!$A$7:$O$427,11)</f>
        <v>41445</v>
      </c>
      <c r="K159" s="103">
        <f>VLOOKUP($A159,'OI(Volume)'!$A$7:$O$427,12)</f>
        <v>-1050</v>
      </c>
      <c r="L159" s="103">
        <f>VLOOKUP($A159,'OI(Value)'!$A$7:$O$306,8,0)</f>
        <v>368</v>
      </c>
      <c r="M159" s="103">
        <f>VLOOKUP($A159,'OI(Value)'!$A$7:$O$306,9,0)</f>
        <v>-74</v>
      </c>
      <c r="N159" s="103">
        <f>VLOOKUP($A159,'OI(Value)'!$A$7:$O$306,11,0)</f>
        <v>170</v>
      </c>
      <c r="O159" s="103">
        <f>VLOOKUP($A159,'OI(Value)'!$A$7:$O$306,12,0)</f>
        <v>-4</v>
      </c>
      <c r="P159" s="179">
        <f>VLOOKUP(A159,'OI(Value)'!A159:O360,8,0)</f>
        <v>368</v>
      </c>
      <c r="Q159" s="179">
        <f>VLOOKUP(A159,'OI(Value)'!A159:O360,9,0)</f>
        <v>-74</v>
      </c>
      <c r="R159" s="179">
        <f>VLOOKUP(A159,'OI(Value)'!A159:O360,11,0)</f>
        <v>170</v>
      </c>
      <c r="S159" s="179">
        <f>VLOOKUP(A159,'OI(Value)'!A159:O360,11,0)</f>
        <v>170</v>
      </c>
    </row>
    <row r="160" spans="1:19" x14ac:dyDescent="0.25">
      <c r="A160" s="105" t="str">
        <f>'Data shares'!C155</f>
        <v>PATANJALI</v>
      </c>
      <c r="B160" s="143">
        <f>VLOOKUP($A160,'Data shares'!$C:$FA,118)</f>
        <v>0.56999999999999995</v>
      </c>
      <c r="C160" s="143">
        <f>VLOOKUP($A160,'Data shares'!$C:$FA,119)</f>
        <v>0.49</v>
      </c>
      <c r="D160" s="143">
        <f>VLOOKUP($A160,'Data shares'!$C:$FA,121)*100</f>
        <v>16.329999999999998</v>
      </c>
      <c r="E160" s="143">
        <f>VLOOKUP($A160,'Data shares'!$C:$FA,124)</f>
        <v>0.56999999999999995</v>
      </c>
      <c r="F160" s="143">
        <f>VLOOKUP($A160,'Data shares'!$C:$FA,125)</f>
        <v>0.45</v>
      </c>
      <c r="G160" s="143">
        <f>VLOOKUP($A160,'Data shares'!$C:$FA,127)*100</f>
        <v>26.669999999999998</v>
      </c>
      <c r="H160" s="103">
        <f>VLOOKUP($A160,'OI(Volume)'!$A$7:$O$427,8)</f>
        <v>5058900</v>
      </c>
      <c r="I160" s="103">
        <f>VLOOKUP($A160,'OI(Volume)'!$A$7:$O$427,9)</f>
        <v>-816300</v>
      </c>
      <c r="J160" s="103">
        <f>VLOOKUP($A160,'OI(Volume)'!$A$7:$O$427,11)</f>
        <v>2887200</v>
      </c>
      <c r="K160" s="103">
        <f>VLOOKUP($A160,'OI(Volume)'!$A$7:$O$427,12)</f>
        <v>11700</v>
      </c>
      <c r="L160" s="103">
        <f>VLOOKUP($A160,'OI(Value)'!$A$7:$O$306,8,0)</f>
        <v>299</v>
      </c>
      <c r="M160" s="103">
        <f>VLOOKUP($A160,'OI(Value)'!$A$7:$O$306,9,0)</f>
        <v>-48</v>
      </c>
      <c r="N160" s="103">
        <f>VLOOKUP($A160,'OI(Value)'!$A$7:$O$306,11,0)</f>
        <v>171</v>
      </c>
      <c r="O160" s="103">
        <f>VLOOKUP($A160,'OI(Value)'!$A$7:$O$306,12,0)</f>
        <v>1</v>
      </c>
      <c r="P160" s="179">
        <f>VLOOKUP(A160,'OI(Value)'!A160:O361,8,0)</f>
        <v>299</v>
      </c>
      <c r="Q160" s="179">
        <f>VLOOKUP(A160,'OI(Value)'!A160:O361,9,0)</f>
        <v>-48</v>
      </c>
      <c r="R160" s="179">
        <f>VLOOKUP(A160,'OI(Value)'!A160:O361,11,0)</f>
        <v>171</v>
      </c>
      <c r="S160" s="179">
        <f>VLOOKUP(A160,'OI(Value)'!A160:O361,11,0)</f>
        <v>171</v>
      </c>
    </row>
    <row r="161" spans="1:19" x14ac:dyDescent="0.25">
      <c r="A161" s="105" t="str">
        <f>'Data shares'!C156</f>
        <v>PAYTM</v>
      </c>
      <c r="B161" s="143">
        <f>VLOOKUP($A161,'Data shares'!$C:$FA,118)</f>
        <v>0.84</v>
      </c>
      <c r="C161" s="143">
        <f>VLOOKUP($A161,'Data shares'!$C:$FA,119)</f>
        <v>0.88</v>
      </c>
      <c r="D161" s="143">
        <f>VLOOKUP($A161,'Data shares'!$C:$FA,121)*100</f>
        <v>-4.55</v>
      </c>
      <c r="E161" s="143">
        <f>VLOOKUP($A161,'Data shares'!$C:$FA,124)</f>
        <v>0.64</v>
      </c>
      <c r="F161" s="143">
        <f>VLOOKUP($A161,'Data shares'!$C:$FA,125)</f>
        <v>0.63</v>
      </c>
      <c r="G161" s="143">
        <f>VLOOKUP($A161,'Data shares'!$C:$FA,127)*100</f>
        <v>1.59</v>
      </c>
      <c r="H161" s="103">
        <f>VLOOKUP($A161,'OI(Volume)'!$A$7:$O$427,8)</f>
        <v>7414575</v>
      </c>
      <c r="I161" s="103">
        <f>VLOOKUP($A161,'OI(Volume)'!$A$7:$O$427,9)</f>
        <v>-94250</v>
      </c>
      <c r="J161" s="103">
        <f>VLOOKUP($A161,'OI(Volume)'!$A$7:$O$427,11)</f>
        <v>6244425</v>
      </c>
      <c r="K161" s="103">
        <f>VLOOKUP($A161,'OI(Volume)'!$A$7:$O$427,12)</f>
        <v>-373375</v>
      </c>
      <c r="L161" s="103">
        <f>VLOOKUP($A161,'OI(Value)'!$A$7:$O$306,8,0)</f>
        <v>967</v>
      </c>
      <c r="M161" s="103">
        <f>VLOOKUP($A161,'OI(Value)'!$A$7:$O$306,9,0)</f>
        <v>-12</v>
      </c>
      <c r="N161" s="103">
        <f>VLOOKUP($A161,'OI(Value)'!$A$7:$O$306,11,0)</f>
        <v>814</v>
      </c>
      <c r="O161" s="103">
        <f>VLOOKUP($A161,'OI(Value)'!$A$7:$O$306,12,0)</f>
        <v>-49</v>
      </c>
      <c r="P161" s="179">
        <f>VLOOKUP(A161,'OI(Value)'!A161:O362,8,0)</f>
        <v>967</v>
      </c>
      <c r="Q161" s="179">
        <f>VLOOKUP(A161,'OI(Value)'!A161:O362,9,0)</f>
        <v>-12</v>
      </c>
      <c r="R161" s="179">
        <f>VLOOKUP(A161,'OI(Value)'!A161:O362,11,0)</f>
        <v>814</v>
      </c>
      <c r="S161" s="179">
        <f>VLOOKUP(A161,'OI(Value)'!A161:O362,11,0)</f>
        <v>814</v>
      </c>
    </row>
    <row r="162" spans="1:19" x14ac:dyDescent="0.25">
      <c r="A162" s="105" t="str">
        <f>'Data shares'!C157</f>
        <v>PERSISTENT</v>
      </c>
      <c r="B162" s="143">
        <f>VLOOKUP($A162,'Data shares'!$C:$FA,118)</f>
        <v>0.94</v>
      </c>
      <c r="C162" s="143">
        <f>VLOOKUP($A162,'Data shares'!$C:$FA,119)</f>
        <v>1.02</v>
      </c>
      <c r="D162" s="143">
        <f>VLOOKUP($A162,'Data shares'!$C:$FA,121)*100</f>
        <v>-7.84</v>
      </c>
      <c r="E162" s="143">
        <f>VLOOKUP($A162,'Data shares'!$C:$FA,124)</f>
        <v>0.89</v>
      </c>
      <c r="F162" s="143">
        <f>VLOOKUP($A162,'Data shares'!$C:$FA,125)</f>
        <v>0.63</v>
      </c>
      <c r="G162" s="143">
        <f>VLOOKUP($A162,'Data shares'!$C:$FA,127)*100</f>
        <v>41.27</v>
      </c>
      <c r="H162" s="103">
        <f>VLOOKUP($A162,'OI(Volume)'!$A$7:$O$427,8)</f>
        <v>1308600</v>
      </c>
      <c r="I162" s="103">
        <f>VLOOKUP($A162,'OI(Volume)'!$A$7:$O$427,9)</f>
        <v>-213700</v>
      </c>
      <c r="J162" s="103">
        <f>VLOOKUP($A162,'OI(Volume)'!$A$7:$O$427,11)</f>
        <v>1226400</v>
      </c>
      <c r="K162" s="103">
        <f>VLOOKUP($A162,'OI(Volume)'!$A$7:$O$427,12)</f>
        <v>-329300</v>
      </c>
      <c r="L162" s="103">
        <f>VLOOKUP($A162,'OI(Value)'!$A$7:$O$306,8,0)</f>
        <v>770</v>
      </c>
      <c r="M162" s="103">
        <f>VLOOKUP($A162,'OI(Value)'!$A$7:$O$306,9,0)</f>
        <v>-126</v>
      </c>
      <c r="N162" s="103">
        <f>VLOOKUP($A162,'OI(Value)'!$A$7:$O$306,11,0)</f>
        <v>721</v>
      </c>
      <c r="O162" s="103">
        <f>VLOOKUP($A162,'OI(Value)'!$A$7:$O$306,12,0)</f>
        <v>-194</v>
      </c>
      <c r="P162" s="179">
        <f>VLOOKUP(A162,'OI(Value)'!A162:O363,8,0)</f>
        <v>770</v>
      </c>
      <c r="Q162" s="179">
        <f>VLOOKUP(A162,'OI(Value)'!A162:O363,9,0)</f>
        <v>-126</v>
      </c>
      <c r="R162" s="179">
        <f>VLOOKUP(A162,'OI(Value)'!A162:O363,11,0)</f>
        <v>721</v>
      </c>
      <c r="S162" s="179">
        <f>VLOOKUP(A162,'OI(Value)'!A162:O363,11,0)</f>
        <v>721</v>
      </c>
    </row>
    <row r="163" spans="1:19" x14ac:dyDescent="0.25">
      <c r="A163" s="105" t="str">
        <f>'Data shares'!C158</f>
        <v>PETRONET</v>
      </c>
      <c r="B163" s="143">
        <f>VLOOKUP($A163,'Data shares'!$C:$FA,118)</f>
        <v>1.0900000000000001</v>
      </c>
      <c r="C163" s="143">
        <f>VLOOKUP($A163,'Data shares'!$C:$FA,119)</f>
        <v>1.0900000000000001</v>
      </c>
      <c r="D163" s="143">
        <f>VLOOKUP($A163,'Data shares'!$C:$FA,121)*100</f>
        <v>0</v>
      </c>
      <c r="E163" s="143">
        <f>VLOOKUP($A163,'Data shares'!$C:$FA,124)</f>
        <v>0.79</v>
      </c>
      <c r="F163" s="143">
        <f>VLOOKUP($A163,'Data shares'!$C:$FA,125)</f>
        <v>0.48</v>
      </c>
      <c r="G163" s="143">
        <f>VLOOKUP($A163,'Data shares'!$C:$FA,127)*100</f>
        <v>64.58</v>
      </c>
      <c r="H163" s="103">
        <f>VLOOKUP($A163,'OI(Volume)'!$A$7:$O$427,8)</f>
        <v>15465600</v>
      </c>
      <c r="I163" s="103">
        <f>VLOOKUP($A163,'OI(Volume)'!$A$7:$O$427,9)</f>
        <v>687600</v>
      </c>
      <c r="J163" s="103">
        <f>VLOOKUP($A163,'OI(Volume)'!$A$7:$O$427,11)</f>
        <v>16907400</v>
      </c>
      <c r="K163" s="103">
        <f>VLOOKUP($A163,'OI(Volume)'!$A$7:$O$427,12)</f>
        <v>810000</v>
      </c>
      <c r="L163" s="103">
        <f>VLOOKUP($A163,'OI(Value)'!$A$7:$O$306,8,0)</f>
        <v>434</v>
      </c>
      <c r="M163" s="103">
        <f>VLOOKUP($A163,'OI(Value)'!$A$7:$O$306,9,0)</f>
        <v>19</v>
      </c>
      <c r="N163" s="103">
        <f>VLOOKUP($A163,'OI(Value)'!$A$7:$O$306,11,0)</f>
        <v>474</v>
      </c>
      <c r="O163" s="103">
        <f>VLOOKUP($A163,'OI(Value)'!$A$7:$O$306,12,0)</f>
        <v>23</v>
      </c>
      <c r="P163" s="179">
        <f>VLOOKUP(A163,'OI(Value)'!A163:O364,8,0)</f>
        <v>434</v>
      </c>
      <c r="Q163" s="179">
        <f>VLOOKUP(A163,'OI(Value)'!A163:O364,9,0)</f>
        <v>19</v>
      </c>
      <c r="R163" s="179">
        <f>VLOOKUP(A163,'OI(Value)'!A163:O364,11,0)</f>
        <v>474</v>
      </c>
      <c r="S163" s="179">
        <f>VLOOKUP(A163,'OI(Value)'!A163:O364,11,0)</f>
        <v>474</v>
      </c>
    </row>
    <row r="164" spans="1:19" x14ac:dyDescent="0.25">
      <c r="A164" s="105" t="str">
        <f>'Data shares'!C159</f>
        <v>PFC</v>
      </c>
      <c r="B164" s="143">
        <f>VLOOKUP($A164,'Data shares'!$C:$FA,118)</f>
        <v>0.83</v>
      </c>
      <c r="C164" s="143">
        <f>VLOOKUP($A164,'Data shares'!$C:$FA,119)</f>
        <v>0.81</v>
      </c>
      <c r="D164" s="143">
        <f>VLOOKUP($A164,'Data shares'!$C:$FA,121)*100</f>
        <v>2.4699999999999998</v>
      </c>
      <c r="E164" s="143">
        <f>VLOOKUP($A164,'Data shares'!$C:$FA,124)</f>
        <v>0.68</v>
      </c>
      <c r="F164" s="143">
        <f>VLOOKUP($A164,'Data shares'!$C:$FA,125)</f>
        <v>0.6</v>
      </c>
      <c r="G164" s="143">
        <f>VLOOKUP($A164,'Data shares'!$C:$FA,127)*100</f>
        <v>13.33</v>
      </c>
      <c r="H164" s="103">
        <f>VLOOKUP($A164,'OI(Volume)'!$A$7:$O$427,8)</f>
        <v>27072500</v>
      </c>
      <c r="I164" s="103">
        <f>VLOOKUP($A164,'OI(Volume)'!$A$7:$O$427,9)</f>
        <v>-959400</v>
      </c>
      <c r="J164" s="103">
        <f>VLOOKUP($A164,'OI(Volume)'!$A$7:$O$427,11)</f>
        <v>22583600</v>
      </c>
      <c r="K164" s="103">
        <f>VLOOKUP($A164,'OI(Volume)'!$A$7:$O$427,12)</f>
        <v>-111800</v>
      </c>
      <c r="L164" s="103">
        <f>VLOOKUP($A164,'OI(Value)'!$A$7:$O$306,8,0)</f>
        <v>1075</v>
      </c>
      <c r="M164" s="103">
        <f>VLOOKUP($A164,'OI(Value)'!$A$7:$O$306,9,0)</f>
        <v>-38</v>
      </c>
      <c r="N164" s="103">
        <f>VLOOKUP($A164,'OI(Value)'!$A$7:$O$306,11,0)</f>
        <v>897</v>
      </c>
      <c r="O164" s="103">
        <f>VLOOKUP($A164,'OI(Value)'!$A$7:$O$306,12,0)</f>
        <v>-4</v>
      </c>
      <c r="P164" s="179">
        <f>VLOOKUP(A164,'OI(Value)'!A164:O365,8,0)</f>
        <v>1075</v>
      </c>
      <c r="Q164" s="179">
        <f>VLOOKUP(A164,'OI(Value)'!A164:O365,9,0)</f>
        <v>-38</v>
      </c>
      <c r="R164" s="179">
        <f>VLOOKUP(A164,'OI(Value)'!A164:O365,11,0)</f>
        <v>897</v>
      </c>
      <c r="S164" s="179">
        <f>VLOOKUP(A164,'OI(Value)'!A164:O365,11,0)</f>
        <v>897</v>
      </c>
    </row>
    <row r="165" spans="1:19" x14ac:dyDescent="0.25">
      <c r="A165" s="105" t="str">
        <f>'Data shares'!C160</f>
        <v>PGEL</v>
      </c>
      <c r="B165" s="143">
        <f>VLOOKUP($A165,'Data shares'!$C:$FA,118)</f>
        <v>0.68</v>
      </c>
      <c r="C165" s="143">
        <f>VLOOKUP($A165,'Data shares'!$C:$FA,119)</f>
        <v>0.68</v>
      </c>
      <c r="D165" s="143">
        <f>VLOOKUP($A165,'Data shares'!$C:$FA,121)*100</f>
        <v>0</v>
      </c>
      <c r="E165" s="143">
        <f>VLOOKUP($A165,'Data shares'!$C:$FA,124)</f>
        <v>0.54</v>
      </c>
      <c r="F165" s="143">
        <f>VLOOKUP($A165,'Data shares'!$C:$FA,125)</f>
        <v>0.62</v>
      </c>
      <c r="G165" s="143">
        <f>VLOOKUP($A165,'Data shares'!$C:$FA,127)*100</f>
        <v>-12.9</v>
      </c>
      <c r="H165" s="103">
        <f>VLOOKUP($A165,'OI(Volume)'!$A$7:$O$427,8)</f>
        <v>5841500</v>
      </c>
      <c r="I165" s="103">
        <f>VLOOKUP($A165,'OI(Volume)'!$A$7:$O$427,9)</f>
        <v>-651700</v>
      </c>
      <c r="J165" s="103">
        <f>VLOOKUP($A165,'OI(Volume)'!$A$7:$O$427,11)</f>
        <v>3999100</v>
      </c>
      <c r="K165" s="103">
        <f>VLOOKUP($A165,'OI(Volume)'!$A$7:$O$427,12)</f>
        <v>-431900</v>
      </c>
      <c r="L165" s="103">
        <f>VLOOKUP($A165,'OI(Value)'!$A$7:$O$306,8,0)</f>
        <v>334</v>
      </c>
      <c r="M165" s="103">
        <f>VLOOKUP($A165,'OI(Value)'!$A$7:$O$306,9,0)</f>
        <v>-37</v>
      </c>
      <c r="N165" s="103">
        <f>VLOOKUP($A165,'OI(Value)'!$A$7:$O$306,11,0)</f>
        <v>228</v>
      </c>
      <c r="O165" s="103">
        <f>VLOOKUP($A165,'OI(Value)'!$A$7:$O$306,12,0)</f>
        <v>-25</v>
      </c>
      <c r="P165" s="179">
        <f>VLOOKUP(A165,'OI(Value)'!A165:O366,8,0)</f>
        <v>334</v>
      </c>
      <c r="Q165" s="179">
        <f>VLOOKUP(A165,'OI(Value)'!A165:O366,9,0)</f>
        <v>-37</v>
      </c>
      <c r="R165" s="179">
        <f>VLOOKUP(A165,'OI(Value)'!A165:O366,11,0)</f>
        <v>228</v>
      </c>
      <c r="S165" s="179">
        <f>VLOOKUP(A165,'OI(Value)'!A165:O366,11,0)</f>
        <v>228</v>
      </c>
    </row>
    <row r="166" spans="1:19" x14ac:dyDescent="0.25">
      <c r="A166" s="105" t="str">
        <f>'Data shares'!C161</f>
        <v>PHOENIXLTD</v>
      </c>
      <c r="B166" s="143">
        <f>VLOOKUP($A166,'Data shares'!$C:$FA,118)</f>
        <v>0.64</v>
      </c>
      <c r="C166" s="143">
        <f>VLOOKUP($A166,'Data shares'!$C:$FA,119)</f>
        <v>0.64</v>
      </c>
      <c r="D166" s="143">
        <f>VLOOKUP($A166,'Data shares'!$C:$FA,121)*100</f>
        <v>0</v>
      </c>
      <c r="E166" s="143">
        <f>VLOOKUP($A166,'Data shares'!$C:$FA,124)</f>
        <v>0.27</v>
      </c>
      <c r="F166" s="143">
        <f>VLOOKUP($A166,'Data shares'!$C:$FA,125)</f>
        <v>0.51</v>
      </c>
      <c r="G166" s="143">
        <f>VLOOKUP($A166,'Data shares'!$C:$FA,127)*100</f>
        <v>-47.06</v>
      </c>
      <c r="H166" s="103">
        <f>VLOOKUP($A166,'OI(Volume)'!$A$7:$O$427,8)</f>
        <v>1208200</v>
      </c>
      <c r="I166" s="103">
        <f>VLOOKUP($A166,'OI(Volume)'!$A$7:$O$427,9)</f>
        <v>-156100</v>
      </c>
      <c r="J166" s="103">
        <f>VLOOKUP($A166,'OI(Volume)'!$A$7:$O$427,11)</f>
        <v>774900</v>
      </c>
      <c r="K166" s="103">
        <f>VLOOKUP($A166,'OI(Volume)'!$A$7:$O$427,12)</f>
        <v>-99050</v>
      </c>
      <c r="L166" s="103">
        <f>VLOOKUP($A166,'OI(Value)'!$A$7:$O$306,8,0)</f>
        <v>206</v>
      </c>
      <c r="M166" s="103">
        <f>VLOOKUP($A166,'OI(Value)'!$A$7:$O$306,9,0)</f>
        <v>-27</v>
      </c>
      <c r="N166" s="103">
        <f>VLOOKUP($A166,'OI(Value)'!$A$7:$O$306,11,0)</f>
        <v>132</v>
      </c>
      <c r="O166" s="103">
        <f>VLOOKUP($A166,'OI(Value)'!$A$7:$O$306,12,0)</f>
        <v>-17</v>
      </c>
      <c r="P166" s="179">
        <f>VLOOKUP(A166,'OI(Value)'!A166:O367,8,0)</f>
        <v>206</v>
      </c>
      <c r="Q166" s="179">
        <f>VLOOKUP(A166,'OI(Value)'!A166:O367,9,0)</f>
        <v>-27</v>
      </c>
      <c r="R166" s="179">
        <f>VLOOKUP(A166,'OI(Value)'!A166:O367,11,0)</f>
        <v>132</v>
      </c>
      <c r="S166" s="179">
        <f>VLOOKUP(A166,'OI(Value)'!A166:O367,11,0)</f>
        <v>132</v>
      </c>
    </row>
    <row r="167" spans="1:19" x14ac:dyDescent="0.25">
      <c r="A167" s="105" t="str">
        <f>'Data shares'!C162</f>
        <v>PIDILITIND</v>
      </c>
      <c r="B167" s="143">
        <f>VLOOKUP($A167,'Data shares'!$C:$FA,118)</f>
        <v>0.9</v>
      </c>
      <c r="C167" s="143">
        <f>VLOOKUP($A167,'Data shares'!$C:$FA,119)</f>
        <v>1.03</v>
      </c>
      <c r="D167" s="143">
        <f>VLOOKUP($A167,'Data shares'!$C:$FA,121)*100</f>
        <v>-12.620000000000001</v>
      </c>
      <c r="E167" s="143">
        <f>VLOOKUP($A167,'Data shares'!$C:$FA,124)</f>
        <v>0.83</v>
      </c>
      <c r="F167" s="143">
        <f>VLOOKUP($A167,'Data shares'!$C:$FA,125)</f>
        <v>0.93</v>
      </c>
      <c r="G167" s="143">
        <f>VLOOKUP($A167,'Data shares'!$C:$FA,127)*100</f>
        <v>-10.75</v>
      </c>
      <c r="H167" s="103">
        <f>VLOOKUP($A167,'OI(Volume)'!$A$7:$O$427,8)</f>
        <v>1203500</v>
      </c>
      <c r="I167" s="103">
        <f>VLOOKUP($A167,'OI(Volume)'!$A$7:$O$427,9)</f>
        <v>-146000</v>
      </c>
      <c r="J167" s="103">
        <f>VLOOKUP($A167,'OI(Volume)'!$A$7:$O$427,11)</f>
        <v>1086000</v>
      </c>
      <c r="K167" s="103">
        <f>VLOOKUP($A167,'OI(Volume)'!$A$7:$O$427,12)</f>
        <v>-308000</v>
      </c>
      <c r="L167" s="103">
        <f>VLOOKUP($A167,'OI(Value)'!$A$7:$O$306,8,0)</f>
        <v>181</v>
      </c>
      <c r="M167" s="103">
        <f>VLOOKUP($A167,'OI(Value)'!$A$7:$O$306,9,0)</f>
        <v>-22</v>
      </c>
      <c r="N167" s="103">
        <f>VLOOKUP($A167,'OI(Value)'!$A$7:$O$306,11,0)</f>
        <v>163</v>
      </c>
      <c r="O167" s="103">
        <f>VLOOKUP($A167,'OI(Value)'!$A$7:$O$306,12,0)</f>
        <v>-46</v>
      </c>
      <c r="P167" s="179">
        <f>VLOOKUP(A167,'OI(Value)'!A167:O368,8,0)</f>
        <v>181</v>
      </c>
      <c r="Q167" s="179">
        <f>VLOOKUP(A167,'OI(Value)'!A167:O368,9,0)</f>
        <v>-22</v>
      </c>
      <c r="R167" s="179">
        <f>VLOOKUP(A167,'OI(Value)'!A167:O368,11,0)</f>
        <v>163</v>
      </c>
      <c r="S167" s="179">
        <f>VLOOKUP(A167,'OI(Value)'!A167:O368,11,0)</f>
        <v>163</v>
      </c>
    </row>
    <row r="168" spans="1:19" x14ac:dyDescent="0.25">
      <c r="A168" s="105" t="str">
        <f>'Data shares'!C163</f>
        <v>PIIND</v>
      </c>
      <c r="B168" s="143">
        <f>VLOOKUP($A168,'Data shares'!$C:$FA,118)</f>
        <v>0.65</v>
      </c>
      <c r="C168" s="143">
        <f>VLOOKUP($A168,'Data shares'!$C:$FA,119)</f>
        <v>0.63</v>
      </c>
      <c r="D168" s="143">
        <f>VLOOKUP($A168,'Data shares'!$C:$FA,121)*100</f>
        <v>3.17</v>
      </c>
      <c r="E168" s="143">
        <f>VLOOKUP($A168,'Data shares'!$C:$FA,124)</f>
        <v>0.27</v>
      </c>
      <c r="F168" s="143">
        <f>VLOOKUP($A168,'Data shares'!$C:$FA,125)</f>
        <v>0.56000000000000005</v>
      </c>
      <c r="G168" s="143">
        <f>VLOOKUP($A168,'Data shares'!$C:$FA,127)*100</f>
        <v>-51.790000000000006</v>
      </c>
      <c r="H168" s="103">
        <f>VLOOKUP($A168,'OI(Volume)'!$A$7:$O$427,8)</f>
        <v>583800</v>
      </c>
      <c r="I168" s="103">
        <f>VLOOKUP($A168,'OI(Volume)'!$A$7:$O$427,9)</f>
        <v>-17325</v>
      </c>
      <c r="J168" s="103">
        <f>VLOOKUP($A168,'OI(Volume)'!$A$7:$O$427,11)</f>
        <v>379225</v>
      </c>
      <c r="K168" s="103">
        <f>VLOOKUP($A168,'OI(Volume)'!$A$7:$O$427,12)</f>
        <v>2625</v>
      </c>
      <c r="L168" s="103">
        <f>VLOOKUP($A168,'OI(Value)'!$A$7:$O$306,8,0)</f>
        <v>211</v>
      </c>
      <c r="M168" s="103">
        <f>VLOOKUP($A168,'OI(Value)'!$A$7:$O$306,9,0)</f>
        <v>-6</v>
      </c>
      <c r="N168" s="103">
        <f>VLOOKUP($A168,'OI(Value)'!$A$7:$O$306,11,0)</f>
        <v>137</v>
      </c>
      <c r="O168" s="103">
        <f>VLOOKUP($A168,'OI(Value)'!$A$7:$O$306,12,0)</f>
        <v>1</v>
      </c>
      <c r="P168" s="179">
        <f>VLOOKUP(A168,'OI(Value)'!A168:O369,8,0)</f>
        <v>211</v>
      </c>
      <c r="Q168" s="179">
        <f>VLOOKUP(A168,'OI(Value)'!A168:O369,9,0)</f>
        <v>-6</v>
      </c>
      <c r="R168" s="179">
        <f>VLOOKUP(A168,'OI(Value)'!A168:O369,11,0)</f>
        <v>137</v>
      </c>
      <c r="S168" s="179">
        <f>VLOOKUP(A168,'OI(Value)'!A168:O369,11,0)</f>
        <v>137</v>
      </c>
    </row>
    <row r="169" spans="1:19" x14ac:dyDescent="0.25">
      <c r="A169" s="105" t="str">
        <f>'Data shares'!C164</f>
        <v>PNB</v>
      </c>
      <c r="B169" s="143">
        <f>VLOOKUP($A169,'Data shares'!$C:$FA,118)</f>
        <v>0.86</v>
      </c>
      <c r="C169" s="143">
        <f>VLOOKUP($A169,'Data shares'!$C:$FA,119)</f>
        <v>0.76</v>
      </c>
      <c r="D169" s="143">
        <f>VLOOKUP($A169,'Data shares'!$C:$FA,121)*100</f>
        <v>13.16</v>
      </c>
      <c r="E169" s="143">
        <f>VLOOKUP($A169,'Data shares'!$C:$FA,124)</f>
        <v>0.49</v>
      </c>
      <c r="F169" s="143">
        <f>VLOOKUP($A169,'Data shares'!$C:$FA,125)</f>
        <v>0.64</v>
      </c>
      <c r="G169" s="143">
        <f>VLOOKUP($A169,'Data shares'!$C:$FA,127)*100</f>
        <v>-23.44</v>
      </c>
      <c r="H169" s="103">
        <f>VLOOKUP($A169,'OI(Volume)'!$A$7:$O$427,8)</f>
        <v>154352000</v>
      </c>
      <c r="I169" s="103">
        <f>VLOOKUP($A169,'OI(Volume)'!$A$7:$O$427,9)</f>
        <v>-13272000</v>
      </c>
      <c r="J169" s="103">
        <f>VLOOKUP($A169,'OI(Volume)'!$A$7:$O$427,11)</f>
        <v>132896000</v>
      </c>
      <c r="K169" s="103">
        <f>VLOOKUP($A169,'OI(Volume)'!$A$7:$O$427,12)</f>
        <v>5528000</v>
      </c>
      <c r="L169" s="103">
        <f>VLOOKUP($A169,'OI(Value)'!$A$7:$O$306,8,0)</f>
        <v>1846</v>
      </c>
      <c r="M169" s="103">
        <f>VLOOKUP($A169,'OI(Value)'!$A$7:$O$306,9,0)</f>
        <v>-159</v>
      </c>
      <c r="N169" s="103">
        <f>VLOOKUP($A169,'OI(Value)'!$A$7:$O$306,11,0)</f>
        <v>1589</v>
      </c>
      <c r="O169" s="103">
        <f>VLOOKUP($A169,'OI(Value)'!$A$7:$O$306,12,0)</f>
        <v>66</v>
      </c>
      <c r="P169" s="179">
        <f>VLOOKUP(A169,'OI(Value)'!A169:O370,8,0)</f>
        <v>1846</v>
      </c>
      <c r="Q169" s="179">
        <f>VLOOKUP(A169,'OI(Value)'!A169:O370,9,0)</f>
        <v>-159</v>
      </c>
      <c r="R169" s="179">
        <f>VLOOKUP(A169,'OI(Value)'!A169:O370,11,0)</f>
        <v>1589</v>
      </c>
      <c r="S169" s="179">
        <f>VLOOKUP(A169,'OI(Value)'!A169:O370,11,0)</f>
        <v>1589</v>
      </c>
    </row>
    <row r="170" spans="1:19" x14ac:dyDescent="0.25">
      <c r="A170" s="105" t="str">
        <f>'Data shares'!C165</f>
        <v>PNBHOUSING</v>
      </c>
      <c r="B170" s="143">
        <f>VLOOKUP($A170,'Data shares'!$C:$FA,118)</f>
        <v>0.87</v>
      </c>
      <c r="C170" s="143">
        <f>VLOOKUP($A170,'Data shares'!$C:$FA,119)</f>
        <v>1.01</v>
      </c>
      <c r="D170" s="143">
        <f>VLOOKUP($A170,'Data shares'!$C:$FA,121)*100</f>
        <v>-13.86</v>
      </c>
      <c r="E170" s="143">
        <f>VLOOKUP($A170,'Data shares'!$C:$FA,124)</f>
        <v>0.47</v>
      </c>
      <c r="F170" s="143">
        <f>VLOOKUP($A170,'Data shares'!$C:$FA,125)</f>
        <v>0.48</v>
      </c>
      <c r="G170" s="143">
        <f>VLOOKUP($A170,'Data shares'!$C:$FA,127)*100</f>
        <v>-2.08</v>
      </c>
      <c r="H170" s="103">
        <f>VLOOKUP($A170,'OI(Volume)'!$A$7:$O$427,8)</f>
        <v>6634550</v>
      </c>
      <c r="I170" s="103">
        <f>VLOOKUP($A170,'OI(Volume)'!$A$7:$O$427,9)</f>
        <v>1628900</v>
      </c>
      <c r="J170" s="103">
        <f>VLOOKUP($A170,'OI(Volume)'!$A$7:$O$427,11)</f>
        <v>5773950</v>
      </c>
      <c r="K170" s="103">
        <f>VLOOKUP($A170,'OI(Volume)'!$A$7:$O$427,12)</f>
        <v>715650</v>
      </c>
      <c r="L170" s="103">
        <f>VLOOKUP($A170,'OI(Value)'!$A$7:$O$306,8,0)</f>
        <v>616</v>
      </c>
      <c r="M170" s="103">
        <f>VLOOKUP($A170,'OI(Value)'!$A$7:$O$306,9,0)</f>
        <v>151</v>
      </c>
      <c r="N170" s="103">
        <f>VLOOKUP($A170,'OI(Value)'!$A$7:$O$306,11,0)</f>
        <v>536</v>
      </c>
      <c r="O170" s="103">
        <f>VLOOKUP($A170,'OI(Value)'!$A$7:$O$306,12,0)</f>
        <v>66</v>
      </c>
      <c r="P170" s="179">
        <f>VLOOKUP(A170,'OI(Value)'!A170:O371,8,0)</f>
        <v>616</v>
      </c>
      <c r="Q170" s="179">
        <f>VLOOKUP(A170,'OI(Value)'!A170:O371,9,0)</f>
        <v>151</v>
      </c>
      <c r="R170" s="179">
        <f>VLOOKUP(A170,'OI(Value)'!A170:O371,11,0)</f>
        <v>536</v>
      </c>
      <c r="S170" s="179">
        <f>VLOOKUP(A170,'OI(Value)'!A170:O371,11,0)</f>
        <v>536</v>
      </c>
    </row>
    <row r="171" spans="1:19" x14ac:dyDescent="0.25">
      <c r="A171" s="105" t="str">
        <f>'Data shares'!C166</f>
        <v>POLICYBZR</v>
      </c>
      <c r="B171" s="143">
        <f>VLOOKUP($A171,'Data shares'!$C:$FA,118)</f>
        <v>0.71</v>
      </c>
      <c r="C171" s="143">
        <f>VLOOKUP($A171,'Data shares'!$C:$FA,119)</f>
        <v>0.83</v>
      </c>
      <c r="D171" s="143">
        <f>VLOOKUP($A171,'Data shares'!$C:$FA,121)*100</f>
        <v>-14.46</v>
      </c>
      <c r="E171" s="143">
        <f>VLOOKUP($A171,'Data shares'!$C:$FA,124)</f>
        <v>0.26</v>
      </c>
      <c r="F171" s="143">
        <f>VLOOKUP($A171,'Data shares'!$C:$FA,125)</f>
        <v>0.38</v>
      </c>
      <c r="G171" s="143">
        <f>VLOOKUP($A171,'Data shares'!$C:$FA,127)*100</f>
        <v>-31.580000000000002</v>
      </c>
      <c r="H171" s="103">
        <f>VLOOKUP($A171,'OI(Volume)'!$A$7:$O$427,8)</f>
        <v>1340150</v>
      </c>
      <c r="I171" s="103">
        <f>VLOOKUP($A171,'OI(Volume)'!$A$7:$O$427,9)</f>
        <v>120400</v>
      </c>
      <c r="J171" s="103">
        <f>VLOOKUP($A171,'OI(Volume)'!$A$7:$O$427,11)</f>
        <v>957600</v>
      </c>
      <c r="K171" s="103">
        <f>VLOOKUP($A171,'OI(Volume)'!$A$7:$O$427,12)</f>
        <v>-53900</v>
      </c>
      <c r="L171" s="103">
        <f>VLOOKUP($A171,'OI(Value)'!$A$7:$O$306,8,0)</f>
        <v>235</v>
      </c>
      <c r="M171" s="103">
        <f>VLOOKUP($A171,'OI(Value)'!$A$7:$O$306,9,0)</f>
        <v>21</v>
      </c>
      <c r="N171" s="103">
        <f>VLOOKUP($A171,'OI(Value)'!$A$7:$O$306,11,0)</f>
        <v>168</v>
      </c>
      <c r="O171" s="103">
        <f>VLOOKUP($A171,'OI(Value)'!$A$7:$O$306,12,0)</f>
        <v>-9</v>
      </c>
      <c r="P171" s="179">
        <f>VLOOKUP(A171,'OI(Value)'!A171:O372,8,0)</f>
        <v>235</v>
      </c>
      <c r="Q171" s="179">
        <f>VLOOKUP(A171,'OI(Value)'!A171:O372,9,0)</f>
        <v>21</v>
      </c>
      <c r="R171" s="179">
        <f>VLOOKUP(A171,'OI(Value)'!A171:O372,11,0)</f>
        <v>168</v>
      </c>
      <c r="S171" s="179">
        <f>VLOOKUP(A171,'OI(Value)'!A171:O372,11,0)</f>
        <v>168</v>
      </c>
    </row>
    <row r="172" spans="1:19" x14ac:dyDescent="0.25">
      <c r="A172" s="105" t="str">
        <f>'Data shares'!C167</f>
        <v>POLYCAB</v>
      </c>
      <c r="B172" s="143">
        <f>VLOOKUP($A172,'Data shares'!$C:$FA,118)</f>
        <v>0.77</v>
      </c>
      <c r="C172" s="143">
        <f>VLOOKUP($A172,'Data shares'!$C:$FA,119)</f>
        <v>0.61</v>
      </c>
      <c r="D172" s="143">
        <f>VLOOKUP($A172,'Data shares'!$C:$FA,121)*100</f>
        <v>26.229999999999997</v>
      </c>
      <c r="E172" s="143">
        <f>VLOOKUP($A172,'Data shares'!$C:$FA,124)</f>
        <v>0.65</v>
      </c>
      <c r="F172" s="143">
        <f>VLOOKUP($A172,'Data shares'!$C:$FA,125)</f>
        <v>0.74</v>
      </c>
      <c r="G172" s="143">
        <f>VLOOKUP($A172,'Data shares'!$C:$FA,127)*100</f>
        <v>-12.16</v>
      </c>
      <c r="H172" s="103">
        <f>VLOOKUP($A172,'OI(Volume)'!$A$7:$O$427,8)</f>
        <v>960875</v>
      </c>
      <c r="I172" s="103">
        <f>VLOOKUP($A172,'OI(Volume)'!$A$7:$O$427,9)</f>
        <v>-280500</v>
      </c>
      <c r="J172" s="103">
        <f>VLOOKUP($A172,'OI(Volume)'!$A$7:$O$427,11)</f>
        <v>735625</v>
      </c>
      <c r="K172" s="103">
        <f>VLOOKUP($A172,'OI(Volume)'!$A$7:$O$427,12)</f>
        <v>-24375</v>
      </c>
      <c r="L172" s="103">
        <f>VLOOKUP($A172,'OI(Value)'!$A$7:$O$306,8,0)</f>
        <v>736</v>
      </c>
      <c r="M172" s="103">
        <f>VLOOKUP($A172,'OI(Value)'!$A$7:$O$306,9,0)</f>
        <v>-215</v>
      </c>
      <c r="N172" s="103">
        <f>VLOOKUP($A172,'OI(Value)'!$A$7:$O$306,11,0)</f>
        <v>564</v>
      </c>
      <c r="O172" s="103">
        <f>VLOOKUP($A172,'OI(Value)'!$A$7:$O$306,12,0)</f>
        <v>-19</v>
      </c>
      <c r="P172" s="179">
        <f>VLOOKUP(A172,'OI(Value)'!A172:O373,8,0)</f>
        <v>736</v>
      </c>
      <c r="Q172" s="179">
        <f>VLOOKUP(A172,'OI(Value)'!A172:O373,9,0)</f>
        <v>-215</v>
      </c>
      <c r="R172" s="179">
        <f>VLOOKUP(A172,'OI(Value)'!A172:O373,11,0)</f>
        <v>564</v>
      </c>
      <c r="S172" s="179">
        <f>VLOOKUP(A172,'OI(Value)'!A172:O373,11,0)</f>
        <v>564</v>
      </c>
    </row>
    <row r="173" spans="1:19" x14ac:dyDescent="0.25">
      <c r="A173" s="105" t="str">
        <f>'Data shares'!C168</f>
        <v>POWERGRID</v>
      </c>
      <c r="B173" s="143">
        <f>VLOOKUP($A173,'Data shares'!$C:$FA,118)</f>
        <v>0.56000000000000005</v>
      </c>
      <c r="C173" s="143">
        <f>VLOOKUP($A173,'Data shares'!$C:$FA,119)</f>
        <v>0.53</v>
      </c>
      <c r="D173" s="143">
        <f>VLOOKUP($A173,'Data shares'!$C:$FA,121)*100</f>
        <v>5.66</v>
      </c>
      <c r="E173" s="143">
        <f>VLOOKUP($A173,'Data shares'!$C:$FA,124)</f>
        <v>0.51</v>
      </c>
      <c r="F173" s="143">
        <f>VLOOKUP($A173,'Data shares'!$C:$FA,125)</f>
        <v>0.5</v>
      </c>
      <c r="G173" s="143">
        <f>VLOOKUP($A173,'Data shares'!$C:$FA,127)*100</f>
        <v>2</v>
      </c>
      <c r="H173" s="103">
        <f>VLOOKUP($A173,'OI(Volume)'!$A$7:$O$427,8)</f>
        <v>27152900</v>
      </c>
      <c r="I173" s="103">
        <f>VLOOKUP($A173,'OI(Volume)'!$A$7:$O$427,9)</f>
        <v>-1273000</v>
      </c>
      <c r="J173" s="103">
        <f>VLOOKUP($A173,'OI(Volume)'!$A$7:$O$427,11)</f>
        <v>15234200</v>
      </c>
      <c r="K173" s="103">
        <f>VLOOKUP($A173,'OI(Volume)'!$A$7:$O$427,12)</f>
        <v>129200</v>
      </c>
      <c r="L173" s="103">
        <f>VLOOKUP($A173,'OI(Value)'!$A$7:$O$306,8,0)</f>
        <v>792</v>
      </c>
      <c r="M173" s="103">
        <f>VLOOKUP($A173,'OI(Value)'!$A$7:$O$306,9,0)</f>
        <v>-37</v>
      </c>
      <c r="N173" s="103">
        <f>VLOOKUP($A173,'OI(Value)'!$A$7:$O$306,11,0)</f>
        <v>444</v>
      </c>
      <c r="O173" s="103">
        <f>VLOOKUP($A173,'OI(Value)'!$A$7:$O$306,12,0)</f>
        <v>4</v>
      </c>
    </row>
    <row r="174" spans="1:19" x14ac:dyDescent="0.25">
      <c r="A174" s="105" t="str">
        <f>'Data shares'!C169</f>
        <v>POWERINDIA</v>
      </c>
      <c r="B174" s="143">
        <f>VLOOKUP($A174,'Data shares'!$C:$FA,118)</f>
        <v>0.25</v>
      </c>
      <c r="C174" s="143">
        <f>VLOOKUP($A174,'Data shares'!$C:$FA,119)</f>
        <v>0.21</v>
      </c>
      <c r="D174" s="143">
        <f>VLOOKUP($A174,'Data shares'!$C:$FA,121)*100</f>
        <v>19.05</v>
      </c>
      <c r="E174" s="143">
        <f>VLOOKUP($A174,'Data shares'!$C:$FA,124)</f>
        <v>1.03</v>
      </c>
      <c r="F174" s="143">
        <f>VLOOKUP($A174,'Data shares'!$C:$FA,125)</f>
        <v>0.18</v>
      </c>
      <c r="G174" s="143">
        <f>VLOOKUP($A174,'Data shares'!$C:$FA,127)*100</f>
        <v>472.21999999999997</v>
      </c>
      <c r="H174" s="103">
        <f>VLOOKUP($A174,'OI(Volume)'!$A$7:$O$427,8)</f>
        <v>83700</v>
      </c>
      <c r="I174" s="103">
        <f>VLOOKUP($A174,'OI(Volume)'!$A$7:$O$427,9)</f>
        <v>-10400</v>
      </c>
      <c r="J174" s="103">
        <f>VLOOKUP($A174,'OI(Volume)'!$A$7:$O$427,11)</f>
        <v>20800</v>
      </c>
      <c r="K174" s="103">
        <f>VLOOKUP($A174,'OI(Volume)'!$A$7:$O$427,12)</f>
        <v>1500</v>
      </c>
      <c r="L174" s="103">
        <f>VLOOKUP($A174,'OI(Value)'!$A$7:$O$306,8,0)</f>
        <v>140</v>
      </c>
      <c r="M174" s="103">
        <f>VLOOKUP($A174,'OI(Value)'!$A$7:$O$306,9,0)</f>
        <v>-17</v>
      </c>
      <c r="N174" s="103">
        <f>VLOOKUP($A174,'OI(Value)'!$A$7:$O$306,11,0)</f>
        <v>35</v>
      </c>
      <c r="O174" s="103">
        <f>VLOOKUP($A174,'OI(Value)'!$A$7:$O$306,12,0)</f>
        <v>3</v>
      </c>
    </row>
    <row r="175" spans="1:19" x14ac:dyDescent="0.25">
      <c r="A175" s="105" t="str">
        <f>'Data shares'!C170</f>
        <v>PPLPHARMA</v>
      </c>
      <c r="B175" s="143">
        <f>VLOOKUP($A175,'Data shares'!$C:$FA,118)</f>
        <v>0.84</v>
      </c>
      <c r="C175" s="143">
        <f>VLOOKUP($A175,'Data shares'!$C:$FA,119)</f>
        <v>0.74</v>
      </c>
      <c r="D175" s="143">
        <f>VLOOKUP($A175,'Data shares'!$C:$FA,121)*100</f>
        <v>13.51</v>
      </c>
      <c r="E175" s="143">
        <f>VLOOKUP($A175,'Data shares'!$C:$FA,124)</f>
        <v>0.56000000000000005</v>
      </c>
      <c r="F175" s="143">
        <f>VLOOKUP($A175,'Data shares'!$C:$FA,125)</f>
        <v>0.47</v>
      </c>
      <c r="G175" s="143">
        <f>VLOOKUP($A175,'Data shares'!$C:$FA,127)*100</f>
        <v>19.149999999999999</v>
      </c>
      <c r="H175" s="103">
        <f>VLOOKUP($A175,'OI(Volume)'!$A$7:$O$427,8)</f>
        <v>11457500</v>
      </c>
      <c r="I175" s="103">
        <f>VLOOKUP($A175,'OI(Volume)'!$A$7:$O$427,9)</f>
        <v>-1855000</v>
      </c>
      <c r="J175" s="103">
        <f>VLOOKUP($A175,'OI(Volume)'!$A$7:$O$427,11)</f>
        <v>9567500</v>
      </c>
      <c r="K175" s="103">
        <f>VLOOKUP($A175,'OI(Volume)'!$A$7:$O$427,12)</f>
        <v>-285000</v>
      </c>
      <c r="L175" s="103">
        <f>VLOOKUP($A175,'OI(Value)'!$A$7:$O$306,8,0)</f>
        <v>233</v>
      </c>
      <c r="M175" s="103">
        <f>VLOOKUP($A175,'OI(Value)'!$A$7:$O$306,9,0)</f>
        <v>-38</v>
      </c>
      <c r="N175" s="103">
        <f>VLOOKUP($A175,'OI(Value)'!$A$7:$O$306,11,0)</f>
        <v>195</v>
      </c>
      <c r="O175" s="103">
        <f>VLOOKUP($A175,'OI(Value)'!$A$7:$O$306,12,0)</f>
        <v>-6</v>
      </c>
    </row>
    <row r="176" spans="1:19" x14ac:dyDescent="0.25">
      <c r="A176" s="105" t="str">
        <f>'Data shares'!C171</f>
        <v>PRESTIGE</v>
      </c>
      <c r="B176" s="143">
        <f>VLOOKUP($A176,'Data shares'!$C:$FA,118)</f>
        <v>0.87</v>
      </c>
      <c r="C176" s="143">
        <f>VLOOKUP($A176,'Data shares'!$C:$FA,119)</f>
        <v>0.92</v>
      </c>
      <c r="D176" s="143">
        <f>VLOOKUP($A176,'Data shares'!$C:$FA,121)*100</f>
        <v>-5.43</v>
      </c>
      <c r="E176" s="143">
        <f>VLOOKUP($A176,'Data shares'!$C:$FA,124)</f>
        <v>0.28000000000000003</v>
      </c>
      <c r="F176" s="143">
        <f>VLOOKUP($A176,'Data shares'!$C:$FA,125)</f>
        <v>0.37</v>
      </c>
      <c r="G176" s="143">
        <f>VLOOKUP($A176,'Data shares'!$C:$FA,127)*100</f>
        <v>-24.32</v>
      </c>
      <c r="H176" s="103">
        <f>VLOOKUP($A176,'OI(Volume)'!$A$7:$O$427,8)</f>
        <v>1522800</v>
      </c>
      <c r="I176" s="103">
        <f>VLOOKUP($A176,'OI(Volume)'!$A$7:$O$427,9)</f>
        <v>-30150</v>
      </c>
      <c r="J176" s="103">
        <f>VLOOKUP($A176,'OI(Volume)'!$A$7:$O$427,11)</f>
        <v>1325700</v>
      </c>
      <c r="K176" s="103">
        <f>VLOOKUP($A176,'OI(Volume)'!$A$7:$O$427,12)</f>
        <v>-104400</v>
      </c>
      <c r="L176" s="103">
        <f>VLOOKUP($A176,'OI(Value)'!$A$7:$O$306,8,0)</f>
        <v>272</v>
      </c>
      <c r="M176" s="103">
        <f>VLOOKUP($A176,'OI(Value)'!$A$7:$O$306,9,0)</f>
        <v>-5</v>
      </c>
      <c r="N176" s="103">
        <f>VLOOKUP($A176,'OI(Value)'!$A$7:$O$306,11,0)</f>
        <v>237</v>
      </c>
      <c r="O176" s="103">
        <f>VLOOKUP($A176,'OI(Value)'!$A$7:$O$306,12,0)</f>
        <v>-19</v>
      </c>
    </row>
    <row r="177" spans="1:15" x14ac:dyDescent="0.25">
      <c r="A177" s="105" t="str">
        <f>'Data shares'!C172</f>
        <v>RBLBANK</v>
      </c>
      <c r="B177" s="143">
        <f>VLOOKUP($A177,'Data shares'!$C:$FA,118)</f>
        <v>0.8</v>
      </c>
      <c r="C177" s="143">
        <f>VLOOKUP($A177,'Data shares'!$C:$FA,119)</f>
        <v>0.79</v>
      </c>
      <c r="D177" s="143">
        <f>VLOOKUP($A177,'Data shares'!$C:$FA,121)*100</f>
        <v>1.27</v>
      </c>
      <c r="E177" s="143">
        <f>VLOOKUP($A177,'Data shares'!$C:$FA,124)</f>
        <v>0.35</v>
      </c>
      <c r="F177" s="143">
        <f>VLOOKUP($A177,'Data shares'!$C:$FA,125)</f>
        <v>0.57999999999999996</v>
      </c>
      <c r="G177" s="143">
        <f>VLOOKUP($A177,'Data shares'!$C:$FA,127)*100</f>
        <v>-39.660000000000004</v>
      </c>
      <c r="H177" s="103">
        <f>VLOOKUP($A177,'OI(Volume)'!$A$7:$O$427,8)</f>
        <v>24352250</v>
      </c>
      <c r="I177" s="103">
        <f>VLOOKUP($A177,'OI(Volume)'!$A$7:$O$427,9)</f>
        <v>2371725</v>
      </c>
      <c r="J177" s="103">
        <f>VLOOKUP($A177,'OI(Volume)'!$A$7:$O$427,11)</f>
        <v>19558000</v>
      </c>
      <c r="K177" s="103">
        <f>VLOOKUP($A177,'OI(Volume)'!$A$7:$O$427,12)</f>
        <v>2209800</v>
      </c>
      <c r="L177" s="103">
        <f>VLOOKUP($A177,'OI(Value)'!$A$7:$O$306,8,0)</f>
        <v>785</v>
      </c>
      <c r="M177" s="103">
        <f>VLOOKUP($A177,'OI(Value)'!$A$7:$O$306,9,0)</f>
        <v>76</v>
      </c>
      <c r="N177" s="103">
        <f>VLOOKUP($A177,'OI(Value)'!$A$7:$O$306,11,0)</f>
        <v>630</v>
      </c>
      <c r="O177" s="103">
        <f>VLOOKUP($A177,'OI(Value)'!$A$7:$O$306,12,0)</f>
        <v>71</v>
      </c>
    </row>
    <row r="178" spans="1:15" x14ac:dyDescent="0.25">
      <c r="A178" s="105" t="str">
        <f>'Data shares'!C173</f>
        <v>RECLTD</v>
      </c>
      <c r="B178" s="143">
        <f>VLOOKUP($A178,'Data shares'!$C:$FA,118)</f>
        <v>0.84</v>
      </c>
      <c r="C178" s="143">
        <f>VLOOKUP($A178,'Data shares'!$C:$FA,119)</f>
        <v>0.86</v>
      </c>
      <c r="D178" s="143">
        <f>VLOOKUP($A178,'Data shares'!$C:$FA,121)*100</f>
        <v>-2.33</v>
      </c>
      <c r="E178" s="143">
        <f>VLOOKUP($A178,'Data shares'!$C:$FA,124)</f>
        <v>0.74</v>
      </c>
      <c r="F178" s="143">
        <f>VLOOKUP($A178,'Data shares'!$C:$FA,125)</f>
        <v>0.59</v>
      </c>
      <c r="G178" s="143">
        <f>VLOOKUP($A178,'Data shares'!$C:$FA,127)*100</f>
        <v>25.419999999999998</v>
      </c>
      <c r="H178" s="103">
        <f>VLOOKUP($A178,'OI(Volume)'!$A$7:$O$427,8)</f>
        <v>33362925</v>
      </c>
      <c r="I178" s="103">
        <f>VLOOKUP($A178,'OI(Volume)'!$A$7:$O$427,9)</f>
        <v>-471750</v>
      </c>
      <c r="J178" s="103">
        <f>VLOOKUP($A178,'OI(Volume)'!$A$7:$O$427,11)</f>
        <v>28123950</v>
      </c>
      <c r="K178" s="103">
        <f>VLOOKUP($A178,'OI(Volume)'!$A$7:$O$427,12)</f>
        <v>-920550</v>
      </c>
      <c r="L178" s="103">
        <f>VLOOKUP($A178,'OI(Value)'!$A$7:$O$306,8,0)</f>
        <v>1247</v>
      </c>
      <c r="M178" s="103">
        <f>VLOOKUP($A178,'OI(Value)'!$A$7:$O$306,9,0)</f>
        <v>-18</v>
      </c>
      <c r="N178" s="103">
        <f>VLOOKUP($A178,'OI(Value)'!$A$7:$O$306,11,0)</f>
        <v>1051</v>
      </c>
      <c r="O178" s="103">
        <f>VLOOKUP($A178,'OI(Value)'!$A$7:$O$306,12,0)</f>
        <v>-34</v>
      </c>
    </row>
    <row r="179" spans="1:15" x14ac:dyDescent="0.25">
      <c r="A179" s="105" t="str">
        <f>'Data shares'!C174</f>
        <v>RELIANCE</v>
      </c>
      <c r="B179" s="143">
        <f>VLOOKUP($A179,'Data shares'!$C:$FA,118)</f>
        <v>0.81</v>
      </c>
      <c r="C179" s="143">
        <f>VLOOKUP($A179,'Data shares'!$C:$FA,119)</f>
        <v>0.73</v>
      </c>
      <c r="D179" s="143">
        <f>VLOOKUP($A179,'Data shares'!$C:$FA,121)*100</f>
        <v>10.96</v>
      </c>
      <c r="E179" s="143">
        <f>VLOOKUP($A179,'Data shares'!$C:$FA,124)</f>
        <v>0.56000000000000005</v>
      </c>
      <c r="F179" s="143">
        <f>VLOOKUP($A179,'Data shares'!$C:$FA,125)</f>
        <v>0.67</v>
      </c>
      <c r="G179" s="143">
        <f>VLOOKUP($A179,'Data shares'!$C:$FA,127)*100</f>
        <v>-16.420000000000002</v>
      </c>
      <c r="H179" s="103">
        <f>VLOOKUP($A179,'OI(Volume)'!$A$7:$O$427,8)</f>
        <v>46793500</v>
      </c>
      <c r="I179" s="103">
        <f>VLOOKUP($A179,'OI(Volume)'!$A$7:$O$427,9)</f>
        <v>-2508500</v>
      </c>
      <c r="J179" s="103">
        <f>VLOOKUP($A179,'OI(Volume)'!$A$7:$O$427,11)</f>
        <v>38078000</v>
      </c>
      <c r="K179" s="103">
        <f>VLOOKUP($A179,'OI(Volume)'!$A$7:$O$427,12)</f>
        <v>2116500</v>
      </c>
      <c r="L179" s="103">
        <f>VLOOKUP($A179,'OI(Value)'!$A$7:$O$306,8,0)</f>
        <v>6936</v>
      </c>
      <c r="M179" s="103">
        <f>VLOOKUP($A179,'OI(Value)'!$A$7:$O$306,9,0)</f>
        <v>-372</v>
      </c>
      <c r="N179" s="103">
        <f>VLOOKUP($A179,'OI(Value)'!$A$7:$O$306,11,0)</f>
        <v>5644</v>
      </c>
      <c r="O179" s="103">
        <f>VLOOKUP($A179,'OI(Value)'!$A$7:$O$306,12,0)</f>
        <v>314</v>
      </c>
    </row>
    <row r="180" spans="1:15" x14ac:dyDescent="0.25">
      <c r="A180" s="105" t="str">
        <f>'Data shares'!C175</f>
        <v>RVNL</v>
      </c>
      <c r="B180" s="143">
        <f>VLOOKUP($A180,'Data shares'!$C:$FA,118)</f>
        <v>0.42</v>
      </c>
      <c r="C180" s="143">
        <f>VLOOKUP($A180,'Data shares'!$C:$FA,119)</f>
        <v>0.42</v>
      </c>
      <c r="D180" s="143">
        <f>VLOOKUP($A180,'Data shares'!$C:$FA,121)*100</f>
        <v>0</v>
      </c>
      <c r="E180" s="143">
        <f>VLOOKUP($A180,'Data shares'!$C:$FA,124)</f>
        <v>0.28000000000000003</v>
      </c>
      <c r="F180" s="143">
        <f>VLOOKUP($A180,'Data shares'!$C:$FA,125)</f>
        <v>0.3</v>
      </c>
      <c r="G180" s="143">
        <f>VLOOKUP($A180,'Data shares'!$C:$FA,127)*100</f>
        <v>-6.67</v>
      </c>
      <c r="H180" s="103">
        <f>VLOOKUP($A180,'OI(Volume)'!$A$7:$O$427,8)</f>
        <v>18621625</v>
      </c>
      <c r="I180" s="103">
        <f>VLOOKUP($A180,'OI(Volume)'!$A$7:$O$427,9)</f>
        <v>-625625</v>
      </c>
      <c r="J180" s="103">
        <f>VLOOKUP($A180,'OI(Volume)'!$A$7:$O$427,11)</f>
        <v>7852625</v>
      </c>
      <c r="K180" s="103">
        <f>VLOOKUP($A180,'OI(Volume)'!$A$7:$O$427,12)</f>
        <v>-265375</v>
      </c>
      <c r="L180" s="103">
        <f>VLOOKUP($A180,'OI(Value)'!$A$7:$O$306,8,0)</f>
        <v>616</v>
      </c>
      <c r="M180" s="103">
        <f>VLOOKUP($A180,'OI(Value)'!$A$7:$O$306,9,0)</f>
        <v>-21</v>
      </c>
      <c r="N180" s="103">
        <f>VLOOKUP($A180,'OI(Value)'!$A$7:$O$306,11,0)</f>
        <v>260</v>
      </c>
      <c r="O180" s="103">
        <f>VLOOKUP($A180,'OI(Value)'!$A$7:$O$306,12,0)</f>
        <v>-9</v>
      </c>
    </row>
    <row r="181" spans="1:15" x14ac:dyDescent="0.25">
      <c r="A181" s="105" t="str">
        <f>'Data shares'!C176</f>
        <v>SAIL</v>
      </c>
      <c r="B181" s="143">
        <f>VLOOKUP($A181,'Data shares'!$C:$FA,118)</f>
        <v>0.63</v>
      </c>
      <c r="C181" s="143">
        <f>VLOOKUP($A181,'Data shares'!$C:$FA,119)</f>
        <v>0.57999999999999996</v>
      </c>
      <c r="D181" s="143">
        <f>VLOOKUP($A181,'Data shares'!$C:$FA,121)*100</f>
        <v>8.6199999999999992</v>
      </c>
      <c r="E181" s="143">
        <f>VLOOKUP($A181,'Data shares'!$C:$FA,124)</f>
        <v>0.27</v>
      </c>
      <c r="F181" s="143">
        <f>VLOOKUP($A181,'Data shares'!$C:$FA,125)</f>
        <v>0.53</v>
      </c>
      <c r="G181" s="143">
        <f>VLOOKUP($A181,'Data shares'!$C:$FA,127)*100</f>
        <v>-49.059999999999995</v>
      </c>
      <c r="H181" s="103">
        <f>VLOOKUP($A181,'OI(Volume)'!$A$7:$O$427,8)</f>
        <v>57100300</v>
      </c>
      <c r="I181" s="103">
        <f>VLOOKUP($A181,'OI(Volume)'!$A$7:$O$427,9)</f>
        <v>-7693900</v>
      </c>
      <c r="J181" s="103">
        <f>VLOOKUP($A181,'OI(Volume)'!$A$7:$O$427,11)</f>
        <v>35856300</v>
      </c>
      <c r="K181" s="103">
        <f>VLOOKUP($A181,'OI(Volume)'!$A$7:$O$427,12)</f>
        <v>-1955200</v>
      </c>
      <c r="L181" s="103">
        <f>VLOOKUP($A181,'OI(Value)'!$A$7:$O$306,8,0)</f>
        <v>745</v>
      </c>
      <c r="M181" s="103">
        <f>VLOOKUP($A181,'OI(Value)'!$A$7:$O$306,9,0)</f>
        <v>-100</v>
      </c>
      <c r="N181" s="103">
        <f>VLOOKUP($A181,'OI(Value)'!$A$7:$O$306,11,0)</f>
        <v>468</v>
      </c>
      <c r="O181" s="103">
        <f>VLOOKUP($A181,'OI(Value)'!$A$7:$O$306,12,0)</f>
        <v>-26</v>
      </c>
    </row>
    <row r="182" spans="1:15" x14ac:dyDescent="0.25">
      <c r="A182" s="105" t="str">
        <f>'Data shares'!C177</f>
        <v>SAMMAANCAP</v>
      </c>
      <c r="B182" s="143">
        <f>VLOOKUP($A182,'Data shares'!$C:$FA,118)</f>
        <v>1.17</v>
      </c>
      <c r="C182" s="143">
        <f>VLOOKUP($A182,'Data shares'!$C:$FA,119)</f>
        <v>1.1000000000000001</v>
      </c>
      <c r="D182" s="143">
        <f>VLOOKUP($A182,'Data shares'!$C:$FA,121)*100</f>
        <v>6.36</v>
      </c>
      <c r="E182" s="143">
        <f>VLOOKUP($A182,'Data shares'!$C:$FA,124)</f>
        <v>0.73</v>
      </c>
      <c r="F182" s="143">
        <f>VLOOKUP($A182,'Data shares'!$C:$FA,125)</f>
        <v>0.4</v>
      </c>
      <c r="G182" s="143">
        <f>VLOOKUP($A182,'Data shares'!$C:$FA,127)*100</f>
        <v>82.5</v>
      </c>
      <c r="H182" s="103">
        <f>VLOOKUP($A182,'OI(Volume)'!$A$7:$O$427,8)</f>
        <v>31712500</v>
      </c>
      <c r="I182" s="103">
        <f>VLOOKUP($A182,'OI(Volume)'!$A$7:$O$427,9)</f>
        <v>-4760100</v>
      </c>
      <c r="J182" s="103">
        <f>VLOOKUP($A182,'OI(Volume)'!$A$7:$O$427,11)</f>
        <v>37048800</v>
      </c>
      <c r="K182" s="103">
        <f>VLOOKUP($A182,'OI(Volume)'!$A$7:$O$427,12)</f>
        <v>-3044400</v>
      </c>
      <c r="L182" s="103">
        <f>VLOOKUP($A182,'OI(Value)'!$A$7:$O$306,8,0)</f>
        <v>600</v>
      </c>
      <c r="M182" s="103">
        <f>VLOOKUP($A182,'OI(Value)'!$A$7:$O$306,9,0)</f>
        <v>-90</v>
      </c>
      <c r="N182" s="103">
        <f>VLOOKUP($A182,'OI(Value)'!$A$7:$O$306,11,0)</f>
        <v>701</v>
      </c>
      <c r="O182" s="103">
        <f>VLOOKUP($A182,'OI(Value)'!$A$7:$O$306,12,0)</f>
        <v>-58</v>
      </c>
    </row>
    <row r="183" spans="1:15" x14ac:dyDescent="0.25">
      <c r="A183" s="105" t="str">
        <f>'Data shares'!C178</f>
        <v>SBICARD</v>
      </c>
      <c r="B183" s="143">
        <f>VLOOKUP($A183,'Data shares'!$C:$FA,118)</f>
        <v>0.51</v>
      </c>
      <c r="C183" s="143">
        <f>VLOOKUP($A183,'Data shares'!$C:$FA,119)</f>
        <v>0.73</v>
      </c>
      <c r="D183" s="143">
        <f>VLOOKUP($A183,'Data shares'!$C:$FA,121)*100</f>
        <v>-30.14</v>
      </c>
      <c r="E183" s="143">
        <f>VLOOKUP($A183,'Data shares'!$C:$FA,124)</f>
        <v>0.55000000000000004</v>
      </c>
      <c r="F183" s="143">
        <f>VLOOKUP($A183,'Data shares'!$C:$FA,125)</f>
        <v>0.59</v>
      </c>
      <c r="G183" s="143">
        <f>VLOOKUP($A183,'Data shares'!$C:$FA,127)*100</f>
        <v>-6.78</v>
      </c>
      <c r="H183" s="103">
        <f>VLOOKUP($A183,'OI(Volume)'!$A$7:$O$427,8)</f>
        <v>10960800</v>
      </c>
      <c r="I183" s="103">
        <f>VLOOKUP($A183,'OI(Volume)'!$A$7:$O$427,9)</f>
        <v>1404000</v>
      </c>
      <c r="J183" s="103">
        <f>VLOOKUP($A183,'OI(Volume)'!$A$7:$O$427,11)</f>
        <v>5604000</v>
      </c>
      <c r="K183" s="103">
        <f>VLOOKUP($A183,'OI(Volume)'!$A$7:$O$427,12)</f>
        <v>-1410400</v>
      </c>
      <c r="L183" s="103">
        <f>VLOOKUP($A183,'OI(Value)'!$A$7:$O$306,8,0)</f>
        <v>987</v>
      </c>
      <c r="M183" s="103">
        <f>VLOOKUP($A183,'OI(Value)'!$A$7:$O$306,9,0)</f>
        <v>126</v>
      </c>
      <c r="N183" s="103">
        <f>VLOOKUP($A183,'OI(Value)'!$A$7:$O$306,11,0)</f>
        <v>505</v>
      </c>
      <c r="O183" s="103">
        <f>VLOOKUP($A183,'OI(Value)'!$A$7:$O$306,12,0)</f>
        <v>-127</v>
      </c>
    </row>
    <row r="184" spans="1:15" x14ac:dyDescent="0.25">
      <c r="A184" s="105" t="str">
        <f>'Data shares'!C179</f>
        <v>SBILIFE</v>
      </c>
      <c r="B184" s="143">
        <f>VLOOKUP($A184,'Data shares'!$C:$FA,118)</f>
        <v>0.7</v>
      </c>
      <c r="C184" s="143">
        <f>VLOOKUP($A184,'Data shares'!$C:$FA,119)</f>
        <v>0.56000000000000005</v>
      </c>
      <c r="D184" s="143">
        <f>VLOOKUP($A184,'Data shares'!$C:$FA,121)*100</f>
        <v>25</v>
      </c>
      <c r="E184" s="143">
        <f>VLOOKUP($A184,'Data shares'!$C:$FA,124)</f>
        <v>0.48</v>
      </c>
      <c r="F184" s="143">
        <f>VLOOKUP($A184,'Data shares'!$C:$FA,125)</f>
        <v>0.73</v>
      </c>
      <c r="G184" s="143">
        <f>VLOOKUP($A184,'Data shares'!$C:$FA,127)*100</f>
        <v>-34.25</v>
      </c>
      <c r="H184" s="103">
        <f>VLOOKUP($A184,'OI(Volume)'!$A$7:$O$427,8)</f>
        <v>4043625</v>
      </c>
      <c r="I184" s="103">
        <f>VLOOKUP($A184,'OI(Volume)'!$A$7:$O$427,9)</f>
        <v>441000</v>
      </c>
      <c r="J184" s="103">
        <f>VLOOKUP($A184,'OI(Volume)'!$A$7:$O$427,11)</f>
        <v>2850000</v>
      </c>
      <c r="K184" s="103">
        <f>VLOOKUP($A184,'OI(Volume)'!$A$7:$O$427,12)</f>
        <v>833625</v>
      </c>
      <c r="L184" s="103">
        <f>VLOOKUP($A184,'OI(Value)'!$A$7:$O$306,8,0)</f>
        <v>768</v>
      </c>
      <c r="M184" s="103">
        <f>VLOOKUP($A184,'OI(Value)'!$A$7:$O$306,9,0)</f>
        <v>84</v>
      </c>
      <c r="N184" s="103">
        <f>VLOOKUP($A184,'OI(Value)'!$A$7:$O$306,11,0)</f>
        <v>541</v>
      </c>
      <c r="O184" s="103">
        <f>VLOOKUP($A184,'OI(Value)'!$A$7:$O$306,12,0)</f>
        <v>158</v>
      </c>
    </row>
    <row r="185" spans="1:15" x14ac:dyDescent="0.25">
      <c r="A185" s="105" t="str">
        <f>'Data shares'!C180</f>
        <v>SBIN</v>
      </c>
      <c r="B185" s="143">
        <f>VLOOKUP($A185,'Data shares'!$C:$FA,118)</f>
        <v>0.86</v>
      </c>
      <c r="C185" s="143">
        <f>VLOOKUP($A185,'Data shares'!$C:$FA,119)</f>
        <v>0.78</v>
      </c>
      <c r="D185" s="143">
        <f>VLOOKUP($A185,'Data shares'!$C:$FA,121)*100</f>
        <v>10.26</v>
      </c>
      <c r="E185" s="143">
        <f>VLOOKUP($A185,'Data shares'!$C:$FA,124)</f>
        <v>0.48</v>
      </c>
      <c r="F185" s="143">
        <f>VLOOKUP($A185,'Data shares'!$C:$FA,125)</f>
        <v>0.73</v>
      </c>
      <c r="G185" s="143">
        <f>VLOOKUP($A185,'Data shares'!$C:$FA,127)*100</f>
        <v>-34.25</v>
      </c>
      <c r="H185" s="103">
        <f>VLOOKUP($A185,'OI(Volume)'!$A$7:$O$427,8)</f>
        <v>52255500</v>
      </c>
      <c r="I185" s="103">
        <f>VLOOKUP($A185,'OI(Volume)'!$A$7:$O$427,9)</f>
        <v>-1863000</v>
      </c>
      <c r="J185" s="103">
        <f>VLOOKUP($A185,'OI(Volume)'!$A$7:$O$427,11)</f>
        <v>45009750</v>
      </c>
      <c r="K185" s="103">
        <f>VLOOKUP($A185,'OI(Volume)'!$A$7:$O$427,12)</f>
        <v>2749500</v>
      </c>
      <c r="L185" s="103">
        <f>VLOOKUP($A185,'OI(Value)'!$A$7:$O$306,8,0)</f>
        <v>4815</v>
      </c>
      <c r="M185" s="103">
        <f>VLOOKUP($A185,'OI(Value)'!$A$7:$O$306,9,0)</f>
        <v>-172</v>
      </c>
      <c r="N185" s="103">
        <f>VLOOKUP($A185,'OI(Value)'!$A$7:$O$306,11,0)</f>
        <v>4148</v>
      </c>
      <c r="O185" s="103">
        <f>VLOOKUP($A185,'OI(Value)'!$A$7:$O$306,12,0)</f>
        <v>253</v>
      </c>
    </row>
    <row r="186" spans="1:15" x14ac:dyDescent="0.25">
      <c r="A186" s="105" t="str">
        <f>'Data shares'!C181</f>
        <v>SHREECEM</v>
      </c>
      <c r="B186" s="143">
        <f>VLOOKUP($A186,'Data shares'!$C:$FA,118)</f>
        <v>0.6</v>
      </c>
      <c r="C186" s="143">
        <f>VLOOKUP($A186,'Data shares'!$C:$FA,119)</f>
        <v>0.55000000000000004</v>
      </c>
      <c r="D186" s="143">
        <f>VLOOKUP($A186,'Data shares'!$C:$FA,121)*100</f>
        <v>9.09</v>
      </c>
      <c r="E186" s="143">
        <f>VLOOKUP($A186,'Data shares'!$C:$FA,124)</f>
        <v>0.27</v>
      </c>
      <c r="F186" s="143">
        <f>VLOOKUP($A186,'Data shares'!$C:$FA,125)</f>
        <v>0.17</v>
      </c>
      <c r="G186" s="143">
        <f>VLOOKUP($A186,'Data shares'!$C:$FA,127)*100</f>
        <v>58.819999999999993</v>
      </c>
      <c r="H186" s="103">
        <f>VLOOKUP($A186,'OI(Volume)'!$A$7:$O$427,8)</f>
        <v>59325</v>
      </c>
      <c r="I186" s="103">
        <f>VLOOKUP($A186,'OI(Volume)'!$A$7:$O$427,9)</f>
        <v>-1225</v>
      </c>
      <c r="J186" s="103">
        <f>VLOOKUP($A186,'OI(Volume)'!$A$7:$O$427,11)</f>
        <v>35725</v>
      </c>
      <c r="K186" s="103">
        <f>VLOOKUP($A186,'OI(Volume)'!$A$7:$O$427,12)</f>
        <v>2425</v>
      </c>
      <c r="L186" s="103">
        <f>VLOOKUP($A186,'OI(Value)'!$A$7:$O$306,8,0)</f>
        <v>169</v>
      </c>
      <c r="M186" s="103">
        <f>VLOOKUP($A186,'OI(Value)'!$A$7:$O$306,9,0)</f>
        <v>-3</v>
      </c>
      <c r="N186" s="103">
        <f>VLOOKUP($A186,'OI(Value)'!$A$7:$O$306,11,0)</f>
        <v>102</v>
      </c>
      <c r="O186" s="103">
        <f>VLOOKUP($A186,'OI(Value)'!$A$7:$O$306,12,0)</f>
        <v>7</v>
      </c>
    </row>
    <row r="187" spans="1:15" x14ac:dyDescent="0.25">
      <c r="A187" s="105" t="str">
        <f>'Data shares'!C182</f>
        <v>SHRIRAMFIN</v>
      </c>
      <c r="B187" s="143">
        <f>VLOOKUP($A187,'Data shares'!$C:$FA,118)</f>
        <v>1.03</v>
      </c>
      <c r="C187" s="143">
        <f>VLOOKUP($A187,'Data shares'!$C:$FA,119)</f>
        <v>1.03</v>
      </c>
      <c r="D187" s="143">
        <f>VLOOKUP($A187,'Data shares'!$C:$FA,121)*100</f>
        <v>0</v>
      </c>
      <c r="E187" s="143">
        <f>VLOOKUP($A187,'Data shares'!$C:$FA,124)</f>
        <v>0.61</v>
      </c>
      <c r="F187" s="143">
        <f>VLOOKUP($A187,'Data shares'!$C:$FA,125)</f>
        <v>0.45</v>
      </c>
      <c r="G187" s="143">
        <f>VLOOKUP($A187,'Data shares'!$C:$FA,127)*100</f>
        <v>35.56</v>
      </c>
      <c r="H187" s="103">
        <f>VLOOKUP($A187,'OI(Volume)'!$A$7:$O$427,8)</f>
        <v>8943825</v>
      </c>
      <c r="I187" s="103">
        <f>VLOOKUP($A187,'OI(Volume)'!$A$7:$O$427,9)</f>
        <v>181500</v>
      </c>
      <c r="J187" s="103">
        <f>VLOOKUP($A187,'OI(Volume)'!$A$7:$O$427,11)</f>
        <v>9253200</v>
      </c>
      <c r="K187" s="103">
        <f>VLOOKUP($A187,'OI(Volume)'!$A$7:$O$427,12)</f>
        <v>218625</v>
      </c>
      <c r="L187" s="103">
        <f>VLOOKUP($A187,'OI(Value)'!$A$7:$O$306,8,0)</f>
        <v>644</v>
      </c>
      <c r="M187" s="103">
        <f>VLOOKUP($A187,'OI(Value)'!$A$7:$O$306,9,0)</f>
        <v>13</v>
      </c>
      <c r="N187" s="103">
        <f>VLOOKUP($A187,'OI(Value)'!$A$7:$O$306,11,0)</f>
        <v>666</v>
      </c>
      <c r="O187" s="103">
        <f>VLOOKUP($A187,'OI(Value)'!$A$7:$O$306,12,0)</f>
        <v>16</v>
      </c>
    </row>
    <row r="188" spans="1:15" x14ac:dyDescent="0.25">
      <c r="A188" s="105" t="str">
        <f>'Data shares'!C183</f>
        <v>SIEMENS</v>
      </c>
      <c r="B188" s="143">
        <f>VLOOKUP($A188,'Data shares'!$C:$FA,118)</f>
        <v>0.42</v>
      </c>
      <c r="C188" s="143">
        <f>VLOOKUP($A188,'Data shares'!$C:$FA,119)</f>
        <v>0.41</v>
      </c>
      <c r="D188" s="143">
        <f>VLOOKUP($A188,'Data shares'!$C:$FA,121)*100</f>
        <v>2.44</v>
      </c>
      <c r="E188" s="143">
        <f>VLOOKUP($A188,'Data shares'!$C:$FA,124)</f>
        <v>0.36</v>
      </c>
      <c r="F188" s="143">
        <f>VLOOKUP($A188,'Data shares'!$C:$FA,125)</f>
        <v>0.39</v>
      </c>
      <c r="G188" s="143">
        <f>VLOOKUP($A188,'Data shares'!$C:$FA,127)*100</f>
        <v>-7.6899999999999995</v>
      </c>
      <c r="H188" s="103">
        <f>VLOOKUP($A188,'OI(Volume)'!$A$7:$O$427,8)</f>
        <v>1150750</v>
      </c>
      <c r="I188" s="103">
        <f>VLOOKUP($A188,'OI(Volume)'!$A$7:$O$427,9)</f>
        <v>-156625</v>
      </c>
      <c r="J188" s="103">
        <f>VLOOKUP($A188,'OI(Volume)'!$A$7:$O$427,11)</f>
        <v>484625</v>
      </c>
      <c r="K188" s="103">
        <f>VLOOKUP($A188,'OI(Volume)'!$A$7:$O$427,12)</f>
        <v>-55875</v>
      </c>
      <c r="L188" s="103">
        <f>VLOOKUP($A188,'OI(Value)'!$A$7:$O$306,8,0)</f>
        <v>363</v>
      </c>
      <c r="M188" s="103">
        <f>VLOOKUP($A188,'OI(Value)'!$A$7:$O$306,9,0)</f>
        <v>-49</v>
      </c>
      <c r="N188" s="103">
        <f>VLOOKUP($A188,'OI(Value)'!$A$7:$O$306,11,0)</f>
        <v>153</v>
      </c>
      <c r="O188" s="103">
        <f>VLOOKUP($A188,'OI(Value)'!$A$7:$O$306,12,0)</f>
        <v>-18</v>
      </c>
    </row>
    <row r="189" spans="1:15" x14ac:dyDescent="0.25">
      <c r="A189" s="105" t="str">
        <f>'Data shares'!C184</f>
        <v>SOLARINDS</v>
      </c>
      <c r="B189" s="143">
        <f>VLOOKUP($A189,'Data shares'!$C:$FA,118)</f>
        <v>0.59</v>
      </c>
      <c r="C189" s="143">
        <f>VLOOKUP($A189,'Data shares'!$C:$FA,119)</f>
        <v>0.6</v>
      </c>
      <c r="D189" s="143">
        <f>VLOOKUP($A189,'Data shares'!$C:$FA,121)*100</f>
        <v>-1.67</v>
      </c>
      <c r="E189" s="143">
        <f>VLOOKUP($A189,'Data shares'!$C:$FA,124)</f>
        <v>0.42</v>
      </c>
      <c r="F189" s="143">
        <f>VLOOKUP($A189,'Data shares'!$C:$FA,125)</f>
        <v>0.62</v>
      </c>
      <c r="G189" s="143">
        <f>VLOOKUP($A189,'Data shares'!$C:$FA,127)*100</f>
        <v>-32.26</v>
      </c>
      <c r="H189" s="103">
        <f>VLOOKUP($A189,'OI(Volume)'!$A$7:$O$427,8)</f>
        <v>1150750</v>
      </c>
      <c r="I189" s="103">
        <f>VLOOKUP($A189,'OI(Volume)'!$A$7:$O$427,9)</f>
        <v>-156625</v>
      </c>
      <c r="J189" s="103">
        <f>VLOOKUP($A189,'OI(Volume)'!$A$7:$O$427,11)</f>
        <v>484625</v>
      </c>
      <c r="K189" s="103">
        <f>VLOOKUP($A189,'OI(Volume)'!$A$7:$O$427,12)</f>
        <v>-55875</v>
      </c>
      <c r="L189" s="103"/>
      <c r="M189" s="103"/>
      <c r="N189" s="103"/>
      <c r="O189" s="103"/>
    </row>
    <row r="190" spans="1:15" x14ac:dyDescent="0.25">
      <c r="A190" s="105" t="str">
        <f>'Data shares'!C216</f>
        <v>ZYDUSLIFE</v>
      </c>
      <c r="B190" s="143">
        <f>VLOOKUP($A190,'Data shares'!$C:$FA,118)</f>
        <v>0.75</v>
      </c>
      <c r="C190" s="143">
        <f>VLOOKUP($A190,'Data shares'!$C:$FA,119)</f>
        <v>0.67</v>
      </c>
      <c r="D190" s="143">
        <f>VLOOKUP($A190,'Data shares'!$C:$FA,121)*100</f>
        <v>11.940000000000001</v>
      </c>
      <c r="E190" s="143">
        <f>VLOOKUP($A190,'Data shares'!$C:$FA,124)</f>
        <v>0.41</v>
      </c>
      <c r="F190" s="143">
        <f>VLOOKUP($A190,'Data shares'!$C:$FA,125)</f>
        <v>0.33</v>
      </c>
      <c r="G190" s="143">
        <f>VLOOKUP($A190,'Data shares'!$C:$FA,127)*100</f>
        <v>24.240000000000002</v>
      </c>
      <c r="H190" s="103">
        <f>VLOOKUP($A190,'OI(Volume)'!$A$7:$O$427,8)</f>
        <v>0</v>
      </c>
      <c r="I190" s="103">
        <f>VLOOKUP($A190,'OI(Volume)'!$A$7:$O$427,9)</f>
        <v>0</v>
      </c>
      <c r="J190" s="103">
        <f>VLOOKUP($A190,'OI(Volume)'!$A$7:$O$427,11)</f>
        <v>0</v>
      </c>
      <c r="K190" s="103">
        <f>VLOOKUP($A190,'OI(Volume)'!$A$7:$O$427,12)</f>
        <v>0</v>
      </c>
      <c r="L190" s="103">
        <f>VLOOKUP($A190,'OI(Value)'!$A$7:$O$306,8,0)</f>
        <v>273</v>
      </c>
      <c r="M190" s="103">
        <f>VLOOKUP($A190,'OI(Value)'!$A$7:$O$306,9,0)</f>
        <v>-22</v>
      </c>
      <c r="N190" s="103">
        <f>VLOOKUP($A190,'OI(Value)'!$A$7:$O$306,11,0)</f>
        <v>205</v>
      </c>
      <c r="O190" s="103">
        <f>VLOOKUP($A190,'OI(Value)'!$A$7:$O$306,12,0)</f>
        <v>8</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5930560804</v>
      </c>
      <c r="I192" s="135">
        <f t="shared" si="0"/>
        <v>-126022347</v>
      </c>
      <c r="J192" s="135">
        <f t="shared" si="0"/>
        <v>4521547311</v>
      </c>
      <c r="K192" s="135">
        <f t="shared" si="0"/>
        <v>369488409</v>
      </c>
      <c r="L192" s="135">
        <f t="shared" si="0"/>
        <v>1126395</v>
      </c>
      <c r="M192" s="135">
        <f t="shared" si="0"/>
        <v>-129366</v>
      </c>
      <c r="N192" s="135">
        <f t="shared" si="0"/>
        <v>1144130</v>
      </c>
      <c r="O192" s="135">
        <f t="shared" si="0"/>
        <v>187208</v>
      </c>
    </row>
    <row r="193" spans="1:15" x14ac:dyDescent="0.25">
      <c r="A193" s="126" t="s">
        <v>415</v>
      </c>
      <c r="B193" s="136"/>
      <c r="C193" s="136"/>
      <c r="D193" s="136"/>
      <c r="E193" s="136"/>
      <c r="F193" s="136"/>
      <c r="G193" s="136"/>
      <c r="H193" s="137">
        <f>H192/10000000</f>
        <v>593.05608040000004</v>
      </c>
      <c r="I193" s="137">
        <f>I192/10000000</f>
        <v>-12.6022347</v>
      </c>
      <c r="J193" s="137">
        <f>J192/10000000</f>
        <v>452.15473109999999</v>
      </c>
      <c r="K193" s="137">
        <f>K192/10000000</f>
        <v>36.9488409</v>
      </c>
      <c r="L193" s="138">
        <f>L192</f>
        <v>1126395</v>
      </c>
      <c r="M193" s="138">
        <f>M192</f>
        <v>-129366</v>
      </c>
      <c r="N193" s="138">
        <f>N192</f>
        <v>1144130</v>
      </c>
      <c r="O193" s="138">
        <f>O192</f>
        <v>187208</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2025-10-28T03:11:45Z</dcterms:modified>
</cp:coreProperties>
</file>